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16"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不动产收益法" sheetId="15"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38" i="9" l="1"/>
  <c r="Q38" i="9"/>
  <c r="C15" i="66" l="1"/>
  <c r="B15" i="66"/>
  <c r="A3" i="3" l="1"/>
  <c r="D14" i="9" l="1"/>
  <c r="F19" i="6" l="1"/>
  <c r="D29" i="46" s="1"/>
  <c r="A16" i="55" l="1"/>
  <c r="A15" i="55"/>
  <c r="A10" i="55"/>
  <c r="A9" i="55"/>
  <c r="A8" i="55"/>
  <c r="A6" i="54"/>
  <c r="A8" i="54"/>
  <c r="A7" i="54"/>
  <c r="A28" i="51"/>
  <c r="A27" i="51"/>
  <c r="D5" i="46" l="1"/>
  <c r="L5" i="59" l="1"/>
  <c r="Q5" i="59" s="1"/>
  <c r="K5" i="59"/>
  <c r="J5" i="59"/>
  <c r="O5" i="59" s="1"/>
  <c r="I5" i="59"/>
  <c r="N6" i="59"/>
  <c r="O6" i="59"/>
  <c r="P6" i="59"/>
  <c r="Q6" i="59"/>
  <c r="N5" i="59"/>
  <c r="P5" i="59"/>
  <c r="F9" i="67"/>
  <c r="B14" i="67"/>
  <c r="F13" i="67"/>
  <c r="E13" i="67"/>
  <c r="B12" i="67"/>
  <c r="E14" i="67"/>
  <c r="B13" i="67"/>
  <c r="F12" i="67"/>
  <c r="F11" i="67"/>
  <c r="E11" i="67"/>
  <c r="F8" i="67"/>
  <c r="E12" i="67"/>
  <c r="E10" i="67"/>
  <c r="F14" i="67"/>
  <c r="F10" i="67"/>
  <c r="B9" i="67"/>
  <c r="B10" i="67"/>
  <c r="E9" i="67"/>
  <c r="B11" i="67"/>
  <c r="E8" i="67"/>
  <c r="B8"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N4" i="65"/>
  <c r="N6" i="65"/>
  <c r="N5" i="65"/>
  <c r="J5" i="65"/>
  <c r="C4" i="65" l="1"/>
  <c r="B39" i="1" s="1"/>
  <c r="I4" i="65"/>
  <c r="J4" i="65"/>
  <c r="I7" i="65"/>
  <c r="J6" i="65"/>
  <c r="I3" i="65"/>
  <c r="I6" i="65"/>
  <c r="J3" i="65"/>
  <c r="J7" i="65"/>
  <c r="I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9" i="59" l="1"/>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V19" i="59" l="1"/>
  <c r="M19" i="46"/>
  <c r="D6" i="59"/>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77" i="46"/>
  <c r="B83" i="46"/>
  <c r="B82" i="46"/>
  <c r="B71" i="46"/>
  <c r="B60" i="46"/>
  <c r="B49" i="46"/>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75" i="46"/>
  <c r="J50" i="46"/>
  <c r="D50"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U36" i="37"/>
  <c r="AC13" i="36"/>
  <c r="AB45" i="33"/>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AC12"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66" i="3"/>
  <c r="AZ70" i="3"/>
  <c r="AZ74" i="3"/>
  <c r="AZ78" i="3"/>
  <c r="AZ82" i="3"/>
  <c r="AZ185" i="3"/>
  <c r="AZ201" i="3"/>
  <c r="AZ84" i="3"/>
  <c r="AZ86" i="3"/>
  <c r="AZ90" i="3"/>
  <c r="AZ94" i="3"/>
  <c r="AZ98" i="3"/>
  <c r="AZ102" i="3"/>
  <c r="AZ106" i="3"/>
  <c r="AZ110" i="3"/>
  <c r="G491" i="3"/>
  <c r="BA298" i="3"/>
  <c r="AZ298" i="3"/>
  <c r="BA299" i="3"/>
  <c r="AZ299" i="3" s="1"/>
  <c r="BL299" i="3"/>
  <c r="G300" i="3"/>
  <c r="G303" i="3"/>
  <c r="BL304" i="3"/>
  <c r="BA306" i="3"/>
  <c r="AZ306" i="3" s="1"/>
  <c r="BA307" i="3"/>
  <c r="BL307" i="3"/>
  <c r="AZ307" i="3"/>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s="1"/>
  <c r="BL365" i="3"/>
  <c r="G366" i="3"/>
  <c r="G369" i="3"/>
  <c r="BL370" i="3"/>
  <c r="BA372" i="3"/>
  <c r="AZ372" i="3" s="1"/>
  <c r="BA373" i="3"/>
  <c r="BL373" i="3"/>
  <c r="AZ373" i="3" s="1"/>
  <c r="G374" i="3"/>
  <c r="G377" i="3"/>
  <c r="BL378" i="3"/>
  <c r="BA380" i="3"/>
  <c r="AZ380" i="3"/>
  <c r="BA381" i="3"/>
  <c r="BL381" i="3"/>
  <c r="AZ381" i="3" s="1"/>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31" i="43"/>
  <c r="F66" i="9"/>
  <c r="P72" i="9" s="1"/>
  <c r="M20" i="44"/>
  <c r="F71" i="9"/>
  <c r="D86" i="9"/>
  <c r="F72" i="9"/>
  <c r="F70" i="9"/>
  <c r="AC14"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Z484" i="3" l="1"/>
  <c r="U27" i="33"/>
  <c r="AB27" i="33"/>
  <c r="AC9" i="34"/>
  <c r="W9" i="34"/>
  <c r="AC24" i="35"/>
  <c r="W24" i="35"/>
  <c r="AZ412" i="3"/>
  <c r="W35" i="40"/>
  <c r="AB14" i="40"/>
  <c r="AC9" i="33"/>
  <c r="W9" i="33"/>
  <c r="AA31" i="33"/>
  <c r="S31" i="33"/>
  <c r="AC23" i="35"/>
  <c r="W23" i="35"/>
  <c r="U27" i="37"/>
  <c r="AB27" i="37"/>
  <c r="J17" i="40"/>
  <c r="F86" i="40"/>
  <c r="G86" i="40" s="1"/>
  <c r="AZ389" i="3"/>
  <c r="AZ400" i="3"/>
  <c r="AZ404" i="3"/>
  <c r="H5" i="3"/>
  <c r="F9" i="33"/>
  <c r="AA9" i="33" s="1"/>
  <c r="F9" i="34"/>
  <c r="AA9" i="34" s="1"/>
  <c r="J9" i="35"/>
  <c r="W9" i="35" s="1"/>
  <c r="F34" i="35"/>
  <c r="F26" i="37"/>
  <c r="AA26" i="37" s="1"/>
  <c r="G15" i="3"/>
  <c r="G14" i="3"/>
  <c r="AZ421"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U31" i="37"/>
  <c r="S46" i="33"/>
  <c r="C92" i="9"/>
  <c r="A14" i="55"/>
  <c r="B65" i="63" s="1"/>
  <c r="F6" i="1"/>
  <c r="AZ416" i="3"/>
  <c r="AZ25" i="3"/>
  <c r="AZ30" i="3"/>
  <c r="AZ41" i="3"/>
  <c r="AZ46" i="3"/>
  <c r="AZ57" i="3"/>
  <c r="AZ62" i="3"/>
  <c r="AZ65" i="3"/>
  <c r="AZ68" i="3"/>
  <c r="BA21" i="3"/>
  <c r="AZ21" i="3" s="1"/>
  <c r="AZ76" i="3"/>
  <c r="AZ80" i="3"/>
  <c r="AZ83" i="3"/>
  <c r="AZ96" i="3"/>
  <c r="AZ100" i="3"/>
  <c r="AZ103" i="3"/>
  <c r="AZ105" i="3"/>
  <c r="AZ109" i="3"/>
  <c r="I21" i="57"/>
  <c r="D1" i="57" s="1"/>
  <c r="E10" i="57" s="1"/>
  <c r="G13" i="3"/>
  <c r="A2" i="55"/>
  <c r="B55" i="63" s="1"/>
  <c r="A11" i="55"/>
  <c r="B62" i="63" s="1"/>
  <c r="G11" i="1"/>
  <c r="C7" i="21"/>
  <c r="C58" i="21" s="1"/>
  <c r="D58" i="21" s="1"/>
  <c r="E58" i="21" s="1"/>
  <c r="F58" i="21" s="1"/>
  <c r="G58" i="21" s="1"/>
  <c r="H58" i="21" s="1"/>
  <c r="I58" i="21" s="1"/>
  <c r="J58" i="21" s="1"/>
  <c r="K58" i="21" s="1"/>
  <c r="L58" i="21" s="1"/>
  <c r="M58" i="21" s="1"/>
  <c r="N58" i="21" s="1"/>
  <c r="O58" i="21" s="1"/>
  <c r="C7" i="34"/>
  <c r="C7" i="36"/>
  <c r="C9" i="39"/>
  <c r="C70" i="39" s="1"/>
  <c r="C9" i="40"/>
  <c r="C65" i="40" s="1"/>
  <c r="N67" i="9"/>
  <c r="A30" i="51"/>
  <c r="N73" i="46"/>
  <c r="G17" i="46"/>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D69" i="46"/>
  <c r="E69" i="46" s="1"/>
  <c r="B67" i="46" s="1"/>
  <c r="E47" i="46"/>
  <c r="E58" i="46"/>
  <c r="B56" i="46" s="1"/>
  <c r="C52" i="15"/>
  <c r="A4" i="64"/>
  <c r="A4" i="51"/>
  <c r="B6" i="63" s="1"/>
  <c r="C51" i="10"/>
  <c r="H58" i="46"/>
  <c r="H61" i="46"/>
  <c r="H62" i="46"/>
  <c r="I100" i="46"/>
  <c r="N100" i="46"/>
  <c r="H100" i="46"/>
  <c r="F108" i="46"/>
  <c r="B45" i="46"/>
  <c r="AA11" i="46"/>
  <c r="AA13" i="46" s="1"/>
  <c r="E100" i="46"/>
  <c r="G100"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63" i="46"/>
  <c r="H59" i="46"/>
  <c r="H64" i="46"/>
  <c r="H60" i="46"/>
  <c r="H10" i="48"/>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5" i="44"/>
  <c r="M25" i="44"/>
  <c r="M26" i="15"/>
  <c r="F8" i="44"/>
  <c r="F26" i="15"/>
  <c r="F18" i="44"/>
  <c r="F40" i="44"/>
  <c r="M10" i="44"/>
  <c r="F38" i="44"/>
  <c r="F42" i="15"/>
  <c r="F9" i="15"/>
  <c r="M24" i="15"/>
  <c r="F28" i="44"/>
  <c r="M30" i="44"/>
  <c r="F7" i="15"/>
  <c r="F43" i="44"/>
  <c r="L47" i="15"/>
  <c r="F8" i="15"/>
  <c r="J17" i="44"/>
  <c r="F37" i="15"/>
  <c r="F16" i="15"/>
  <c r="F40" i="15"/>
  <c r="F39" i="44"/>
  <c r="M26" i="44"/>
  <c r="F11" i="44"/>
  <c r="M28" i="15"/>
  <c r="F13" i="15"/>
  <c r="F43" i="15"/>
  <c r="F6" i="15"/>
  <c r="M6" i="15"/>
  <c r="F10" i="44"/>
  <c r="F38" i="15"/>
  <c r="M29" i="44"/>
  <c r="M8" i="44"/>
  <c r="F45" i="44"/>
  <c r="M9" i="15"/>
  <c r="J15" i="15"/>
  <c r="F9" i="44"/>
  <c r="C35" i="44"/>
  <c r="M22" i="15"/>
  <c r="J36" i="15"/>
  <c r="F36" i="15"/>
  <c r="M31" i="44"/>
  <c r="M24" i="44"/>
  <c r="L48" i="15"/>
  <c r="M28" i="44"/>
  <c r="M23" i="15"/>
  <c r="M11" i="44"/>
  <c r="M8" i="15"/>
  <c r="M29" i="15"/>
  <c r="AC9" i="35" l="1"/>
  <c r="AA34" i="35"/>
  <c r="S34" i="35"/>
  <c r="AF11" i="46"/>
  <c r="AF13" i="46" s="1"/>
  <c r="E297" i="3"/>
  <c r="AJ11" i="46"/>
  <c r="AJ13" i="46" s="1"/>
  <c r="AI11" i="46"/>
  <c r="AI13" i="46" s="1"/>
  <c r="F80" i="46"/>
  <c r="H74" i="46"/>
  <c r="C10" i="15"/>
  <c r="H73" i="46"/>
  <c r="H75" i="46"/>
  <c r="C16" i="46"/>
  <c r="C5" i="46" s="1"/>
  <c r="H69" i="46"/>
  <c r="H77" i="46"/>
  <c r="H76" i="46"/>
  <c r="AO6" i="3"/>
  <c r="E561" i="3"/>
  <c r="E476" i="3"/>
  <c r="AB11" i="46"/>
  <c r="AB13" i="46" s="1"/>
  <c r="AE11" i="46"/>
  <c r="AE13"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7"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A25" i="51"/>
  <c r="B18" i="63" s="1"/>
  <c r="A3" i="55"/>
  <c r="B56" i="63" s="1"/>
  <c r="E52" i="37"/>
  <c r="F52" i="37" s="1"/>
  <c r="G52" i="37" s="1"/>
  <c r="H52" i="37" s="1"/>
  <c r="I52" i="37" s="1"/>
  <c r="J52" i="37" s="1"/>
  <c r="K52" i="37" s="1"/>
  <c r="L52" i="37" s="1"/>
  <c r="M52" i="37" s="1"/>
  <c r="N52" i="37" s="1"/>
  <c r="O52" i="37" s="1"/>
  <c r="H7" i="37"/>
  <c r="U7"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F58" i="15"/>
  <c r="F31" i="15"/>
  <c r="M19" i="44"/>
  <c r="M17" i="15"/>
  <c r="F33" i="44"/>
  <c r="C18" i="44"/>
  <c r="F46" i="44"/>
  <c r="AE6" i="1"/>
  <c r="C16" i="15"/>
  <c r="J7" i="37" l="1"/>
  <c r="N104" i="46"/>
  <c r="N106" i="46"/>
  <c r="J7" i="34"/>
  <c r="W7" i="34" s="1"/>
  <c r="F7" i="37"/>
  <c r="AA7" i="37" s="1"/>
  <c r="R42" i="37" s="1"/>
  <c r="E42" i="37" s="1"/>
  <c r="H81" i="46"/>
  <c r="H82" i="46"/>
  <c r="H87" i="46"/>
  <c r="H83" i="46"/>
  <c r="G83" i="46" s="1"/>
  <c r="H85" i="46"/>
  <c r="H80" i="46"/>
  <c r="H84" i="46"/>
  <c r="H86" i="46"/>
  <c r="G105" i="46"/>
  <c r="G118" i="46"/>
  <c r="H118" i="46" s="1"/>
  <c r="H6" i="3"/>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9" i="46"/>
  <c r="L104" i="46"/>
  <c r="L103" i="46"/>
  <c r="L105" i="46"/>
  <c r="E104" i="46"/>
  <c r="E103" i="46"/>
  <c r="E106" i="46"/>
  <c r="E107" i="46"/>
  <c r="E105" i="46"/>
  <c r="E102" i="46"/>
  <c r="E109" i="46"/>
  <c r="D22" i="46"/>
  <c r="C21" i="46"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3" i="46"/>
  <c r="I107" i="46"/>
  <c r="I106" i="46"/>
  <c r="I104" i="46"/>
  <c r="I109" i="46"/>
  <c r="D102" i="46"/>
  <c r="D106" i="46"/>
  <c r="D104" i="46"/>
  <c r="D107" i="46"/>
  <c r="D103" i="46"/>
  <c r="D105" i="46"/>
  <c r="D109" i="46"/>
  <c r="M107" i="46"/>
  <c r="M104" i="46"/>
  <c r="M105" i="46"/>
  <c r="M106" i="46"/>
  <c r="M102" i="46"/>
  <c r="M103" i="46"/>
  <c r="M109" i="46"/>
  <c r="H104" i="46"/>
  <c r="H102" i="46"/>
  <c r="H107" i="46"/>
  <c r="H106" i="46"/>
  <c r="H103" i="46"/>
  <c r="H109" i="46"/>
  <c r="H105"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B21" i="55"/>
  <c r="B72" i="63" s="1"/>
  <c r="B20" i="55"/>
  <c r="B70" i="63" s="1"/>
  <c r="S7" i="36"/>
  <c r="AA7" i="36"/>
  <c r="R36" i="36" s="1"/>
  <c r="E36" i="36" s="1"/>
  <c r="E40" i="36" s="1"/>
  <c r="F40" i="36" s="1"/>
  <c r="S7" i="35"/>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C5" i="15"/>
  <c r="C34" i="44"/>
  <c r="C40" i="44"/>
  <c r="I53" i="34"/>
  <c r="J53" i="34" s="1"/>
  <c r="Q61" i="15"/>
  <c r="Q62" i="15"/>
  <c r="Q53" i="15"/>
  <c r="C48" i="15"/>
  <c r="AB12" i="39"/>
  <c r="AB12" i="40"/>
  <c r="U12" i="40"/>
  <c r="S12" i="39"/>
  <c r="C20" i="11"/>
  <c r="C21" i="11" s="1"/>
  <c r="C22" i="11" s="1"/>
  <c r="C23" i="11" s="1"/>
  <c r="B2" i="11" s="1"/>
  <c r="S12" i="40"/>
  <c r="W12" i="39"/>
  <c r="AC12" i="40"/>
  <c r="W12" i="40"/>
  <c r="E46" i="37"/>
  <c r="F46" i="37" s="1"/>
  <c r="E47" i="37"/>
  <c r="F47" i="37" s="1"/>
  <c r="C48" i="33"/>
  <c r="C49" i="33"/>
  <c r="B3" i="33" s="1"/>
  <c r="B2" i="33" s="1"/>
  <c r="M27" i="15"/>
  <c r="F41" i="15"/>
  <c r="C23" i="46" l="1"/>
  <c r="F68" i="15"/>
  <c r="M86" i="46"/>
  <c r="N86" i="46" s="1"/>
  <c r="K86" i="46"/>
  <c r="M80" i="46"/>
  <c r="N80" i="46" s="1"/>
  <c r="K80" i="46"/>
  <c r="K83" i="46"/>
  <c r="M83" i="46"/>
  <c r="N83" i="46" s="1"/>
  <c r="K82" i="46"/>
  <c r="J82" i="46" s="1"/>
  <c r="D82" i="46" s="1"/>
  <c r="M82" i="46"/>
  <c r="N82" i="46" s="1"/>
  <c r="M84" i="46"/>
  <c r="N84" i="46" s="1"/>
  <c r="K84" i="46"/>
  <c r="J84" i="46" s="1"/>
  <c r="M85" i="46"/>
  <c r="N85" i="46" s="1"/>
  <c r="K85" i="46"/>
  <c r="J85" i="46" s="1"/>
  <c r="K87" i="46"/>
  <c r="J87" i="46" s="1"/>
  <c r="D87" i="46" s="1"/>
  <c r="M87" i="46"/>
  <c r="N87" i="46" s="1"/>
  <c r="M81" i="46"/>
  <c r="K81" i="46"/>
  <c r="J81" i="46" s="1"/>
  <c r="S7" i="46"/>
  <c r="S5" i="46"/>
  <c r="D113" i="46"/>
  <c r="J22" i="46" s="1"/>
  <c r="S4" i="46"/>
  <c r="S3" i="46"/>
  <c r="S2" i="46"/>
  <c r="S6" i="46"/>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J83" i="46" l="1"/>
  <c r="D83" i="46"/>
  <c r="J86" i="46"/>
  <c r="D86" i="46"/>
  <c r="D85" i="46"/>
  <c r="N81" i="46"/>
  <c r="D81" i="46"/>
  <c r="J80" i="46"/>
  <c r="D80" i="46"/>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R39" i="9"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80" i="46" l="1"/>
  <c r="B78" i="46" s="1"/>
  <c r="C24" i="46" s="1"/>
  <c r="T2" i="46" s="1"/>
  <c r="V2" i="46" s="1"/>
  <c r="G39" i="46"/>
  <c r="I39" i="46" s="1"/>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Q39" i="9" s="1"/>
  <c r="D19" i="6"/>
  <c r="F1" i="46" s="1"/>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T6" i="46" l="1"/>
  <c r="V6" i="46" s="1"/>
  <c r="T4" i="46"/>
  <c r="V4" i="46" s="1"/>
  <c r="T14" i="46"/>
  <c r="V14" i="46" s="1"/>
  <c r="T10" i="46"/>
  <c r="V10" i="46" s="1"/>
  <c r="T11" i="46"/>
  <c r="V11" i="46" s="1"/>
  <c r="C33" i="46"/>
  <c r="G33" i="46" s="1"/>
  <c r="I33" i="46" s="1"/>
  <c r="T3" i="46"/>
  <c r="V3" i="46" s="1"/>
  <c r="C37" i="46"/>
  <c r="T16" i="46"/>
  <c r="V16" i="46" s="1"/>
  <c r="C34" i="46"/>
  <c r="T13" i="46"/>
  <c r="V13" i="46" s="1"/>
  <c r="T5" i="46"/>
  <c r="V5" i="46" s="1"/>
  <c r="T7" i="46"/>
  <c r="V7" i="46" s="1"/>
  <c r="C39" i="46"/>
  <c r="E39" i="46" s="1"/>
  <c r="T9" i="46"/>
  <c r="V9" i="46" s="1"/>
  <c r="C36" i="46"/>
  <c r="T8" i="46"/>
  <c r="V8" i="46" s="1"/>
  <c r="C38" i="46"/>
  <c r="E38" i="46" s="1"/>
  <c r="T12" i="46"/>
  <c r="V12" i="46" s="1"/>
  <c r="C35" i="46"/>
  <c r="G35" i="46" s="1"/>
  <c r="I35" i="46" s="1"/>
  <c r="C29" i="46"/>
  <c r="T15" i="46"/>
  <c r="V15" i="46"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E33" i="46" l="1"/>
  <c r="G38" i="46"/>
  <c r="I38" i="46" s="1"/>
  <c r="E35" i="46"/>
  <c r="G36" i="46"/>
  <c r="I36" i="46" s="1"/>
  <c r="E36" i="46"/>
  <c r="E34" i="46"/>
  <c r="G34" i="46"/>
  <c r="I34" i="46" s="1"/>
  <c r="G37" i="46"/>
  <c r="I37" i="46" s="1"/>
  <c r="E37" i="46"/>
  <c r="C30" i="46"/>
  <c r="E30" i="46" s="1"/>
  <c r="E29" i="46"/>
  <c r="C19" i="15"/>
  <c r="C20" i="15" s="1"/>
  <c r="C23" i="15" s="1"/>
  <c r="C21" i="44"/>
  <c r="C22" i="44" s="1"/>
  <c r="C25" i="44" s="1"/>
  <c r="J20" i="15"/>
  <c r="C36" i="44"/>
  <c r="C33" i="44" s="1"/>
  <c r="C34" i="15"/>
  <c r="F62" i="15"/>
  <c r="C61" i="15" s="1"/>
  <c r="J22" i="44"/>
  <c r="C18" i="12"/>
  <c r="R16" i="1"/>
  <c r="D31" i="6"/>
  <c r="I6" i="6" s="1"/>
  <c r="I7" i="6" s="1"/>
  <c r="R27" i="6"/>
  <c r="C18" i="43"/>
  <c r="K70" i="39"/>
  <c r="J72" i="39"/>
  <c r="K65" i="40"/>
  <c r="J67" i="40"/>
  <c r="C65" i="15"/>
  <c r="C59" i="15"/>
  <c r="F7" i="67"/>
  <c r="E4" i="67" l="1"/>
  <c r="C26" i="46"/>
  <c r="C27" i="46"/>
  <c r="C28" i="44"/>
  <c r="C31" i="44" s="1"/>
  <c r="I5" i="6"/>
  <c r="C26" i="15"/>
  <c r="C29" i="15" s="1"/>
  <c r="J59" i="15" s="1"/>
  <c r="J60" i="15" s="1"/>
  <c r="Q49" i="15" s="1"/>
  <c r="C23" i="12"/>
  <c r="C19" i="43"/>
  <c r="C22" i="43" s="1"/>
  <c r="C21" i="43" s="1"/>
  <c r="K67" i="40"/>
  <c r="L65" i="40"/>
  <c r="K72" i="39"/>
  <c r="L70" i="39"/>
  <c r="E7" i="67"/>
  <c r="E3" i="67" l="1"/>
  <c r="B2" i="46"/>
  <c r="J21" i="44"/>
  <c r="J19" i="44"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B7" i="67"/>
  <c r="B2" i="67" l="1"/>
  <c r="B3" i="46"/>
  <c r="D4" i="46"/>
  <c r="B4" i="46"/>
  <c r="C39" i="44"/>
  <c r="C32" i="44" s="1"/>
  <c r="C42" i="44" s="1"/>
  <c r="C44" i="44" s="1"/>
  <c r="C45" i="44" s="1"/>
  <c r="J24" i="44"/>
  <c r="J18" i="44" s="1"/>
  <c r="J27" i="44" s="1"/>
  <c r="J28" i="44" s="1"/>
  <c r="J31"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B3" i="67" l="1"/>
  <c r="B4" i="67"/>
  <c r="C57" i="15"/>
  <c r="C66" i="15" s="1"/>
  <c r="C67" i="15" s="1"/>
  <c r="C46" i="15" s="1"/>
  <c r="Q70" i="15"/>
  <c r="Q69" i="15" s="1"/>
  <c r="J39" i="15"/>
  <c r="J40" i="15" s="1"/>
  <c r="B2" i="44"/>
  <c r="B4" i="44" s="1"/>
  <c r="B3" i="43"/>
  <c r="B5" i="43"/>
  <c r="B4" i="43"/>
  <c r="Q57" i="15"/>
  <c r="C43" i="15"/>
  <c r="Q66" i="15"/>
  <c r="Q48" i="15"/>
  <c r="Q54" i="15" s="1"/>
  <c r="J42" i="15"/>
  <c r="J43" i="15" s="1"/>
  <c r="J9" i="40"/>
  <c r="F9" i="40"/>
  <c r="H9" i="40"/>
  <c r="J9" i="39"/>
  <c r="H9" i="39"/>
  <c r="F9" i="39"/>
  <c r="L51" i="15"/>
  <c r="C70"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D20" i="9"/>
  <c r="C20" i="9"/>
  <c r="D19" i="9"/>
  <c r="C21" i="9"/>
  <c r="B5" i="12" l="1"/>
  <c r="L44" i="9"/>
  <c r="G19" i="9"/>
  <c r="C32" i="9" s="1"/>
  <c r="D22" i="9"/>
  <c r="B4" i="12"/>
  <c r="G20" i="9"/>
  <c r="C45" i="9"/>
  <c r="H14" i="66" s="1"/>
  <c r="B7" i="66" s="1"/>
  <c r="D21" i="9"/>
  <c r="N43" i="9" l="1"/>
  <c r="G22"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 r="U38" i="9" l="1"/>
  <c r="U39" i="9" s="1"/>
  <c r="D15" i="66"/>
  <c r="T39" i="9" l="1"/>
  <c r="S39" i="9"/>
  <c r="E15" i="66"/>
  <c r="F15" i="66"/>
  <c r="B5" i="66"/>
  <c r="T38" i="9"/>
  <c r="S38" i="9"/>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<sst xmlns="http://schemas.openxmlformats.org/spreadsheetml/2006/main" count="6739" uniqueCount="3024">
  <si>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</si>
  <si>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</si>
  <si>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</si>
  <si>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</si>
  <si>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</si>
  <si>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</si>
  <si>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</si>
  <si>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</si>
  <si>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</si>
  <si>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</si>
  <si>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</si>
  <si>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</si>
  <si>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</si>
  <si>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</si>
  <si>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</si>
  <si>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</si>
  <si>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</si>
  <si>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</si>
  <si>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</si>
  <si>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</si>
  <si>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</si>
  <si>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</si>
  <si>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</si>
  <si>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</si>
  <si>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</si>
  <si>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</si>
  <si>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</si>
  <si>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</si>
  <si>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</si>
  <si>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</si>
  <si>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</si>
  <si>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</si>
  <si>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</si>
  <si>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</si>
  <si>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</si>
  <si>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</si>
  <si>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</si>
  <si>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</si>
  <si>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</si>
  <si>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</si>
  <si>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</si>
  <si>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</si>
  <si>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</si>
  <si>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</si>
  <si>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</si>
  <si>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</si>
  <si>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</si>
  <si>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</si>
  <si>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</si>
  <si>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</si>
  <si>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</si>
  <si>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</si>
  <si>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</si>
  <si>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</si>
  <si>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</si>
  <si>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</si>
  <si>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</si>
  <si>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</si>
  <si>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</si>
  <si>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</si>
  <si>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</si>
  <si>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</si>
  <si>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</si>
  <si>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</si>
  <si>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</si>
  <si>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</si>
  <si>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</si>
  <si>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</si>
  <si>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</si>
  <si>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</si>
  <si>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</si>
  <si>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</si>
  <si>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</si>
  <si>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</si>
  <si>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</si>
  <si>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</si>
  <si>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</si>
  <si>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</si>
  <si>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</si>
  <si>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</si>
  <si>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</si>
  <si>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</si>
  <si>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</si>
  <si>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</si>
  <si>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</si>
  <si>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</si>
  <si>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</si>
  <si>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</si>
  <si>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</si>
  <si>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</si>
  <si>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</si>
  <si>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</si>
  <si>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</si>
  <si>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</si>
  <si>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</si>
  <si>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</si>
  <si>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</si>
  <si>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</si>
  <si>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</si>
  <si>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</si>
  <si>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</si>
  <si>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</si>
  <si>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</si>
  <si>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</si>
  <si>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</si>
  <si>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</si>
  <si>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</si>
  <si>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</si>
  <si>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</si>
  <si>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</si>
  <si>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</si>
  <si>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</si>
  <si>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</si>
  <si>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</si>
  <si>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</si>
  <si>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</si>
  <si>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</si>
  <si>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</si>
  <si>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</si>
  <si>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</si>
  <si>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</si>
  <si>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</si>
  <si>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</si>
  <si>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</si>
  <si>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</si>
  <si>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</si>
  <si>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</si>
  <si>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</si>
  <si>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</si>
  <si>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</si>
  <si>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</si>
  <si>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</si>
  <si>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</si>
  <si>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</si>
  <si>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</si>
  <si>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</si>
  <si>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</si>
  <si>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</si>
  <si>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</si>
  <si>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</si>
  <si>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</si>
  <si>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</si>
  <si>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</si>
  <si>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</si>
  <si>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</si>
  <si>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</si>
  <si>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</si>
  <si>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</si>
  <si>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</si>
  <si>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</si>
  <si>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</si>
  <si>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</si>
  <si>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</si>
  <si>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</si>
  <si>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</si>
  <si>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</si>
  <si>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</si>
  <si>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</si>
  <si>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</si>
  <si>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</si>
  <si>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</si>
  <si>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</si>
  <si>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</si>
  <si>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</si>
  <si>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</si>
  <si>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</si>
  <si>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</si>
  <si>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</si>
  <si>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</si>
  <si>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</si>
  <si>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</si>
  <si>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</si>
  <si>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</si>
  <si>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</si>
  <si>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</si>
  <si>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</si>
  <si>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</si>
  <si>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</si>
  <si>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</si>
  <si>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</si>
  <si>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</si>
  <si>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</si>
  <si>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</si>
  <si>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</si>
  <si>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</si>
  <si>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</si>
  <si>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</si>
  <si>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</si>
  <si>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</si>
  <si>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</si>
  <si>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</si>
  <si>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</si>
  <si>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</si>
  <si>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</si>
  <si>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</si>
  <si>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</si>
  <si>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</si>
  <si>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</si>
  <si>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</si>
  <si>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</si>
  <si>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</si>
  <si>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</si>
  <si>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</si>
  <si>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</si>
  <si>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</si>
  <si>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</si>
  <si>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</si>
  <si>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</si>
  <si>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</si>
  <si>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</si>
  <si>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</si>
  <si>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</si>
  <si>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</si>
  <si>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</si>
  <si>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</si>
  <si>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</si>
  <si>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</si>
  <si>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</si>
  <si>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</si>
  <si>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</si>
  <si>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</si>
  <si>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</si>
  <si>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</si>
  <si>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</si>
  <si>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</si>
  <si>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</si>
  <si>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</si>
  <si>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</si>
  <si>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</si>
  <si>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</si>
  <si>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</si>
  <si>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</si>
  <si>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</si>
  <si>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</si>
  <si>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</si>
  <si>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</si>
  <si>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</si>
  <si>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</si>
  <si>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</si>
  <si>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</si>
  <si>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</si>
  <si>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</si>
  <si>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</si>
  <si>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</si>
  <si>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</si>
  <si>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</si>
  <si>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</si>
  <si>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</si>
  <si>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</si>
  <si>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</si>
  <si>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</si>
  <si>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</si>
  <si>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</si>
  <si>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</si>
  <si>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</si>
  <si>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</si>
  <si>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</si>
  <si>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</si>
  <si>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</si>
  <si>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</si>
  <si>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</si>
  <si>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</si>
  <si>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</si>
  <si>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</si>
  <si>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</si>
  <si>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</si>
  <si>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</si>
  <si>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</si>
  <si>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</si>
  <si>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</si>
  <si>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</si>
  <si>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</si>
  <si>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</si>
  <si>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</si>
  <si>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</si>
  <si>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</si>
  <si>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</si>
  <si>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</si>
  <si>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</si>
  <si>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</si>
  <si>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</si>
  <si>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</si>
  <si>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</si>
  <si>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</si>
  <si>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</si>
  <si>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</si>
  <si>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</si>
  <si>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</si>
  <si>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</si>
  <si>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</si>
  <si>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</si>
  <si>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</si>
  <si>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</si>
  <si>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</si>
  <si>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</si>
  <si>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</si>
  <si>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</si>
  <si>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</si>
  <si>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</si>
  <si>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</si>
  <si>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</si>
  <si>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</si>
  <si>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</si>
  <si>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</si>
  <si>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</si>
  <si>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</si>
  <si>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</si>
  <si>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</si>
  <si>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</si>
  <si>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</si>
  <si>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</si>
  <si>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</si>
  <si>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</si>
  <si>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</si>
  <si>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</si>
  <si>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</si>
  <si>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</si>
  <si>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</si>
  <si>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</si>
  <si>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</si>
  <si>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</si>
  <si>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</si>
  <si>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</si>
  <si>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</si>
  <si>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</si>
  <si>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</si>
  <si>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</si>
  <si>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</si>
  <si>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</si>
  <si>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</si>
  <si>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</si>
  <si>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</si>
  <si>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</si>
  <si>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</si>
  <si>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</si>
  <si>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</si>
  <si>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</si>
  <si>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</si>
  <si>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</si>
  <si>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</si>
  <si>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</si>
  <si>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</si>
  <si>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</si>
  <si>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</si>
  <si>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</si>
  <si>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</si>
  <si>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</si>
  <si>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</si>
  <si>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</si>
  <si>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</si>
  <si>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</si>
  <si>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</si>
  <si>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</si>
  <si>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</si>
  <si>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</si>
  <si>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</si>
  <si>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</si>
  <si>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</si>
  <si>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</si>
  <si>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</si>
  <si>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</si>
  <si>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</si>
  <si>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</si>
  <si>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</si>
  <si>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</si>
  <si>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</si>
  <si>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</si>
  <si>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</si>
  <si>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</si>
  <si>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</si>
  <si>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</si>
  <si>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</si>
  <si>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</si>
  <si>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</si>
  <si>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</si>
  <si>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</si>
  <si>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</si>
  <si>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</si>
  <si>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</si>
  <si>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</si>
  <si>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</si>
  <si>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</si>
  <si>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</si>
  <si>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</si>
  <si>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</si>
  <si>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</si>
  <si>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</si>
  <si>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</si>
  <si>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</si>
  <si>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</si>
  <si>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</si>
  <si>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</si>
  <si>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</si>
  <si>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</si>
  <si>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</si>
  <si>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</si>
  <si>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</si>
  <si>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</si>
  <si>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</si>
  <si>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</si>
  <si>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</si>
  <si>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</si>
  <si>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</si>
  <si>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</si>
  <si>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</si>
  <si>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</si>
  <si>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</si>
  <si>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</si>
  <si>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</si>
  <si>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</si>
  <si>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</si>
  <si>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</si>
  <si>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</si>
  <si>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</si>
  <si>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</si>
  <si>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</si>
  <si>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</si>
  <si>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</si>
  <si>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</si>
  <si>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</si>
  <si>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</si>
  <si>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</si>
  <si>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</si>
  <si>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</si>
  <si>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</si>
  <si>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</si>
  <si>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</si>
  <si>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</si>
  <si>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</si>
  <si>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</si>
  <si>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</si>
  <si>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</si>
  <si>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</si>
  <si>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</si>
  <si>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</si>
  <si>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</si>
  <si>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</si>
  <si>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</si>
  <si>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</si>
  <si>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</si>
  <si>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</si>
  <si>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</si>
  <si>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</si>
  <si>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</si>
  <si>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</si>
  <si>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</si>
  <si>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</si>
  <si>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</si>
  <si>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</si>
  <si>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</si>
  <si>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</si>
  <si>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</si>
  <si>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</si>
  <si>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</si>
  <si>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</si>
  <si>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</si>
  <si>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</si>
  <si>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</si>
  <si>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</si>
  <si>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</si>
  <si>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</si>
  <si>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</si>
  <si>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</si>
  <si>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</si>
  <si>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</si>
  <si>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</si>
  <si>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</si>
  <si>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</si>
  <si>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</si>
  <si>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</si>
  <si>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</si>
  <si>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</si>
  <si>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</si>
  <si>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</si>
  <si>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</si>
  <si>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</si>
  <si>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</si>
  <si>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</si>
  <si>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</si>
  <si>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</si>
  <si>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</si>
  <si>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</si>
  <si>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</si>
  <si>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</si>
  <si>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</si>
  <si>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</si>
  <si>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</si>
  <si>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</si>
  <si>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</si>
  <si>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</si>
  <si>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</si>
  <si>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</si>
  <si>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</si>
  <si>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</si>
  <si>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</si>
  <si>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</si>
  <si>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</si>
  <si>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</si>
  <si>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</si>
  <si>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</si>
  <si>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</si>
  <si>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</si>
  <si>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</si>
  <si>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</si>
  <si>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</si>
  <si>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</si>
  <si>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</si>
  <si>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</si>
  <si>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</si>
  <si>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</si>
  <si>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</si>
  <si>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</si>
  <si>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</si>
  <si>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</si>
  <si>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</si>
  <si>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</si>
  <si>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</si>
  <si>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</si>
  <si>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</si>
  <si>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</si>
  <si>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</si>
  <si>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</si>
  <si>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</si>
  <si>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</si>
  <si>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</si>
  <si>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</si>
  <si>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</si>
  <si>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</si>
  <si>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</si>
  <si>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</si>
  <si>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</si>
  <si>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</si>
  <si>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</si>
  <si>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</si>
  <si>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</si>
  <si>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</si>
  <si>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</si>
  <si>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</si>
  <si>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</si>
  <si>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</si>
  <si>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</si>
  <si>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</si>
  <si>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</si>
  <si>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</si>
  <si>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</si>
  <si>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</si>
  <si>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</si>
  <si>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</si>
  <si>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</si>
  <si>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</si>
  <si>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</si>
  <si>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</si>
  <si>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</si>
  <si>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</si>
  <si>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</si>
  <si>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</si>
  <si>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</si>
  <si>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</si>
  <si>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</si>
  <si>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</si>
  <si>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</si>
  <si>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</si>
  <si>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</si>
  <si>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</si>
  <si>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</si>
  <si>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</si>
  <si>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</si>
  <si>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</si>
  <si>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</si>
  <si>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</si>
  <si>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</si>
  <si>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</si>
  <si>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</si>
  <si>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</si>
  <si>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</si>
  <si>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</si>
  <si>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</si>
  <si>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</si>
  <si>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</si>
  <si>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</si>
  <si>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</si>
  <si>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</si>
  <si>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</si>
  <si>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</si>
  <si>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</si>
  <si>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</si>
  <si>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</si>
  <si>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</si>
  <si>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</si>
  <si>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</si>
  <si>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</si>
  <si>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</si>
  <si>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</si>
  <si>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</si>
  <si>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</si>
  <si>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</si>
  <si>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</si>
  <si>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</si>
  <si>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</si>
  <si>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</si>
  <si>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</si>
  <si>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</si>
  <si>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</si>
  <si>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</si>
  <si>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</si>
  <si>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</si>
  <si>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</si>
  <si>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</si>
  <si>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</si>
  <si>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</si>
  <si>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</si>
  <si>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</si>
  <si>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</si>
  <si>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</si>
  <si>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</si>
  <si>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</si>
  <si>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</si>
  <si>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</si>
  <si>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</si>
  <si>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</si>
  <si>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</si>
  <si>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</si>
  <si>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</si>
  <si>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</si>
  <si>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</si>
  <si>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</si>
  <si>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</si>
  <si>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</si>
  <si>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</si>
  <si>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</si>
  <si>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</si>
  <si>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</si>
  <si>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</si>
  <si>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</si>
  <si>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</si>
  <si>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</si>
  <si>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</si>
  <si>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</si>
  <si>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</si>
  <si>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</si>
  <si>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</si>
  <si>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</si>
  <si>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</si>
  <si>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</si>
  <si>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</si>
  <si>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</si>
  <si>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</si>
  <si>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</si>
  <si>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</si>
  <si>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</si>
  <si>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</si>
  <si>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</si>
  <si>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</si>
  <si>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</si>
  <si>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</si>
  <si>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</si>
  <si>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</si>
  <si>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</si>
  <si>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</si>
  <si>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</si>
  <si>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</si>
  <si>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</si>
  <si>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</si>
  <si>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</si>
  <si>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</si>
  <si>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</si>
  <si>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</si>
  <si>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</si>
  <si>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</si>
  <si>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</si>
  <si>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</si>
  <si>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</si>
  <si>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</si>
  <si>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</si>
  <si>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</si>
  <si>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</si>
  <si>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</si>
  <si>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</si>
  <si>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</si>
  <si>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</si>
  <si>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</si>
  <si>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</si>
  <si>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</si>
  <si>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</si>
  <si>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</si>
  <si>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</si>
  <si>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</si>
  <si>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</si>
  <si>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</si>
  <si>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</si>
  <si>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</si>
  <si>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</si>
  <si>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</si>
  <si>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</si>
  <si>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</si>
  <si>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</si>
  <si>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</si>
  <si>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</si>
  <si>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</si>
  <si>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</si>
  <si>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</si>
  <si>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</si>
  <si>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</si>
  <si>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</si>
  <si>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</si>
  <si>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</si>
  <si>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</si>
  <si>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</si>
  <si>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</si>
  <si>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</si>
  <si>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</si>
  <si>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</si>
  <si>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</si>
  <si>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</si>
  <si>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</si>
  <si>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</si>
  <si>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</si>
  <si>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</si>
  <si>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</si>
  <si>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</si>
  <si>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</si>
  <si>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</si>
  <si>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</si>
  <si>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</si>
  <si>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</si>
  <si>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</si>
  <si>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</si>
  <si>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</si>
  <si>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</si>
  <si>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</si>
  <si>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</si>
  <si>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</si>
  <si>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</si>
  <si>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</si>
  <si>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</si>
  <si>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</si>
  <si>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</si>
  <si>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</si>
  <si>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</si>
  <si>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</si>
  <si>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</si>
  <si>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</si>
  <si>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</si>
  <si>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</si>
  <si>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</si>
  <si>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</si>
  <si>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</si>
  <si>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</si>
  <si>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</si>
  <si>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</si>
  <si>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</si>
  <si>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</si>
  <si>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</si>
  <si>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</si>
  <si>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</si>
  <si>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</si>
  <si>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</si>
  <si>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</si>
  <si>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</si>
  <si>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</si>
  <si>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</si>
  <si>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</si>
  <si>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</si>
  <si>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</si>
  <si>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</si>
  <si>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</si>
  <si>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</si>
  <si>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</si>
  <si>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</si>
  <si>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</si>
  <si>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</si>
  <si>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</si>
  <si>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</si>
  <si>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</si>
  <si>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</si>
  <si>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</si>
  <si>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</si>
  <si>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</si>
  <si>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</si>
  <si>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</si>
  <si>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</si>
  <si>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</si>
  <si>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</si>
  <si>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</si>
  <si>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</si>
  <si>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</si>
  <si>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</si>
  <si>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</si>
  <si>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</si>
  <si>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</si>
  <si>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</si>
  <si>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</si>
  <si>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</si>
  <si>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</si>
  <si>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</si>
  <si>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</si>
  <si>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</si>
  <si>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</si>
  <si>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</si>
  <si>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</si>
  <si>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</si>
  <si>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</si>
  <si>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</si>
  <si>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</si>
  <si>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</si>
  <si>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</si>
  <si>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</si>
  <si>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</si>
  <si>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</si>
  <si>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</si>
  <si>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</si>
  <si>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</si>
  <si>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</si>
  <si>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</si>
  <si>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</si>
  <si>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</si>
  <si>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</si>
  <si>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</si>
  <si>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</si>
  <si>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</si>
  <si>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</si>
  <si>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</si>
  <si>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</si>
  <si>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</si>
  <si>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</si>
  <si>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</si>
  <si>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</si>
  <si>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</si>
  <si>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</si>
  <si>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</si>
  <si>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</si>
  <si>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</si>
  <si>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</si>
  <si>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</si>
  <si>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</si>
  <si>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</si>
  <si>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</si>
  <si>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</si>
  <si>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</si>
  <si>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</si>
  <si>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</si>
  <si>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</si>
  <si>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</si>
  <si>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</si>
  <si>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</si>
  <si>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</si>
  <si>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</si>
  <si>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</si>
  <si>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</si>
  <si>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</si>
  <si>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</si>
  <si>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</si>
  <si>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</si>
  <si>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</si>
  <si>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</si>
  <si>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</si>
  <si>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</si>
  <si>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</si>
  <si>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</si>
  <si>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</si>
  <si>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</si>
  <si>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</si>
  <si>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</si>
  <si>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</si>
  <si>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</si>
  <si>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</si>
  <si>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</si>
  <si>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</si>
  <si>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</si>
  <si>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</si>
  <si>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</si>
  <si>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</si>
  <si>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</si>
  <si>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</si>
  <si>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</si>
  <si>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</si>
  <si>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</si>
  <si>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</si>
  <si>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</si>
  <si>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</si>
  <si>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</si>
  <si>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</si>
  <si>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</si>
  <si>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</si>
  <si>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</si>
  <si>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</si>
  <si>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</si>
  <si>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</si>
  <si>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</si>
  <si>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</si>
  <si>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</si>
  <si>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</si>
  <si>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</si>
  <si>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</si>
  <si>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</si>
  <si>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</si>
  <si>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</si>
  <si>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</si>
  <si>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</si>
  <si>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</si>
  <si>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</si>
  <si>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</si>
  <si>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</si>
  <si>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</si>
  <si>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</si>
  <si>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</si>
  <si>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</si>
  <si>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</si>
  <si>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</si>
  <si>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</si>
  <si>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</si>
  <si>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</si>
  <si>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</si>
  <si>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</si>
  <si>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</si>
  <si>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</si>
  <si>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</si>
  <si>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</si>
  <si>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</si>
  <si>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</si>
  <si>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</si>
  <si>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</si>
  <si>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</si>
  <si>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</si>
  <si>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</si>
  <si>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</si>
  <si>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</si>
  <si>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</si>
  <si>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</si>
  <si>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</si>
  <si>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</si>
  <si>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</si>
  <si>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</si>
  <si>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</si>
  <si>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</si>
  <si>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</si>
  <si>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</si>
  <si>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</si>
  <si>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</si>
  <si>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</si>
  <si>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</si>
  <si>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</si>
  <si>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</si>
  <si>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</si>
  <si>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</si>
  <si>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</si>
  <si>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</si>
  <si>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</si>
  <si>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</si>
  <si>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</si>
  <si>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</si>
  <si>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</si>
  <si>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</si>
  <si>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</si>
  <si>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</si>
  <si>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</si>
  <si>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</si>
  <si>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</si>
  <si>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</si>
  <si>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</si>
  <si>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</si>
  <si>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</si>
  <si>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</si>
  <si>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</si>
  <si>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</si>
  <si>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</si>
  <si>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</si>
  <si>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</si>
  <si>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</si>
  <si>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</si>
  <si>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</si>
  <si>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</si>
  <si>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</si>
  <si>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</si>
  <si>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</si>
  <si>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</si>
  <si>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</si>
  <si>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</si>
  <si>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</si>
  <si>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</si>
  <si>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</si>
  <si>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</si>
  <si>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</si>
  <si>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</si>
  <si>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</si>
  <si>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</si>
  <si>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</si>
  <si>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</si>
  <si>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</si>
  <si>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</si>
  <si>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</si>
  <si>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</si>
  <si>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</si>
  <si>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</si>
  <si>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</si>
  <si>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</si>
  <si>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</si>
  <si>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</si>
  <si>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</si>
  <si>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</si>
  <si>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</si>
  <si>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</si>
  <si>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</si>
  <si>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</si>
  <si>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</si>
  <si>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</si>
  <si>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</si>
  <si>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</si>
  <si>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</si>
  <si>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</si>
  <si>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</si>
  <si>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</si>
  <si>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</si>
  <si>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</si>
  <si>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</si>
  <si>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</si>
  <si>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</si>
  <si>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</si>
  <si>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</si>
  <si>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</si>
  <si>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</si>
  <si>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</si>
  <si>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</si>
  <si>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</si>
  <si>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</si>
  <si>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</si>
  <si>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</si>
  <si>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</si>
  <si>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</si>
  <si>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</si>
  <si>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</si>
  <si>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</si>
  <si>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</si>
  <si>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</si>
  <si>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</si>
  <si>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</si>
  <si>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</si>
  <si>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</si>
  <si>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</si>
  <si>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</si>
  <si>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</si>
  <si>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</si>
  <si>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</si>
  <si>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</si>
  <si>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</si>
  <si>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</si>
  <si>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</si>
  <si>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</si>
  <si>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</si>
  <si>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</si>
  <si>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</si>
  <si>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</si>
  <si>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</si>
  <si>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</si>
  <si>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</si>
  <si>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</si>
  <si>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</si>
  <si>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</si>
  <si>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</si>
  <si>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</si>
  <si>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</si>
  <si>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</si>
  <si>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</si>
  <si>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</si>
  <si>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</si>
  <si>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</si>
  <si>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</si>
  <si>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</si>
  <si>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</si>
  <si>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</si>
  <si>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</si>
  <si>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</si>
  <si>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</si>
  <si>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</si>
  <si>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</si>
  <si>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</si>
  <si>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</si>
  <si>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</si>
  <si>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</si>
  <si>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</si>
  <si>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</si>
  <si>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</si>
  <si>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</si>
  <si>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</si>
  <si>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</si>
  <si>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</si>
  <si>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</si>
  <si>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</si>
  <si>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</si>
  <si>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</si>
  <si>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</si>
  <si>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</si>
  <si>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</si>
  <si>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</si>
  <si>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</si>
  <si>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</si>
  <si>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</si>
  <si>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</si>
  <si>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</si>
  <si>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</si>
  <si>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</si>
  <si>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</si>
  <si>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</si>
  <si>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</si>
  <si>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</si>
  <si>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</si>
  <si>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</si>
  <si>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</si>
  <si>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</si>
  <si>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</si>
  <si>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</si>
  <si>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</si>
  <si>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</si>
  <si>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</si>
  <si>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</si>
  <si>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</si>
  <si>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</si>
  <si>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</si>
  <si>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</si>
  <si>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</si>
  <si>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</si>
  <si>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</si>
  <si>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</si>
  <si>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</si>
  <si>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</si>
  <si>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</si>
  <si>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</si>
  <si>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</si>
  <si>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</si>
  <si>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</si>
  <si>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</si>
  <si>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</si>
  <si>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</si>
  <si>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</si>
  <si>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</si>
  <si>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</si>
  <si>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</si>
  <si>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</si>
  <si>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</si>
  <si>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</si>
  <si>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</si>
  <si>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</si>
  <si>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</si>
  <si>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</si>
  <si>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</si>
  <si>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</si>
  <si>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</si>
  <si>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</si>
  <si>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</si>
  <si>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</si>
  <si>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</si>
  <si>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</si>
  <si>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</si>
  <si>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</si>
  <si>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</si>
  <si>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</si>
  <si>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</si>
  <si>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</si>
  <si>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</si>
  <si>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</si>
  <si>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</si>
  <si>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</si>
  <si>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</si>
  <si>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</si>
  <si>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</si>
  <si>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</si>
  <si>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</si>
  <si>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</si>
  <si>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</si>
  <si>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</si>
  <si>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</si>
  <si>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</si>
  <si>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</si>
  <si>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</si>
  <si>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</si>
  <si>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</si>
  <si>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</si>
  <si>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</si>
  <si>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</si>
  <si>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</si>
  <si>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</si>
  <si>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</si>
  <si>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</si>
  <si>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</si>
  <si>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</si>
  <si>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</si>
  <si>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</si>
  <si>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</si>
  <si>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</si>
  <si>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</si>
  <si>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</si>
  <si>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</si>
  <si>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</si>
  <si>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</si>
  <si>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</si>
  <si>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</si>
  <si>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</si>
  <si>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</si>
  <si>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</si>
  <si>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</si>
  <si>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</si>
  <si>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</si>
  <si>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</si>
  <si>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</si>
  <si>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</si>
  <si>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</si>
  <si>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</si>
  <si>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</si>
  <si>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</si>
  <si>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</si>
  <si>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</si>
  <si>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</si>
  <si>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</si>
  <si>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</si>
  <si>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</si>
  <si>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</si>
  <si>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</si>
  <si>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</si>
  <si>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</si>
  <si>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</si>
  <si>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</si>
  <si>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</si>
  <si>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</si>
  <si>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</si>
  <si>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</si>
  <si>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</si>
  <si>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</si>
  <si>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</si>
  <si>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</si>
  <si>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</si>
  <si>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</si>
  <si>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</si>
  <si>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</si>
  <si>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</si>
  <si>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</si>
  <si>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</si>
  <si>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</si>
  <si>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</si>
  <si>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</si>
  <si>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</si>
  <si>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</si>
  <si>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</si>
  <si>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</si>
  <si>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</si>
  <si>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</si>
  <si>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</si>
  <si>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</si>
  <si>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</si>
  <si>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</si>
  <si>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</si>
  <si>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</si>
  <si>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</si>
  <si>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</si>
  <si>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</si>
  <si>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</si>
  <si>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</si>
  <si>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</si>
  <si>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</si>
  <si>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</si>
  <si>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</si>
  <si>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</si>
  <si>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</si>
  <si>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</si>
  <si>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</si>
  <si>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</si>
  <si>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</si>
  <si>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</si>
  <si>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</si>
  <si>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</si>
  <si>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</si>
  <si>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</si>
  <si>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</si>
  <si>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</si>
  <si>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</si>
  <si>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</si>
  <si>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</si>
  <si>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</si>
  <si>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</si>
  <si>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</si>
  <si>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</si>
  <si>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</si>
  <si>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</si>
  <si>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</si>
  <si>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</si>
  <si>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</si>
  <si>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</si>
  <si>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</si>
  <si>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</si>
  <si>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</si>
  <si>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</si>
  <si>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</si>
  <si>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</si>
  <si>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</si>
  <si>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</si>
  <si>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</si>
  <si>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</si>
  <si>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</si>
  <si>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</si>
  <si>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</si>
  <si>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</si>
  <si>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</si>
  <si>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</si>
  <si>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</si>
  <si>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</si>
  <si>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</si>
  <si>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</si>
  <si>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</si>
  <si>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</si>
  <si>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</si>
  <si>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</si>
  <si>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</si>
  <si>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</si>
  <si>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</si>
  <si>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</si>
  <si>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</si>
  <si>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</si>
  <si>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</si>
  <si>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</si>
  <si>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</si>
  <si>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</si>
  <si>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</si>
  <si>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</si>
  <si>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</si>
  <si>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</si>
  <si>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</si>
  <si>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</si>
  <si>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</si>
  <si>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</si>
  <si>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</si>
  <si>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</si>
  <si>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</si>
  <si>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</si>
  <si>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</si>
  <si>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</si>
  <si>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</si>
  <si>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</si>
  <si>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</si>
  <si>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</si>
  <si>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</si>
  <si>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</si>
  <si>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</si>
  <si>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</si>
  <si>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</si>
  <si>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</si>
  <si>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</si>
  <si>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</si>
  <si>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</si>
  <si>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</si>
  <si>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</si>
  <si>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</si>
  <si>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</si>
  <si>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</si>
  <si>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</si>
  <si>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</si>
  <si>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</si>
  <si>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</si>
  <si>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</si>
  <si>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</si>
  <si>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</si>
  <si>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</si>
  <si>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</si>
  <si>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</si>
  <si>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</si>
  <si>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</si>
  <si>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</si>
  <si>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</si>
  <si>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</si>
  <si>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</si>
  <si>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</si>
  <si>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</si>
  <si>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</si>
  <si>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</si>
  <si>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</si>
  <si>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</si>
  <si>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</si>
  <si>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</si>
  <si>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</si>
  <si>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</si>
  <si>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</si>
  <si>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</si>
  <si>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</si>
  <si>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</si>
  <si>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</si>
  <si>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</si>
  <si>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</si>
  <si>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</si>
  <si>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</si>
  <si>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</si>
  <si>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</si>
  <si>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</si>
  <si>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</si>
  <si>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</si>
  <si>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</si>
  <si>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</si>
  <si>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</si>
  <si>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</si>
  <si>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</si>
  <si>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</si>
  <si>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</si>
  <si>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</si>
  <si>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</si>
  <si>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</si>
  <si>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</si>
  <si>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</si>
  <si>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</si>
  <si>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</si>
  <si>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</si>
  <si>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</si>
  <si>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</si>
  <si>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</si>
  <si>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</si>
  <si>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</si>
  <si>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</si>
  <si>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</si>
  <si>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</si>
  <si>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</si>
  <si>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</si>
  <si>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</si>
  <si>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</si>
  <si>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</si>
  <si>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</si>
  <si>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</si>
  <si>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</si>
  <si>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</si>
  <si>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</si>
  <si>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</si>
  <si>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</si>
  <si>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</si>
  <si>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</si>
  <si>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</si>
  <si>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</si>
  <si>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</si>
  <si>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</si>
  <si>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</si>
  <si>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</si>
  <si>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</si>
  <si>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</si>
  <si>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</si>
  <si>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</si>
  <si>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</si>
  <si>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</si>
  <si>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</si>
  <si>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</si>
  <si>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</si>
  <si>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</si>
  <si>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</si>
  <si>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</si>
  <si>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</si>
  <si>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</si>
  <si>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</si>
  <si>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</si>
  <si>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</si>
  <si>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</si>
  <si>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</si>
  <si>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</si>
  <si>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</si>
  <si>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</si>
  <si>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</si>
  <si>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</si>
  <si>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</si>
  <si>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</si>
  <si>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</si>
  <si>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</si>
  <si>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</si>
  <si>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</si>
  <si>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</si>
  <si>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</si>
  <si>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</si>
  <si>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</si>
  <si>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</si>
  <si>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</si>
  <si>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</si>
  <si>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</si>
  <si>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</si>
  <si>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</si>
  <si>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</si>
  <si>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</si>
  <si>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</si>
  <si>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</si>
  <si>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</si>
  <si>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</si>
  <si>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</si>
  <si>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</si>
  <si>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</si>
  <si>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</si>
  <si>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</si>
  <si>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</si>
  <si>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</si>
  <si>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</si>
  <si>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</si>
  <si>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</si>
  <si>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</si>
  <si>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</si>
  <si>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</si>
  <si>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</si>
  <si>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</si>
  <si>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</si>
  <si>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</si>
  <si>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</si>
  <si>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</si>
  <si>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</si>
  <si>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</si>
  <si>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</si>
  <si>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</si>
  <si>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</si>
  <si>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</si>
  <si>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</si>
  <si>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</si>
  <si>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</si>
  <si>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</si>
  <si>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</si>
  <si>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</si>
  <si>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</si>
  <si>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</si>
  <si>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</si>
  <si>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</si>
  <si>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</si>
  <si>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</si>
  <si>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</si>
  <si>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</si>
  <si>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</si>
  <si>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</si>
  <si>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</si>
  <si>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</si>
  <si>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</si>
  <si>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</si>
  <si>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</si>
  <si>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</si>
  <si>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</si>
  <si>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</si>
  <si>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</si>
  <si>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</si>
  <si>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</si>
  <si>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</si>
  <si>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</si>
  <si>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</si>
  <si>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</si>
  <si>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</si>
  <si>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</si>
  <si>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</si>
  <si>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</si>
  <si>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</si>
  <si>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</si>
  <si>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</si>
  <si>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</si>
  <si>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</si>
  <si>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</si>
  <si>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</si>
  <si>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</si>
  <si>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</si>
  <si>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</si>
  <si>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</si>
  <si>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</si>
  <si>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</si>
  <si>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</si>
  <si>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</si>
  <si>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</si>
  <si>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</si>
  <si>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</si>
  <si>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</si>
  <si>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</si>
  <si>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</si>
  <si>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</si>
  <si>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</si>
  <si>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</si>
  <si>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</si>
  <si>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</si>
  <si>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</si>
  <si>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</si>
  <si>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</si>
  <si>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</si>
  <si>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</si>
  <si>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</si>
  <si>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</si>
  <si>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</si>
  <si>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</si>
  <si>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</si>
  <si>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</si>
  <si>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</si>
  <si>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</si>
  <si>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</si>
  <si>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</si>
  <si>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</si>
  <si>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</si>
  <si>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</si>
  <si>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</si>
  <si>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</si>
  <si>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</si>
  <si>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</si>
  <si>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</si>
  <si>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</si>
  <si>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</si>
  <si>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</si>
  <si>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</si>
  <si>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</si>
  <si>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</si>
  <si>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</si>
  <si>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</si>
  <si>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</si>
  <si>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</si>
  <si>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</si>
  <si>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</si>
  <si>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</si>
  <si>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</si>
  <si>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</si>
  <si>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</si>
  <si>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</si>
  <si>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</si>
  <si>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</si>
  <si>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</si>
  <si>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</si>
  <si>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</si>
  <si>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</si>
  <si>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</si>
  <si>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</si>
  <si>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</si>
  <si>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</si>
  <si>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</si>
  <si>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</si>
  <si>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</si>
  <si>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</si>
  <si>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</si>
  <si>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</si>
  <si>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</si>
  <si>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</si>
  <si>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</si>
  <si>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</si>
  <si>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</si>
  <si>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</si>
  <si>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</si>
  <si>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</si>
  <si>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</si>
  <si>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</si>
  <si>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</si>
  <si>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</si>
  <si>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</si>
  <si>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</si>
  <si>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</si>
  <si>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</si>
  <si>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</si>
  <si>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</si>
  <si>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</si>
  <si>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</si>
  <si>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</si>
  <si>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</si>
  <si>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</si>
  <si>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</si>
  <si>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</si>
  <si>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</si>
  <si>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</si>
  <si>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</si>
  <si>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</si>
  <si>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</si>
  <si>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</si>
  <si>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</si>
  <si>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</si>
  <si>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</si>
  <si>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</si>
  <si>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</si>
  <si>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</si>
  <si>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</si>
  <si>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</si>
  <si>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</si>
  <si>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</si>
  <si>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</si>
  <si>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</si>
  <si>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</si>
  <si>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</si>
  <si>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</si>
  <si>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</si>
  <si>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</si>
  <si>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</si>
  <si>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</si>
  <si>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</si>
  <si>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</si>
  <si>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</si>
  <si>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</si>
  <si>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</si>
  <si>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</si>
  <si>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</si>
  <si>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</si>
  <si>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</si>
  <si>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</si>
  <si>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</si>
  <si>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</si>
  <si>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</si>
  <si>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</si>
  <si>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</si>
  <si>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</si>
  <si>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</si>
  <si>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</si>
  <si>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</si>
  <si>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</si>
  <si>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</si>
  <si>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</si>
  <si>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</si>
  <si>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</si>
  <si>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</si>
  <si>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</si>
  <si>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</si>
  <si>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</si>
  <si>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</si>
  <si>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</si>
  <si>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</si>
  <si>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</si>
  <si>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</si>
  <si>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</si>
  <si>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</si>
  <si>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</si>
  <si>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</si>
  <si>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</si>
  <si>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</si>
  <si>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</si>
  <si>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</si>
  <si>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</si>
  <si>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</si>
  <si>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</si>
  <si>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</si>
  <si>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</si>
  <si>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</si>
  <si>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</si>
  <si>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</si>
  <si>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</si>
  <si>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</si>
  <si>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</si>
  <si>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</si>
  <si>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</si>
  <si>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</si>
  <si>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</si>
  <si>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</si>
  <si>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</si>
  <si>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</si>
  <si>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</si>
  <si>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</si>
  <si>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</si>
  <si>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</si>
  <si>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</si>
  <si>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</si>
  <si>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</si>
  <si>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</si>
  <si>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</si>
  <si>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</si>
  <si>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</si>
  <si>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</si>
  <si>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</si>
  <si>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</si>
  <si>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</si>
  <si>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</si>
  <si>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</si>
  <si>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</si>
  <si>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</si>
  <si>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</si>
  <si>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</si>
  <si>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</si>
  <si>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</si>
  <si>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</si>
  <si>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</si>
  <si>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</si>
  <si>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</si>
  <si>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</si>
  <si>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</si>
  <si>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</si>
  <si>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</si>
  <si>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</si>
  <si>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</si>
  <si>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</si>
  <si>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</si>
  <si>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</si>
  <si>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</si>
  <si>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</si>
  <si>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</si>
  <si>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</si>
  <si>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</si>
  <si>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</si>
  <si>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</si>
  <si>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</si>
  <si>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</si>
  <si>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</si>
  <si>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</si>
  <si>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</si>
  <si>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</si>
  <si>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</si>
  <si>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</si>
  <si>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</si>
  <si>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</si>
  <si>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</si>
  <si>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</si>
  <si>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</si>
  <si>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</si>
  <si>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</si>
  <si>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</si>
  <si>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</si>
  <si>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</si>
  <si>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</si>
  <si>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</si>
  <si>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</si>
  <si>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</si>
  <si>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</si>
  <si>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</si>
  <si>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</si>
  <si>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</si>
  <si>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</si>
  <si>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</si>
  <si>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</si>
  <si>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</si>
  <si>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</si>
  <si>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</si>
  <si>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</si>
  <si>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</si>
  <si>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</si>
  <si>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</si>
  <si>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</si>
  <si>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</si>
  <si>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</si>
  <si>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</si>
  <si>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</si>
  <si>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</si>
  <si>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</si>
  <si>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</si>
  <si>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</si>
  <si>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</si>
  <si>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</si>
  <si>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</si>
  <si>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</si>
  <si>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</si>
  <si>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</si>
  <si>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</si>
  <si>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</si>
  <si>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</si>
  <si>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</si>
  <si>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</si>
  <si>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</si>
  <si>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</si>
  <si>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</si>
  <si>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</si>
  <si>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</si>
  <si>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</si>
  <si>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</si>
  <si>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</si>
  <si>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</si>
  <si>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</si>
  <si>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</si>
  <si>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</si>
  <si>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</si>
  <si>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</si>
  <si>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</si>
  <si>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</si>
  <si>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</si>
  <si>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</si>
  <si>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</si>
  <si>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</si>
  <si>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</si>
  <si>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</si>
  <si>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</si>
  <si>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</si>
  <si>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</si>
  <si>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</si>
  <si>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</si>
  <si>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</si>
  <si>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</si>
  <si>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</si>
  <si>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</si>
  <si>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</si>
  <si>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</si>
  <si>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</si>
  <si>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</si>
  <si>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</si>
  <si>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</si>
  <si>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</si>
  <si>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</si>
  <si>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</si>
  <si>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</si>
  <si>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</si>
  <si>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</si>
  <si>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</si>
  <si>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</si>
  <si>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</si>
  <si>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</si>
  <si>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</si>
  <si>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</si>
  <si>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</si>
  <si>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</si>
  <si>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</si>
  <si>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</si>
  <si>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</si>
  <si>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</si>
  <si>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</si>
  <si>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</si>
  <si>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</si>
  <si>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</si>
  <si>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</si>
  <si>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</si>
  <si>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</si>
  <si>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</si>
  <si>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</si>
  <si>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</si>
  <si>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</si>
  <si>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</si>
  <si>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</si>
  <si>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</si>
  <si>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</si>
  <si>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</si>
  <si>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</si>
  <si>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</si>
  <si>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</si>
  <si>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</si>
  <si>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</si>
  <si>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</si>
  <si>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</si>
  <si>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</si>
  <si>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</si>
  <si>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</si>
  <si>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</si>
  <si>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</si>
  <si>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</si>
  <si>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</si>
  <si>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</si>
  <si>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</si>
  <si>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</si>
  <si>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</si>
  <si>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</si>
  <si>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</si>
  <si>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</si>
  <si>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</si>
  <si>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</si>
  <si>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</si>
  <si>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</si>
  <si>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</si>
  <si>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</si>
  <si>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</si>
  <si>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</si>
  <si>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</si>
  <si>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</si>
  <si>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</si>
  <si>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</si>
  <si>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</si>
  <si>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</si>
  <si>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</si>
  <si>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</si>
  <si>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</si>
  <si>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</si>
  <si>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</si>
  <si>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</si>
  <si>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</si>
  <si>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</si>
  <si>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</si>
  <si>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</si>
  <si>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</si>
  <si>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</si>
  <si>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</si>
  <si>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</si>
  <si>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</si>
  <si>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</si>
  <si>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</si>
  <si>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</si>
  <si>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</si>
  <si>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</si>
  <si>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</si>
  <si>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</si>
  <si>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</si>
  <si>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</si>
  <si>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</si>
  <si>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</si>
  <si>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</si>
  <si>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</si>
  <si>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</si>
  <si>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</si>
  <si>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</si>
  <si>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</si>
  <si>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</si>
  <si>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</si>
  <si>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</si>
  <si>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</si>
  <si>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</si>
  <si>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</si>
  <si>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</si>
  <si>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</si>
  <si>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</si>
  <si>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</si>
  <si>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</si>
  <si>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</si>
  <si>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</si>
  <si>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</si>
  <si>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</si>
  <si>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</si>
  <si>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</si>
  <si>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</si>
  <si>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</si>
  <si>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</si>
  <si>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</si>
  <si>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</si>
  <si>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</si>
  <si>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</si>
  <si>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</si>
  <si>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</si>
  <si>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</si>
  <si>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</si>
  <si>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</si>
  <si>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</si>
  <si>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</si>
  <si>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</si>
  <si>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</si>
  <si>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</si>
  <si>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</si>
  <si>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</si>
  <si>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</si>
  <si>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</si>
  <si>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</si>
  <si>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</si>
  <si>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</si>
  <si>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</si>
  <si>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</si>
  <si>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</si>
  <si>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</si>
  <si>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</si>
  <si>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</si>
  <si>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</si>
  <si>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</si>
  <si>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</si>
  <si>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</si>
  <si>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</si>
  <si>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</si>
  <si>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</si>
  <si>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</si>
  <si>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</si>
  <si>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</si>
  <si>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</si>
  <si>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</si>
  <si>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</si>
  <si>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</si>
  <si>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</si>
  <si>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</si>
  <si>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</si>
  <si>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</si>
  <si>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</si>
  <si>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</si>
  <si>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</si>
  <si>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</si>
  <si>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</si>
  <si>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</si>
  <si>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</si>
  <si>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</si>
  <si>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</si>
  <si>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</si>
  <si>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</si>
  <si>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</si>
  <si>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</si>
  <si>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</si>
  <si>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</si>
  <si>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</si>
  <si>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</si>
  <si>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</si>
  <si>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</si>
  <si>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</si>
  <si>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</si>
  <si>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</si>
  <si>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</si>
  <si>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</si>
  <si>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</si>
  <si>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</si>
  <si>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</si>
  <si>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</si>
  <si>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</si>
  <si>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</si>
  <si>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</si>
  <si>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</si>
  <si>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</si>
  <si>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</si>
  <si>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</si>
  <si>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</si>
  <si>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</si>
  <si>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</si>
  <si>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</si>
  <si>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</si>
  <si>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</si>
  <si>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</si>
  <si>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</si>
  <si>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</si>
  <si>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</si>
  <si>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</si>
  <si>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</si>
  <si>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</si>
  <si>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</si>
  <si>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</si>
  <si>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</si>
  <si>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</si>
  <si>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</si>
  <si>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</si>
  <si>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</si>
  <si>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</si>
  <si>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</si>
  <si>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</si>
  <si>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</si>
  <si>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</si>
  <si>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</si>
  <si>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</si>
  <si>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</si>
  <si>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</si>
  <si>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</si>
  <si>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</si>
  <si>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</si>
  <si>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</si>
  <si>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</si>
  <si>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</si>
  <si>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</si>
  <si>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</si>
  <si>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</si>
  <si>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</si>
  <si>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</si>
  <si>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</si>
  <si>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</si>
  <si>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</si>
  <si>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</si>
  <si>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</si>
  <si>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</si>
  <si>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</si>
  <si>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</si>
  <si>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</si>
  <si>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</si>
  <si>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</si>
  <si>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</si>
  <si>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</si>
  <si>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</si>
  <si>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</si>
  <si>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</si>
  <si>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</si>
  <si>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</si>
  <si>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</si>
  <si>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</si>
  <si>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</si>
  <si>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</si>
  <si>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</si>
  <si>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</si>
  <si>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</si>
  <si>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</si>
  <si>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</si>
  <si>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</si>
  <si>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</si>
  <si>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</si>
  <si>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</si>
  <si>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</si>
  <si>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</si>
  <si>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</si>
  <si>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</si>
  <si>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</si>
  <si>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</si>
  <si>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</si>
  <si>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</si>
  <si>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</si>
  <si>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</si>
  <si>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</si>
  <si>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</si>
  <si>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</si>
  <si>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</si>
  <si>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</si>
  <si>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</si>
  <si>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</si>
  <si>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</si>
  <si>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</si>
  <si>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</si>
  <si>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</si>
  <si>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</si>
  <si>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</si>
  <si>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</si>
  <si>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</si>
  <si>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</si>
  <si>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</si>
  <si>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</si>
  <si>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</si>
  <si>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</si>
  <si>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</si>
  <si>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</si>
  <si>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</si>
  <si>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</si>
  <si>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</si>
  <si>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</si>
  <si>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</si>
  <si>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</si>
  <si>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</si>
  <si>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</si>
  <si>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</si>
  <si>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</si>
  <si>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</si>
  <si>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</si>
  <si>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</si>
  <si>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</si>
  <si>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</si>
  <si>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</si>
  <si>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</si>
  <si>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</si>
  <si>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</si>
  <si>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</si>
  <si>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</si>
  <si>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</si>
  <si>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</si>
  <si>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</si>
  <si>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</si>
  <si>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</si>
  <si>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</si>
  <si>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</si>
  <si>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</si>
  <si>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</si>
  <si>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</si>
  <si>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</si>
  <si>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</si>
  <si>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</si>
  <si>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</si>
  <si>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</si>
  <si>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</si>
  <si>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</si>
  <si>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</si>
  <si>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</si>
  <si>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</si>
  <si>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</si>
  <si>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</si>
  <si>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</si>
  <si>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</si>
  <si>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</si>
  <si>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</si>
  <si>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</si>
  <si>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</si>
  <si>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</si>
  <si>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</si>
  <si>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</si>
  <si>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</si>
  <si>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</si>
  <si>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</si>
  <si>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</si>
  <si>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</si>
  <si>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</si>
  <si>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</si>
  <si>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</si>
  <si>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</si>
  <si>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</si>
  <si>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</si>
  <si>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</si>
  <si>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</si>
  <si>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</si>
  <si>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</si>
  <si>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</si>
  <si>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</si>
  <si>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</si>
  <si>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</si>
  <si>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</si>
  <si>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</si>
  <si>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</si>
  <si>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</si>
  <si>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</si>
  <si>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</si>
  <si>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</si>
  <si>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</si>
  <si>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</si>
  <si>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</si>
  <si>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</si>
  <si>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</si>
  <si>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</si>
  <si>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</si>
  <si>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</si>
  <si>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</si>
  <si>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</si>
  <si>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</si>
  <si>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</si>
  <si>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</si>
  <si>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</si>
  <si>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</si>
  <si>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</si>
  <si>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</si>
  <si>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</si>
  <si>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</si>
  <si>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</si>
  <si>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</si>
  <si>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</si>
  <si>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</si>
  <si>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</si>
  <si>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</si>
  <si>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</si>
  <si>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</si>
  <si>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</si>
  <si>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</si>
  <si>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</si>
  <si>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</si>
  <si>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</si>
  <si>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</si>
  <si>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</si>
  <si>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</si>
  <si>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</si>
  <si>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</si>
  <si>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</si>
  <si>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</si>
  <si>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</si>
  <si>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</si>
  <si>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</si>
  <si>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</si>
  <si>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</si>
  <si>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</si>
  <si>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</si>
  <si>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</si>
  <si>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</si>
  <si>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</si>
  <si>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</si>
  <si>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</si>
  <si>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</si>
  <si>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</si>
  <si>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</si>
  <si>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</si>
  <si>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</si>
  <si>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</si>
  <si>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</si>
  <si>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</si>
  <si>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</si>
  <si>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</si>
  <si>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</si>
  <si>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</si>
  <si>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</si>
  <si>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</si>
  <si>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</si>
  <si>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</si>
  <si>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</si>
  <si>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</si>
  <si>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</si>
  <si>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</si>
  <si>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</si>
  <si>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</si>
  <si>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</si>
  <si>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</si>
  <si>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</si>
  <si>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</si>
  <si>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</si>
  <si>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</si>
  <si>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</si>
  <si>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</si>
  <si>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</si>
  <si>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</si>
  <si>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</si>
  <si>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</si>
  <si>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</si>
  <si>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</si>
  <si>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</si>
  <si>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</si>
  <si>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</si>
  <si>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</si>
  <si>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</si>
  <si>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</si>
  <si>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</si>
  <si>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</si>
  <si>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</si>
  <si>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</si>
  <si>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</si>
  <si>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</si>
  <si>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</si>
  <si>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</si>
  <si>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</si>
  <si>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</si>
  <si>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</si>
  <si>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</si>
  <si>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</si>
  <si>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</si>
  <si>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</si>
  <si>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</si>
  <si>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</si>
  <si>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</si>
  <si>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</si>
  <si>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</si>
  <si>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</si>
  <si>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</si>
  <si>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</si>
  <si>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</si>
  <si>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</si>
  <si>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</si>
  <si>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</si>
  <si>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</si>
  <si>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</si>
  <si>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</si>
  <si>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</si>
  <si>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</si>
  <si>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</si>
  <si>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</si>
  <si>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</si>
  <si>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</si>
  <si>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</si>
  <si>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</si>
  <si>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</si>
  <si>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</si>
  <si>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</si>
  <si>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</si>
  <si>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</si>
  <si>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</si>
  <si>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</si>
  <si>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</si>
  <si>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</si>
  <si>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</si>
  <si>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</si>
  <si>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</si>
  <si>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</si>
  <si>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</si>
  <si>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</si>
  <si>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</si>
  <si>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</si>
  <si>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</si>
  <si>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</si>
  <si>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</si>
  <si>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</si>
  <si>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</si>
  <si>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</si>
  <si>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</si>
  <si>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</si>
  <si>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</si>
  <si>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</si>
  <si>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</si>
  <si>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</si>
  <si>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</si>
  <si>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</si>
  <si>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</si>
  <si>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</si>
  <si>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</si>
  <si>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</si>
  <si>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</si>
  <si>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</si>
  <si>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</si>
  <si>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</si>
  <si>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</si>
  <si>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</si>
  <si>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</si>
  <si>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</si>
  <si>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</si>
  <si>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</si>
  <si>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</si>
  <si>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</si>
  <si>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</si>
  <si>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</si>
  <si>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</si>
  <si>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</si>
  <si>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</si>
  <si>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</si>
  <si>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</si>
  <si>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</si>
  <si>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</si>
  <si>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</si>
  <si>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</si>
  <si>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</si>
  <si>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</si>
  <si>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</si>
  <si>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</si>
  <si>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</si>
  <si>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</si>
  <si>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</si>
  <si>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</si>
  <si>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</si>
  <si>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</si>
  <si>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</si>
  <si>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</si>
  <si>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</si>
  <si>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</si>
  <si>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</si>
  <si>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</si>
  <si>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</si>
  <si>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</si>
  <si>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</si>
  <si>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</si>
  <si>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</si>
  <si>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</si>
  <si>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</si>
  <si>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</si>
  <si>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</si>
  <si>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</si>
  <si>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</si>
  <si>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</si>
  <si>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</si>
  <si>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</si>
  <si>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</si>
  <si>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</si>
  <si>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</si>
  <si>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</si>
  <si>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</si>
  <si>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</si>
  <si>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</si>
  <si>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</si>
  <si>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</si>
  <si>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</si>
  <si>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</si>
  <si>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</si>
  <si>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</si>
  <si>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</si>
  <si>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</si>
  <si>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</si>
  <si>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</si>
  <si>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</si>
  <si>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</si>
  <si>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</si>
  <si>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</si>
  <si>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</si>
  <si>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</si>
  <si>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</si>
  <si>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</si>
  <si>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</si>
  <si>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</si>
  <si>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</si>
  <si>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</si>
  <si>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</si>
  <si>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</si>
  <si>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</si>
  <si>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</si>
  <si>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</si>
  <si>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</si>
  <si>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</si>
  <si>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</si>
  <si>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</si>
  <si>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</si>
  <si>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</si>
  <si>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</si>
  <si>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</si>
  <si>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</si>
  <si>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</si>
  <si>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</si>
  <si>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</si>
  <si>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</si>
  <si>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</si>
  <si>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</si>
  <si>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</si>
  <si>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</si>
  <si>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</si>
  <si>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</si>
  <si>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</si>
  <si>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</si>
  <si>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</si>
  <si>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</si>
  <si>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</si>
  <si>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</si>
  <si>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</si>
  <si>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</si>
  <si>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</si>
  <si>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</si>
  <si>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</si>
  <si>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</si>
  <si>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</si>
  <si>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</si>
  <si>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</si>
  <si>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</si>
  <si>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</si>
  <si>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</si>
  <si>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</si>
  <si>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</si>
  <si>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</si>
  <si>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</si>
  <si>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</si>
  <si>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</si>
  <si>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</si>
  <si>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</si>
  <si>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</si>
  <si>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</si>
  <si>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</si>
  <si>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</si>
  <si>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</si>
  <si>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</si>
  <si>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</si>
  <si>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</si>
  <si>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</si>
  <si>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</si>
  <si>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</si>
  <si>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</si>
  <si>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</si>
  <si>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</si>
  <si>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</si>
  <si>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</si>
  <si>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</si>
  <si>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</si>
  <si>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</si>
  <si>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</si>
  <si>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</si>
  <si>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</si>
  <si>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</si>
  <si>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</si>
  <si>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</si>
  <si>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</si>
  <si>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</si>
  <si>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</si>
  <si>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</si>
  <si>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</si>
  <si>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</si>
  <si>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</si>
  <si>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</si>
  <si>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</si>
  <si>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</si>
  <si>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</si>
  <si>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</si>
  <si>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</si>
  <si>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</si>
  <si>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</si>
  <si>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</si>
  <si>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</si>
  <si>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</si>
  <si>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</si>
  <si>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</si>
  <si>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</si>
  <si>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</si>
  <si>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</si>
  <si>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</si>
  <si>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</si>
  <si>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</si>
  <si>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</si>
  <si>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</si>
  <si>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</si>
  <si>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</si>
  <si>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</si>
  <si>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</si>
  <si>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</si>
  <si>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</si>
  <si>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</si>
  <si>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</si>
  <si>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</si>
  <si>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</si>
  <si>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</si>
  <si>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</si>
  <si>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</si>
  <si>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</si>
  <si>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</si>
  <si>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</si>
  <si>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</si>
  <si>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</si>
  <si>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</si>
  <si>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</si>
  <si>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</si>
  <si>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</si>
  <si>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</si>
  <si>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</si>
  <si>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</si>
  <si>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</si>
  <si>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</si>
  <si>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</si>
  <si>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</si>
  <si>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</si>
  <si>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</si>
  <si>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</si>
  <si>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</si>
  <si>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</si>
  <si>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</si>
  <si>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</si>
  <si>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</si>
  <si>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</si>
  <si>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</si>
  <si>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</si>
  <si>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</si>
  <si>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</si>
  <si>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</si>
  <si>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</si>
  <si>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</si>
  <si>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</si>
  <si>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</si>
  <si>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</si>
  <si>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</si>
  <si>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</si>
  <si>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</si>
  <si>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</si>
  <si>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</si>
  <si>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</si>
  <si>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</si>
  <si>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</si>
  <si>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</si>
  <si>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</si>
  <si>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</si>
  <si>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</si>
  <si>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</si>
  <si>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</si>
  <si>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</si>
  <si>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</si>
  <si>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</si>
  <si>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</si>
  <si>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</si>
  <si>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</si>
  <si>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</si>
  <si>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</si>
  <si>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</si>
  <si>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</si>
  <si>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</si>
  <si>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</si>
  <si>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</si>
  <si>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</si>
  <si>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</si>
  <si>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</si>
  <si>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</si>
  <si>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</si>
  <si>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</si>
  <si>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</si>
  <si>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</si>
  <si>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</si>
  <si>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</si>
  <si>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</si>
  <si>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</si>
  <si>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</si>
  <si>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</si>
  <si>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</si>
  <si>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</si>
  <si>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</si>
  <si>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</si>
  <si>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</si>
  <si>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</si>
  <si>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</si>
  <si>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</si>
  <si>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</si>
  <si>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</si>
  <si>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</si>
  <si>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</si>
  <si>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</si>
  <si>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</si>
  <si>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</si>
  <si>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</si>
  <si>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</si>
  <si>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</si>
  <si>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</si>
  <si>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</si>
  <si>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</si>
  <si>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</si>
  <si>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</si>
  <si>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</si>
  <si>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</si>
  <si>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</si>
  <si>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</si>
  <si>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</si>
  <si>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</si>
  <si>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</si>
  <si>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</si>
  <si>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</si>
  <si>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</si>
  <si>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</si>
  <si>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</si>
  <si>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</si>
  <si>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</si>
  <si>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</si>
  <si>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</si>
  <si>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</si>
  <si>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</si>
  <si>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</si>
  <si>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</si>
  <si>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</si>
  <si>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</si>
  <si>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</si>
  <si>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</si>
  <si>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</si>
  <si>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</si>
  <si>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</si>
  <si>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</si>
  <si>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</si>
  <si>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</si>
  <si>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</si>
  <si>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</si>
  <si>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</si>
  <si>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</si>
  <si>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</si>
  <si>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</si>
  <si>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</si>
  <si>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</si>
  <si>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</si>
  <si>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</si>
  <si>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</si>
  <si>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</si>
  <si>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</si>
  <si>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</si>
  <si>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</si>
  <si>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</si>
  <si>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</si>
  <si>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</si>
  <si>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</si>
  <si>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</si>
  <si>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</si>
  <si>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</si>
  <si>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</si>
  <si>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</si>
  <si>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</si>
  <si>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</si>
  <si>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</si>
  <si>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</si>
  <si>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</si>
  <si>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</si>
  <si>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</si>
  <si>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</si>
  <si>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</si>
  <si>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</si>
  <si>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</si>
  <si>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</si>
  <si>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</si>
  <si>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</si>
  <si>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</si>
  <si>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</si>
  <si>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</si>
  <si>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</si>
  <si>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</si>
  <si>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</si>
  <si>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</si>
  <si>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</si>
  <si>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</si>
  <si>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</si>
  <si>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</si>
  <si>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</si>
  <si>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</si>
  <si>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</si>
  <si>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</si>
  <si>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</si>
  <si>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</si>
  <si>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</si>
  <si>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</si>
  <si>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</si>
  <si>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</si>
  <si>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</si>
  <si>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</si>
  <si>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</si>
  <si>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</si>
  <si>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</si>
  <si>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</si>
  <si>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</si>
  <si>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</si>
  <si>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</si>
  <si>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</si>
  <si>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</si>
  <si>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</si>
  <si>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</si>
  <si>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</si>
  <si>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</si>
  <si>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</si>
  <si>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</si>
  <si>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</si>
  <si>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</si>
  <si>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</si>
  <si>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</si>
  <si>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</si>
  <si>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</si>
  <si>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</si>
  <si>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</si>
  <si>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</si>
  <si>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</si>
  <si>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</si>
  <si>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</si>
  <si>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</si>
  <si>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</si>
  <si>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</si>
  <si>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</si>
  <si>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</si>
  <si>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</si>
  <si>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</si>
  <si>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</si>
  <si>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</si>
  <si>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</si>
  <si>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</si>
  <si>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</si>
  <si>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</si>
  <si>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</si>
  <si>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</si>
  <si>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</si>
  <si>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</si>
  <si>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</si>
  <si>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</si>
  <si>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</si>
  <si>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</si>
  <si>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</si>
  <si>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</si>
  <si>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</si>
  <si>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</si>
  <si>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</si>
  <si>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</si>
  <si>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</si>
  <si>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</si>
  <si>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</si>
  <si>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</si>
  <si>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</si>
  <si>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</si>
  <si>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</si>
  <si>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</si>
  <si>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</si>
  <si>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</si>
  <si>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</si>
  <si>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</si>
  <si>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</si>
  <si>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</si>
  <si>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</si>
  <si>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</si>
  <si>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</si>
  <si>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</si>
  <si>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</si>
  <si>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</si>
  <si>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</si>
  <si>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</si>
  <si>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</si>
  <si>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</si>
  <si>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</si>
  <si>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</si>
  <si>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</si>
  <si>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</si>
  <si>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</si>
  <si>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</si>
  <si>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</si>
  <si>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</si>
  <si>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</si>
  <si>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</si>
  <si>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</si>
  <si>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</si>
  <si>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</si>
  <si>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</si>
  <si>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</si>
  <si>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</si>
  <si>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</si>
  <si>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</si>
  <si>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</si>
  <si>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</si>
  <si>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</si>
  <si>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</si>
  <si>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</si>
  <si>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</si>
  <si>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</si>
  <si>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</si>
  <si>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</si>
  <si>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</si>
  <si>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</si>
  <si>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</si>
  <si>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</si>
  <si>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</si>
  <si>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</si>
  <si>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</si>
  <si>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</si>
  <si>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</si>
  <si>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</si>
  <si>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</si>
  <si>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</si>
  <si>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</si>
  <si>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</si>
  <si>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</si>
  <si>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</si>
  <si>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</si>
  <si>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</si>
  <si>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</si>
  <si>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</si>
  <si>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</si>
  <si>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</si>
  <si>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</si>
  <si>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</si>
  <si>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</si>
  <si>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</si>
  <si>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</si>
  <si>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</si>
  <si>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</si>
  <si>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</si>
  <si>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</si>
  <si>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</si>
  <si>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</si>
  <si>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</si>
  <si>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</si>
  <si>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</si>
  <si>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</si>
  <si>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</si>
  <si>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</si>
  <si>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</si>
  <si>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</si>
  <si>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</si>
  <si>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</si>
  <si>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</si>
  <si>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</si>
  <si>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</si>
  <si>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</si>
  <si>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</si>
  <si>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</si>
  <si>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</si>
  <si>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</si>
  <si>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</si>
  <si>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</si>
  <si>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</si>
  <si>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</si>
  <si>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</si>
  <si>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</si>
  <si>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</si>
  <si>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</si>
  <si>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</si>
  <si>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</si>
  <si>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</si>
  <si>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</si>
  <si>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</si>
  <si>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</si>
  <si>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出让</t>
  </si>
  <si>
    <t>工业</t>
    <phoneticPr fontId="3" type="noConversion"/>
  </si>
  <si>
    <t>地上</t>
  </si>
  <si>
    <t>办公楼</t>
  </si>
  <si>
    <t>工业</t>
    <phoneticPr fontId="7" type="noConversion"/>
  </si>
  <si>
    <t>不动产收益法</t>
  </si>
  <si>
    <t>工业用地</t>
  </si>
  <si>
    <t>不临58条商业街</t>
  </si>
  <si>
    <t>通热</t>
  </si>
  <si>
    <t>燃气</t>
  </si>
  <si>
    <t>容积率修正</t>
  </si>
  <si>
    <t>较好</t>
  </si>
  <si>
    <t>一般</t>
  </si>
  <si>
    <t>剩余法-待开发</t>
  </si>
  <si>
    <t>押一</t>
  </si>
  <si>
    <t>钢混</t>
  </si>
  <si>
    <t>估价对象位于兴谷开发区，园区建设较成熟，产业集聚程度较好</t>
    <phoneticPr fontId="3" type="noConversion"/>
  </si>
  <si>
    <t>估价对象周边2公里范围内有平3、平4、平30，路网密集程度较好，停车便捷程度较好，综合评价交通便捷度较好</t>
    <phoneticPr fontId="3" type="noConversion"/>
  </si>
  <si>
    <t>估价对象所在区域公共配套设施齐备情况一般</t>
    <phoneticPr fontId="3" type="noConversion"/>
  </si>
  <si>
    <t>估价对象所在区域基础设施水平：七通</t>
    <phoneticPr fontId="3" type="noConversion"/>
  </si>
  <si>
    <t>该园区内是否有污染型企业，绿化情况，卫生条件，整体环境状况判断：较好</t>
    <phoneticPr fontId="3" type="noConversion"/>
  </si>
  <si>
    <t>较一致，工业</t>
    <phoneticPr fontId="21" type="noConversion"/>
  </si>
  <si>
    <t>多面临街</t>
  </si>
  <si>
    <t>次干道－平瑞路</t>
    <phoneticPr fontId="21" type="noConversion"/>
  </si>
  <si>
    <t>宗地形状较规则，但对宗地利用影响较小</t>
    <phoneticPr fontId="3" type="noConversion"/>
  </si>
  <si>
    <t>好</t>
  </si>
  <si>
    <t>吴薇</t>
  </si>
  <si>
    <t>刘梅</t>
  </si>
  <si>
    <t>抵押</t>
  </si>
  <si>
    <t>抵押价格</t>
  </si>
  <si>
    <t>企业</t>
  </si>
  <si>
    <t>工业</t>
    <phoneticPr fontId="6" type="noConversion"/>
  </si>
  <si>
    <t>一致</t>
  </si>
  <si>
    <t>北京中纺联创投资开发有限公司</t>
  </si>
  <si>
    <t>否</t>
  </si>
  <si>
    <t>工业项目</t>
  </si>
  <si>
    <t>无</t>
  </si>
  <si>
    <t>场地平整</t>
  </si>
  <si>
    <t>平整</t>
  </si>
  <si>
    <t>通路</t>
  </si>
  <si>
    <t>通电</t>
  </si>
  <si>
    <t>通讯</t>
  </si>
  <si>
    <t>通上水</t>
  </si>
  <si>
    <t>通下水</t>
  </si>
  <si>
    <t>北京中纺联创投资开发有限公司</t>
    <phoneticPr fontId="6" type="noConversion"/>
  </si>
  <si>
    <t>中国工商银行股份有限公司北京海淀支行</t>
    <phoneticPr fontId="6" type="noConversion"/>
  </si>
  <si>
    <t>平谷区兴谷经济开发区内</t>
    <phoneticPr fontId="6" type="noConversion"/>
  </si>
  <si>
    <t>七通一平</t>
  </si>
  <si>
    <t>增加</t>
  </si>
  <si>
    <t>Ⅹ-平1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</si>
</sst>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00B0F0"/>
      <name val="仿宋_GB2312"/>
      <family val="3"/>
      <charset val="134"/>
    </font>
    <font>
      <sz val="10"/>
      <color rgb="FF00B0F0"/>
      <name val="仿宋_GB2312"/>
      <family val="3"/>
      <charset val="134"/>
    </font>
    <font>
      <sz val="10"/>
      <color rgb="FF00B0F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267" fillId="0" borderId="51"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73" fillId="5" borderId="39" xfId="0" applyFont="1" applyFill="1" applyBorder="1" applyAlignment="1" applyProtection="1">
      <alignment horizontal="center" vertical="center" wrapText="1"/>
      <protection locked="0"/>
    </xf>
    <xf numFmtId="0" fontId="173" fillId="5" borderId="65" xfId="0" applyFont="1" applyFill="1" applyBorder="1" applyAlignment="1" applyProtection="1">
      <alignment horizontal="center" vertical="center" wrapText="1"/>
      <protection locked="0"/>
    </xf>
    <xf numFmtId="0" fontId="149" fillId="5" borderId="66"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73" fillId="5" borderId="35" xfId="0" applyFont="1" applyFill="1" applyBorder="1" applyAlignment="1" applyProtection="1">
      <alignment horizontal="center" vertical="center" wrapText="1"/>
      <protection locked="0"/>
    </xf>
    <xf numFmtId="0" fontId="173" fillId="5" borderId="79" xfId="0" applyFont="1" applyFill="1" applyBorder="1" applyAlignment="1" applyProtection="1">
      <alignment horizontal="center" vertical="center" wrapText="1"/>
      <protection locked="0"/>
    </xf>
    <xf numFmtId="0" fontId="173" fillId="5" borderId="80"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6" borderId="2" xfId="0" applyFont="1" applyFill="1" applyBorder="1" applyAlignment="1" applyProtection="1">
      <alignment horizontal="center" vertical="center" wrapText="1"/>
      <protection locked="0"/>
    </xf>
    <xf numFmtId="0" fontId="279" fillId="6" borderId="27" xfId="3" applyFont="1" applyFill="1" applyBorder="1" applyAlignment="1" applyProtection="1">
      <alignment horizontal="center" vertical="center" wrapText="1"/>
      <protection locked="0"/>
    </xf>
    <xf numFmtId="0" fontId="280" fillId="5" borderId="12" xfId="0"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475334</xdr:colOff>
      <xdr:row>11</xdr:row>
      <xdr:rowOff>133098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33334"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179;&#35895;&#24037;&#19994;4&#19975;-&#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79;&#35895;&#24037;&#19994;8&#19975;--&#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不动产收益法"/>
      <sheetName val="比较法-工业"/>
      <sheetName val="修正"/>
      <sheetName val="区片价"/>
      <sheetName val="容积率修正"/>
      <sheetName val="因素修正幅度"/>
      <sheetName val="基准地价（汇总）"/>
      <sheetName val="地价"/>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84867.78</v>
          </cell>
          <cell r="L38">
            <v>84867.78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不动产收益法"/>
      <sheetName val="比较法-工业"/>
      <sheetName val="修正"/>
      <sheetName val="区片价"/>
      <sheetName val="容积率修正"/>
      <sheetName val="因素修正幅度"/>
      <sheetName val="基准地价（汇总）"/>
      <sheetName val="地价"/>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84867.78</v>
          </cell>
          <cell r="L38">
            <v>84867.78</v>
          </cell>
          <cell r="M38">
            <v>2303</v>
          </cell>
          <cell r="N38">
            <v>2303</v>
          </cell>
          <cell r="O38">
            <v>19541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2667</v>
      </c>
      <c r="B1" s="2929" t="s">
        <v>2764</v>
      </c>
    </row>
    <row r="2" spans="1:55" s="2933" customFormat="1" ht="15" thickTop="1">
      <c r="A2" s="2931" t="s">
        <v>2671</v>
      </c>
      <c r="B2" s="2932" t="str">
        <f>'预评函-封皮'!B37</f>
        <v>北京市平谷区兴谷经济开发区内出让国有建设用地使用权抵押价格预评估</v>
      </c>
      <c r="AX2" s="2934"/>
      <c r="AZ2" s="2934"/>
      <c r="BA2" s="2935"/>
      <c r="BC2" s="2935"/>
    </row>
    <row r="3" spans="1:55" s="2936" customFormat="1">
      <c r="A3" s="2915" t="s">
        <v>2672</v>
      </c>
      <c r="B3" s="2918" t="str">
        <f>'预评函-封皮'!B40</f>
        <v>北京中纺联创投资开发有限公司</v>
      </c>
    </row>
    <row r="4" spans="1:55" s="2917" customFormat="1">
      <c r="A4" s="2915" t="s">
        <v>2673</v>
      </c>
      <c r="B4" s="2916" t="str">
        <f>'预评函-封皮'!B46</f>
        <v>刘梅、吴薇</v>
      </c>
      <c r="N4" s="2917" t="str">
        <f>'预评函-1'!A28</f>
        <v/>
      </c>
    </row>
    <row r="5" spans="1:55" s="2930" customFormat="1" ht="15" thickBot="1">
      <c r="A5" s="2937" t="s">
        <v>2674</v>
      </c>
      <c r="B5" s="2938" t="str">
        <f>'预评函-封皮'!B49</f>
        <v>康正预评字号</v>
      </c>
    </row>
    <row r="6" spans="1:55" s="2939" customFormat="1" ht="15" thickTop="1">
      <c r="A6" s="2931" t="s">
        <v>2716</v>
      </c>
      <c r="B6" s="2932" t="str">
        <f>'预评函-1'!A4</f>
        <v>受贵公司委托，我公司对北京市平谷区兴谷经济开发区内出让国有建设用地使用权抵押价格进行了预评估。</v>
      </c>
      <c r="AM6" s="2940"/>
    </row>
    <row r="7" spans="1:55" s="2914" customFormat="1">
      <c r="A7" s="2915" t="s">
        <v>2668</v>
      </c>
      <c r="B7" s="2916" t="str">
        <f>'预评函-1'!A6</f>
        <v>估价对象为北京中纺联创投资开发有限公司使用的、位于北京市平谷区兴谷经济开发区内出让国有建设用地使用权。根据《国有土地使用证》[]，估价对象（分摊）出让国有建设用地使用权面积为41016.61平方米。根据《建设工程规划许可证》[]、《出让合同》[]，估价对象规划建筑面积为41016平方米。</v>
      </c>
    </row>
    <row r="8" spans="1:55" s="2914" customFormat="1">
      <c r="A8" s="2915" t="s">
        <v>2669</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2719</v>
      </c>
      <c r="B9" s="2916" t="str">
        <f>'预评函-1'!A9</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row>
    <row r="10" spans="1:55" s="2914" customFormat="1">
      <c r="A10" s="2915" t="s">
        <v>2670</v>
      </c>
      <c r="B10" s="2916" t="str">
        <f>'预评函-1'!A11</f>
        <v>2017年9月27日（评估专业人员勘察现场之日）</v>
      </c>
    </row>
    <row r="11" spans="1:55" s="2914" customFormat="1">
      <c r="A11" s="2915" t="s">
        <v>2676</v>
      </c>
      <c r="B11" s="2916" t="str">
        <f>'预评函-1'!A14</f>
        <v>根据《国有土地使用证》[]，本次评估估价对象证载（地类）用途为工业。</v>
      </c>
    </row>
    <row r="12" spans="1:55" s="2914" customFormat="1">
      <c r="A12" s="2915" t="s">
        <v>2677</v>
      </c>
      <c r="B12" s="2916" t="str">
        <f>'预评函-1'!A15</f>
        <v>本次评估设定用途即为证载用途工业。</v>
      </c>
    </row>
    <row r="13" spans="1:55" s="2914" customFormat="1">
      <c r="A13" s="2915" t="s">
        <v>2678</v>
      </c>
      <c r="B13" s="2916" t="str">
        <f>'预评函-1'!A17</f>
        <v>根据委托估价方介绍及评估专业人员现场勘查，本次评估估价对象实际土地开发程度为红线外市政基础设施达“七通”（即通路、通电、通讯、通上水、通下水、、）、宗地红线内场地平整。</v>
      </c>
    </row>
    <row r="14" spans="1:55" s="2914" customFormat="1">
      <c r="A14" s="2915" t="s">
        <v>2679</v>
      </c>
      <c r="B14" s="2916" t="str">
        <f>'预评函-1'!A18</f>
        <v>本次评估设定土地开发程度为红线外市政基础设施达“七通”、宗地红线内场地平整。</v>
      </c>
    </row>
    <row r="15" spans="1:55" s="2914" customFormat="1">
      <c r="A15" s="2915" t="s">
        <v>2675</v>
      </c>
      <c r="B15" s="2916" t="str">
        <f>'预评函-1'!A20</f>
        <v>根据《国有土地使用证》[]，估价对象（分摊）出让国有建设用地使用权面积为41016.61平方米。根据《建设工程规划许可证》[]、《出让合同》[]，估价对象规划建筑面积为41016平方米。</v>
      </c>
    </row>
    <row r="16" spans="1:55" s="2914" customFormat="1">
      <c r="A16" s="2915" t="s">
        <v>2680</v>
      </c>
      <c r="B16" s="2916" t="str">
        <f>'预评函-1'!A22</f>
        <v>本次估价对象为出让国有建设用地使用权，《国有土地使用证》[]证载土地终止日期为工业2066年7月7日。截至估价期日，出让国有建设用地使用权剩余土地使用年限为。</v>
      </c>
    </row>
    <row r="17" spans="1:48" s="2914" customFormat="1">
      <c r="A17" s="2915" t="s">
        <v>2681</v>
      </c>
      <c r="B17" s="2916" t="str">
        <f>'预评函-1'!A23</f>
        <v>本次评估设定估价对象剩余土地使用年限为。</v>
      </c>
    </row>
    <row r="18" spans="1:48" s="2914" customFormat="1">
      <c r="A18" s="2915" t="s">
        <v>2682</v>
      </c>
      <c r="B18" s="2916" t="str">
        <f>'预评函-1'!A25</f>
        <v>本次估价的“出让国有建设用地使用权价格”是指在估价对象土地所有权为国家所有，使用权性质为出让，在公开市场条件下、于估价期日2017年9月27日，在规划利用条件下、设定土地开发程度为红线外“七通”、宗地内场地平整，设定用途为工业，剩余土地使用年限为的出让国有建设用地使用权价格。</v>
      </c>
    </row>
    <row r="19" spans="1:48" s="2914" customFormat="1">
      <c r="A19" s="2915" t="s">
        <v>2683</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2684</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2685</v>
      </c>
      <c r="B21" s="2938" t="str">
        <f>'预评函-1'!A28</f>
        <v/>
      </c>
    </row>
    <row r="22" spans="1:48" ht="15" thickTop="1">
      <c r="A22" s="2926" t="s">
        <v>2686</v>
      </c>
      <c r="B22" s="2927"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915" t="s">
        <v>2687</v>
      </c>
      <c r="B23" s="2916" t="str">
        <f>'预评函-2'!K2</f>
        <v>估价期日：2017年9月27日</v>
      </c>
    </row>
    <row r="24" spans="1:48">
      <c r="A24" s="2915" t="s">
        <v>2688</v>
      </c>
      <c r="B24" s="2916" t="str">
        <f>'预评函-2'!R2</f>
        <v>估价期日的国有建设用地使用权性质：出让</v>
      </c>
    </row>
    <row r="25" spans="1:48">
      <c r="A25" s="2915" t="s">
        <v>2744</v>
      </c>
      <c r="B25" s="2916" t="str">
        <f>'预评函-2'!A3</f>
        <v>估价期日土地使用者</v>
      </c>
    </row>
    <row r="26" spans="1:48">
      <c r="A26" s="2915" t="s">
        <v>2720</v>
      </c>
      <c r="B26" s="2916" t="str">
        <f>'预评函-2'!A5</f>
        <v>中信开发</v>
      </c>
    </row>
    <row r="27" spans="1:48">
      <c r="A27" s="2915" t="s">
        <v>2745</v>
      </c>
      <c r="B27" s="2916" t="str">
        <f>'预评函-2'!B3</f>
        <v>宗地编号/不动产单元号</v>
      </c>
    </row>
    <row r="28" spans="1:48">
      <c r="A28" s="2915" t="s">
        <v>2721</v>
      </c>
      <c r="B28" s="2916" t="str">
        <f>'预评函-2'!B5</f>
        <v>11111111111</v>
      </c>
    </row>
    <row r="29" spans="1:48">
      <c r="A29" s="2915" t="s">
        <v>2747</v>
      </c>
      <c r="B29" s="2916">
        <f>'预评函-2'!C5</f>
        <v>22</v>
      </c>
    </row>
    <row r="30" spans="1:48">
      <c r="A30" s="2915" t="s">
        <v>2748</v>
      </c>
      <c r="B30" s="2916" t="str">
        <f>'预评函-2'!D3</f>
        <v>土地使用证编号/不动产权证书编号</v>
      </c>
    </row>
    <row r="31" spans="1:48">
      <c r="A31" s="2915" t="s">
        <v>2722</v>
      </c>
      <c r="B31" s="2916" t="str">
        <f>'预评函-2'!D5</f>
        <v>京国土字第111号</v>
      </c>
    </row>
    <row r="32" spans="1:48">
      <c r="A32" s="2915" t="s">
        <v>2723</v>
      </c>
      <c r="B32" s="2916" t="str">
        <f>'预评函-2'!E5</f>
        <v>工业</v>
      </c>
      <c r="AV32" s="2920"/>
    </row>
    <row r="33" spans="1:2">
      <c r="A33" s="2915" t="s">
        <v>2724</v>
      </c>
      <c r="B33" s="2916">
        <f>'预评函-2'!F5</f>
        <v>258</v>
      </c>
    </row>
    <row r="34" spans="1:2">
      <c r="A34" s="2915" t="s">
        <v>2725</v>
      </c>
      <c r="B34" s="2916" t="str">
        <f>'预评函-2'!G5</f>
        <v>工业</v>
      </c>
    </row>
    <row r="35" spans="1:2">
      <c r="A35" s="2915" t="s">
        <v>2726</v>
      </c>
      <c r="B35" s="2916">
        <f>'预评函-2'!H5</f>
        <v>1.5</v>
      </c>
    </row>
    <row r="36" spans="1:2">
      <c r="A36" s="2915" t="s">
        <v>2727</v>
      </c>
      <c r="B36" s="2916">
        <f>'预评函-2'!I5</f>
        <v>1.5</v>
      </c>
    </row>
    <row r="37" spans="1:2">
      <c r="A37" s="2915" t="s">
        <v>2728</v>
      </c>
      <c r="B37" s="2916">
        <f>'预评函-2'!J5</f>
        <v>1.5</v>
      </c>
    </row>
    <row r="38" spans="1:2">
      <c r="A38" s="2915" t="s">
        <v>2729</v>
      </c>
      <c r="B38" s="2916" t="str">
        <f>'预评函-2'!K5</f>
        <v>红线外七通、宗地红线内场地平整</v>
      </c>
    </row>
    <row r="39" spans="1:2">
      <c r="A39" s="2915" t="s">
        <v>2730</v>
      </c>
      <c r="B39" s="2916" t="str">
        <f>'预评函-2'!L5</f>
        <v>红线外七通、宗地红线内场地平整</v>
      </c>
    </row>
    <row r="40" spans="1:2">
      <c r="A40" s="2915" t="s">
        <v>2749</v>
      </c>
      <c r="B40" s="2916" t="str">
        <f>'预评函-2'!M3</f>
        <v>（剩余）土地使用年限/年</v>
      </c>
    </row>
    <row r="41" spans="1:2">
      <c r="A41" s="2915" t="s">
        <v>2731</v>
      </c>
      <c r="B41" s="2916">
        <f>'预评函-2'!M5</f>
        <v>0</v>
      </c>
    </row>
    <row r="42" spans="1:2">
      <c r="A42" s="2915" t="s">
        <v>2750</v>
      </c>
      <c r="B42" s="2916" t="str">
        <f>'预评函-2'!N3</f>
        <v>（分摊）出让国有建设用地使用权面积/㎡</v>
      </c>
    </row>
    <row r="43" spans="1:2">
      <c r="A43" s="2915" t="s">
        <v>2732</v>
      </c>
      <c r="B43" s="2916">
        <f>'预评函-2'!N5</f>
        <v>41016.61</v>
      </c>
    </row>
    <row r="44" spans="1:2">
      <c r="A44" s="2915" t="s">
        <v>2751</v>
      </c>
      <c r="B44" s="2916" t="str">
        <f>'预评函-2'!O3</f>
        <v>规划建筑面积/㎡</v>
      </c>
    </row>
    <row r="45" spans="1:2">
      <c r="A45" s="2915" t="s">
        <v>2733</v>
      </c>
      <c r="B45" s="2916">
        <f>'预评函-2'!O5</f>
        <v>41016</v>
      </c>
    </row>
    <row r="46" spans="1:2">
      <c r="A46" s="2915" t="s">
        <v>2734</v>
      </c>
      <c r="B46" s="2916">
        <f ca="1">'预评函-2'!P5</f>
        <v>2443</v>
      </c>
    </row>
    <row r="47" spans="1:2">
      <c r="A47" s="2915" t="s">
        <v>2735</v>
      </c>
      <c r="B47" s="2916">
        <f ca="1">'预评函-2'!Q5</f>
        <v>2443</v>
      </c>
    </row>
    <row r="48" spans="1:2">
      <c r="A48" s="2915" t="s">
        <v>2736</v>
      </c>
      <c r="B48" s="2916">
        <f ca="1">'预评函-2'!R5</f>
        <v>10019</v>
      </c>
    </row>
    <row r="49" spans="1:2">
      <c r="A49" s="2915" t="s">
        <v>2752</v>
      </c>
      <c r="B49" s="2916" t="str">
        <f>'预评函-2'!A6</f>
        <v>抵押价格</v>
      </c>
    </row>
    <row r="50" spans="1:2">
      <c r="A50" s="2915" t="s">
        <v>2737</v>
      </c>
      <c r="B50" s="2916">
        <f ca="1">'预评函-2'!R6</f>
        <v>10019</v>
      </c>
    </row>
    <row r="51" spans="1:2">
      <c r="A51" s="2915" t="s">
        <v>2753</v>
      </c>
      <c r="B51" s="2916" t="str">
        <f>'预评函-2'!A7</f>
        <v>——</v>
      </c>
    </row>
    <row r="52" spans="1:2">
      <c r="A52" s="2915" t="s">
        <v>2738</v>
      </c>
      <c r="B52" s="2916" t="str">
        <f>'预评函-2'!R7</f>
        <v>——</v>
      </c>
    </row>
    <row r="53" spans="1:2">
      <c r="A53" s="2915" t="s">
        <v>2754</v>
      </c>
      <c r="B53" s="2916" t="str">
        <f>'预评函-2'!A8</f>
        <v>——</v>
      </c>
    </row>
    <row r="54" spans="1:2" s="2930" customFormat="1" ht="15" thickBot="1">
      <c r="A54" s="2937" t="s">
        <v>2739</v>
      </c>
      <c r="B54" s="2938" t="str">
        <f>'预评函-2'!R8</f>
        <v>——</v>
      </c>
    </row>
    <row r="55" spans="1:2" ht="15" thickTop="1">
      <c r="A55" s="2926" t="s">
        <v>2689</v>
      </c>
      <c r="B55" s="2927" t="str">
        <f>'预评函-3'!A2</f>
        <v>1.权利限制：根据估价对象《不动产权证书》原件、，截至估价期日，估价对象抵押权未见登记。未设定租赁等其他他项权利。</v>
      </c>
    </row>
    <row r="56" spans="1:2">
      <c r="A56" s="2915" t="s">
        <v>2690</v>
      </c>
      <c r="B56" s="2916" t="str">
        <f>'预评函-3'!A3</f>
        <v>2.基础设施条件：估价对象实际开发程度为红线外七通、宗地红线内场地平整；本次评估设定开发程度为红线外七通、宗地红线内场地平整。</v>
      </c>
    </row>
    <row r="57" spans="1:2">
      <c r="A57" s="2915" t="s">
        <v>2691</v>
      </c>
      <c r="B57" s="2916" t="str">
        <f>'预评函-3'!A4</f>
        <v>3.估价规划限制条件：详见《建设工程规划许可证》[]、《出让合同》[]。</v>
      </c>
    </row>
    <row r="58" spans="1:2" s="2930" customFormat="1" ht="15" thickBot="1">
      <c r="A58" s="2937" t="s">
        <v>2740</v>
      </c>
      <c r="B58" s="2938" t="str">
        <f>'预评函-3'!A5</f>
        <v>4.影响价格的其他限定条件：无。</v>
      </c>
    </row>
    <row r="59" spans="1:2" ht="15" thickTop="1">
      <c r="A59" s="2926" t="s">
        <v>2692</v>
      </c>
      <c r="B59" s="2927" t="str">
        <f>'预评函-3'!A8</f>
        <v>2.本《评估意见函》仅供金融机构进行内部审核使用，不做其他目的之用。</v>
      </c>
    </row>
    <row r="60" spans="1:2">
      <c r="A60" s="2915" t="s">
        <v>2693</v>
      </c>
      <c r="B60" s="2916" t="str">
        <f>'预评函-3'!A9</f>
        <v>3.抵押双方在办理抵押登记手续时，应使用本公司出具的正式《土地估价报告》，特提请报告使用者注意。</v>
      </c>
    </row>
    <row r="61" spans="1:2">
      <c r="A61" s="2915" t="s">
        <v>2695</v>
      </c>
      <c r="B61" s="2916" t="str">
        <f>'预评函-3'!A10</f>
        <v>4.估价师所知悉的法定优先受偿款情况为：</v>
      </c>
    </row>
    <row r="62" spans="1:2">
      <c r="A62" s="2915" t="s">
        <v>2694</v>
      </c>
      <c r="B62" s="2916" t="str">
        <f>'预评函-3'!A11</f>
        <v>（1）根据估价对象《不动产权证书》原件、，截至估价期日，估价对象抵押权未见登记。</v>
      </c>
    </row>
    <row r="63" spans="1:2">
      <c r="A63" s="2915" t="s">
        <v>2696</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2697</v>
      </c>
      <c r="B64" s="2921" t="str">
        <f>'预评函-3'!A13</f>
        <v>（3）。</v>
      </c>
    </row>
    <row r="65" spans="1:2">
      <c r="A65" s="2915" t="s">
        <v>2698</v>
      </c>
      <c r="B65" s="2922" t="str">
        <f>'预评函-3'!A14</f>
        <v>综上，本次评估不存在估价师知悉的法定优先受偿款</v>
      </c>
    </row>
    <row r="66" spans="1:2">
      <c r="A66" s="2915" t="s">
        <v>2699</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2700</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2703</v>
      </c>
      <c r="B68" s="2941">
        <f>'预评函-3'!D30</f>
        <v>42558</v>
      </c>
    </row>
    <row r="69" spans="1:2" ht="15" thickTop="1">
      <c r="A69" s="2926" t="s">
        <v>2701</v>
      </c>
      <c r="B69" s="2927" t="str">
        <f>'预评函-3'!A20</f>
        <v>刘梅</v>
      </c>
    </row>
    <row r="70" spans="1:2">
      <c r="A70" s="2915" t="s">
        <v>2701</v>
      </c>
      <c r="B70" s="2922">
        <f ca="1">'预评函-3'!B20</f>
        <v>2008110059</v>
      </c>
    </row>
    <row r="71" spans="1:2">
      <c r="A71" s="2915" t="s">
        <v>2702</v>
      </c>
      <c r="B71" s="2916" t="str">
        <f>'预评函-3'!A21</f>
        <v>吴薇</v>
      </c>
    </row>
    <row r="72" spans="1:2" s="2930" customFormat="1" ht="15" thickBot="1">
      <c r="A72" s="2937" t="s">
        <v>2702</v>
      </c>
      <c r="B72" s="2943">
        <f ca="1">'预评函-3'!B21</f>
        <v>2002110125</v>
      </c>
    </row>
    <row r="73" spans="1:2" ht="15" thickTop="1">
      <c r="A73" s="2926" t="s">
        <v>2761</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2762</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2763</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2797</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44" sqref="E44"/>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1944</v>
      </c>
      <c r="B1" s="3212" t="str">
        <f>IF(B10="北京市","北京市",C10)&amp;F10&amp;B16&amp;"国有建设用地使用权"&amp;B9&amp;"预评估"</f>
        <v>北京市平谷区兴谷经济开发区内出让国有建设用地使用权抵押价格预评估</v>
      </c>
      <c r="C1" s="3213"/>
      <c r="D1" s="3213"/>
      <c r="E1" s="3213"/>
      <c r="F1" s="3213"/>
      <c r="G1" s="3213"/>
      <c r="H1" s="3213"/>
      <c r="I1" s="3214"/>
      <c r="J1" s="1697"/>
      <c r="K1" s="2488" t="str">
        <f>IF(B10="北京市","北京市",C10)&amp;F10&amp;B16&amp;"国有建设用地使用权"&amp;B9</f>
        <v>北京市平谷区兴谷经济开发区内出让国有建设用地使用权抵押价格</v>
      </c>
      <c r="L1" s="1726"/>
      <c r="M1" s="1726"/>
      <c r="N1" s="1697"/>
      <c r="O1" s="1698"/>
      <c r="P1" s="1697"/>
      <c r="Q1" s="1697"/>
      <c r="R1" s="1697"/>
      <c r="S1" s="1697"/>
      <c r="T1" s="1697"/>
      <c r="U1" s="1697"/>
    </row>
    <row r="2" spans="1:21">
      <c r="A2" s="1663" t="s">
        <v>1945</v>
      </c>
      <c r="B2" s="1845"/>
      <c r="D2" s="1697"/>
      <c r="E2" s="1697"/>
      <c r="F2" s="1697"/>
      <c r="G2" s="1697"/>
      <c r="H2" s="1663"/>
      <c r="I2" s="1698"/>
      <c r="J2" s="1697"/>
      <c r="K2" s="2488" t="str">
        <f>IF(B10="北京市","北京市",C10)&amp;F10&amp;B16&amp;"国有建设用地使用权"</f>
        <v>北京市平谷区兴谷经济开发区内出让国有建设用地使用权</v>
      </c>
      <c r="L2" s="1726"/>
      <c r="M2" s="1726"/>
      <c r="N2" s="1697"/>
      <c r="O2" s="1698"/>
      <c r="P2" s="1697"/>
      <c r="Q2" s="1697"/>
      <c r="R2" s="1697"/>
      <c r="S2" s="1697"/>
      <c r="T2" s="1697"/>
      <c r="U2" s="1697"/>
    </row>
    <row r="3" spans="1:21">
      <c r="A3" s="1664" t="s">
        <v>1946</v>
      </c>
      <c r="B3" s="1665">
        <v>43005</v>
      </c>
      <c r="C3" s="1666" t="s">
        <v>2001</v>
      </c>
      <c r="D3" s="1665">
        <v>43005</v>
      </c>
      <c r="E3" s="1697"/>
      <c r="F3" s="1697"/>
      <c r="G3" s="1697"/>
      <c r="H3" s="1663"/>
      <c r="I3" s="1698"/>
      <c r="J3" s="1697"/>
      <c r="K3" s="1777"/>
      <c r="L3" s="1726"/>
      <c r="M3" s="1726"/>
      <c r="N3" s="1697"/>
      <c r="O3" s="1698"/>
      <c r="P3" s="1697"/>
      <c r="Q3" s="1697"/>
      <c r="R3" s="1697"/>
      <c r="S3" s="1697"/>
      <c r="T3" s="1697"/>
      <c r="U3" s="1697"/>
    </row>
    <row r="4" spans="1:21" ht="15" thickBot="1">
      <c r="A4" s="1667" t="s">
        <v>1947</v>
      </c>
      <c r="B4" s="1846" t="s">
        <v>3001</v>
      </c>
      <c r="C4" s="1849">
        <f ca="1">SUMIF(土地估价师,B4,估价师及机构信息!E3:E24)</f>
        <v>2008110059</v>
      </c>
      <c r="D4" s="1846" t="s">
        <v>3000</v>
      </c>
      <c r="E4" s="1849">
        <f ca="1">SUMIF(土地估价师,D4,估价师及机构信息!E3:E24)</f>
        <v>2002110125</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刘梅、吴薇</v>
      </c>
      <c r="L4" s="1726"/>
      <c r="M4" s="1726"/>
      <c r="N4" s="1697"/>
      <c r="O4" s="1698"/>
      <c r="P4" s="1697"/>
      <c r="Q4" s="1697"/>
      <c r="R4" s="1697"/>
      <c r="S4" s="1697"/>
      <c r="T4" s="1697"/>
      <c r="U4" s="1697"/>
    </row>
    <row r="5" spans="1:21" ht="15" thickTop="1">
      <c r="A5" s="1668" t="s">
        <v>1948</v>
      </c>
      <c r="B5" s="1792" t="s">
        <v>3018</v>
      </c>
      <c r="C5" s="1669"/>
      <c r="D5" s="1670"/>
      <c r="E5" s="1697"/>
      <c r="F5" s="1697"/>
      <c r="G5" s="1697"/>
      <c r="H5" s="1663"/>
      <c r="I5" s="1698"/>
      <c r="J5" s="1697"/>
      <c r="K5" s="1777"/>
      <c r="L5" s="1726"/>
      <c r="M5" s="1726"/>
      <c r="N5" s="1697"/>
      <c r="O5" s="1698"/>
      <c r="P5" s="1697"/>
      <c r="Q5" s="1697"/>
      <c r="R5" s="1697"/>
      <c r="S5" s="1697"/>
      <c r="T5" s="1697"/>
      <c r="U5" s="1697"/>
    </row>
    <row r="6" spans="1:21" ht="26.25">
      <c r="A6" s="1666" t="s">
        <v>2717</v>
      </c>
      <c r="B6" s="1792" t="s">
        <v>3019</v>
      </c>
      <c r="C6" s="1764"/>
      <c r="D6" s="1671"/>
      <c r="E6" s="1697"/>
      <c r="F6" s="1697"/>
      <c r="G6" s="1697"/>
      <c r="H6" s="1663"/>
      <c r="I6" s="1698"/>
      <c r="J6" s="1697"/>
      <c r="K6" s="3093" t="str">
        <f>IF(COUNTIF(B6,"*上海银行*"),"上海银行","")</f>
        <v/>
      </c>
      <c r="L6" s="1726"/>
      <c r="M6" s="1726"/>
      <c r="N6" s="1697"/>
      <c r="O6" s="1698"/>
      <c r="P6" s="1697"/>
      <c r="Q6" s="1697"/>
      <c r="R6" s="1697"/>
      <c r="S6" s="1697"/>
      <c r="T6" s="1697"/>
      <c r="U6" s="1697"/>
    </row>
    <row r="7" spans="1:21">
      <c r="A7" s="1672" t="s">
        <v>2718</v>
      </c>
      <c r="B7" s="1792" t="s">
        <v>3007</v>
      </c>
      <c r="C7" s="1764"/>
      <c r="D7" s="1671"/>
      <c r="E7" s="1697"/>
      <c r="F7" s="1697"/>
      <c r="G7" s="1697"/>
      <c r="H7" s="1663"/>
      <c r="I7" s="1698"/>
      <c r="J7" s="1697"/>
      <c r="K7" s="1777"/>
      <c r="L7" s="1726"/>
      <c r="M7" s="1726"/>
      <c r="N7" s="1697"/>
      <c r="O7" s="1698"/>
      <c r="P7" s="1697"/>
      <c r="Q7" s="1697"/>
      <c r="R7" s="1697"/>
      <c r="S7" s="1697"/>
      <c r="T7" s="1697"/>
      <c r="U7" s="1697"/>
    </row>
    <row r="8" spans="1:21">
      <c r="A8" s="1672" t="s">
        <v>1949</v>
      </c>
      <c r="B8" s="1673" t="s">
        <v>3002</v>
      </c>
      <c r="C8" s="1674"/>
      <c r="D8" s="3218" t="s">
        <v>1951</v>
      </c>
      <c r="E8" s="1847" t="s">
        <v>3003</v>
      </c>
      <c r="F8" s="1675"/>
      <c r="G8" s="1663"/>
      <c r="H8" s="1663"/>
      <c r="I8" s="1710"/>
      <c r="J8" s="1697"/>
      <c r="K8" s="1777"/>
      <c r="L8" s="1726"/>
      <c r="M8" s="1726"/>
      <c r="N8" s="1697"/>
      <c r="O8" s="1698"/>
      <c r="P8" s="1697"/>
      <c r="Q8" s="1697"/>
      <c r="R8" s="1697"/>
      <c r="S8" s="1697"/>
      <c r="T8" s="1697"/>
      <c r="U8" s="1697"/>
    </row>
    <row r="9" spans="1:21" ht="15" thickBot="1">
      <c r="A9" s="1676" t="s">
        <v>1950</v>
      </c>
      <c r="B9" s="1677" t="s">
        <v>3003</v>
      </c>
      <c r="C9" s="1678"/>
      <c r="D9" s="3219"/>
      <c r="E9" s="1677" t="s">
        <v>955</v>
      </c>
      <c r="F9" s="1750"/>
      <c r="G9" s="1745"/>
      <c r="H9" s="1745"/>
      <c r="I9" s="1746"/>
      <c r="J9" s="1697"/>
      <c r="K9" s="1777"/>
      <c r="L9" s="1726"/>
      <c r="M9" s="1726"/>
      <c r="N9" s="1697"/>
      <c r="O9" s="1698"/>
      <c r="P9" s="1697"/>
      <c r="Q9" s="1697"/>
      <c r="R9" s="1697"/>
      <c r="S9" s="1697"/>
      <c r="T9" s="1697"/>
      <c r="U9" s="1697"/>
    </row>
    <row r="10" spans="1:21" ht="15" thickTop="1">
      <c r="A10" s="1747" t="s">
        <v>2005</v>
      </c>
      <c r="B10" s="1722" t="s">
        <v>1952</v>
      </c>
      <c r="C10" s="1679"/>
      <c r="D10" s="1670"/>
      <c r="E10" s="1680" t="s">
        <v>1953</v>
      </c>
      <c r="F10" s="1681" t="s">
        <v>3020</v>
      </c>
      <c r="G10" s="1748"/>
      <c r="H10" s="1749"/>
      <c r="I10" s="1670"/>
      <c r="J10" s="1697"/>
      <c r="K10" s="1777"/>
      <c r="L10" s="1726"/>
      <c r="M10" s="1726"/>
      <c r="N10" s="1697"/>
      <c r="O10" s="1698"/>
      <c r="P10" s="1697"/>
      <c r="Q10" s="1697"/>
      <c r="R10" s="1697"/>
      <c r="S10" s="1697"/>
      <c r="T10" s="1697"/>
      <c r="U10" s="1697"/>
    </row>
    <row r="11" spans="1:21" ht="42.75">
      <c r="A11" s="1700" t="s">
        <v>2006</v>
      </c>
      <c r="B11" s="1701" t="s">
        <v>3004</v>
      </c>
      <c r="C11" s="1682" t="s">
        <v>3007</v>
      </c>
      <c r="D11" s="1765"/>
      <c r="E11" s="1663"/>
      <c r="F11" s="1663"/>
      <c r="G11" s="1663"/>
      <c r="H11" s="1663"/>
      <c r="I11" s="1663"/>
      <c r="J11" s="1697"/>
      <c r="K11" s="1777"/>
      <c r="L11" s="1726"/>
      <c r="M11" s="1726"/>
      <c r="N11" s="1697"/>
      <c r="O11" s="1698"/>
      <c r="P11" s="1697"/>
      <c r="Q11" s="1697"/>
      <c r="R11" s="1697"/>
      <c r="S11" s="1697"/>
      <c r="T11" s="1697"/>
      <c r="U11" s="1697"/>
    </row>
    <row r="12" spans="1:21">
      <c r="A12" s="1788" t="s">
        <v>2064</v>
      </c>
      <c r="B12" s="3215" t="s">
        <v>3005</v>
      </c>
      <c r="C12" s="3216"/>
      <c r="D12" s="3217"/>
      <c r="E12" s="1702" t="s">
        <v>2067</v>
      </c>
      <c r="F12" s="3233" t="s">
        <v>2899</v>
      </c>
      <c r="G12" s="3234"/>
      <c r="H12" s="3234"/>
      <c r="I12" s="3235"/>
      <c r="J12" s="1697"/>
      <c r="K12" s="1777"/>
      <c r="L12" s="1726"/>
      <c r="M12" s="1726"/>
      <c r="N12" s="1697"/>
      <c r="O12" s="1698"/>
      <c r="P12" s="1697"/>
      <c r="Q12" s="1697"/>
      <c r="R12" s="1697"/>
      <c r="S12" s="1697"/>
      <c r="T12" s="1697"/>
      <c r="U12" s="1697"/>
    </row>
    <row r="13" spans="1:21">
      <c r="A13" s="1690" t="s">
        <v>2065</v>
      </c>
      <c r="B13" s="3215" t="s">
        <v>3005</v>
      </c>
      <c r="C13" s="3216"/>
      <c r="D13" s="3217"/>
      <c r="E13" s="1702" t="s">
        <v>2067</v>
      </c>
      <c r="F13" s="3233" t="s">
        <v>2900</v>
      </c>
      <c r="G13" s="3234"/>
      <c r="H13" s="3234"/>
      <c r="I13" s="3235"/>
      <c r="J13" s="1697"/>
      <c r="K13" s="1777"/>
      <c r="L13" s="1726"/>
      <c r="M13" s="1726"/>
      <c r="N13" s="1697"/>
      <c r="O13" s="1698"/>
      <c r="P13" s="1697"/>
      <c r="Q13" s="1697"/>
      <c r="R13" s="1697"/>
      <c r="S13" s="1697"/>
      <c r="T13" s="1697"/>
      <c r="U13" s="1697"/>
    </row>
    <row r="14" spans="1:21">
      <c r="A14" s="1664" t="s">
        <v>2068</v>
      </c>
      <c r="B14" s="1702"/>
      <c r="C14" s="1848" t="s">
        <v>3006</v>
      </c>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6"/>
      <c r="C15" s="1666"/>
      <c r="D15" s="1769" t="s">
        <v>1956</v>
      </c>
      <c r="E15" s="1769" t="s">
        <v>1957</v>
      </c>
      <c r="F15" s="1769" t="s">
        <v>1958</v>
      </c>
      <c r="G15" s="1689" t="s">
        <v>1959</v>
      </c>
      <c r="H15" s="1689" t="s">
        <v>1960</v>
      </c>
      <c r="I15" s="1689" t="s">
        <v>1961</v>
      </c>
      <c r="J15" s="1697"/>
      <c r="K15" s="1777"/>
      <c r="L15" s="1726"/>
      <c r="M15" s="1726"/>
      <c r="N15" s="1697"/>
      <c r="O15" s="1698"/>
      <c r="P15" s="1697"/>
      <c r="Q15" s="1697"/>
      <c r="R15" s="1697"/>
      <c r="S15" s="1697"/>
      <c r="T15" s="1697"/>
      <c r="U15" s="1697"/>
    </row>
    <row r="16" spans="1:21" ht="28.5">
      <c r="A16" s="1683" t="s">
        <v>1954</v>
      </c>
      <c r="B16" s="1684" t="s">
        <v>2974</v>
      </c>
      <c r="C16" s="1702" t="s">
        <v>1955</v>
      </c>
      <c r="D16" s="2680" t="s">
        <v>1956</v>
      </c>
      <c r="E16" s="1725"/>
      <c r="F16" s="1725"/>
      <c r="G16" s="1725"/>
      <c r="H16" s="1725"/>
      <c r="I16" s="1689" t="s">
        <v>1961</v>
      </c>
      <c r="J16" s="1697"/>
      <c r="K16" s="2489" t="str">
        <f>IF(D17="","",D16&amp;TEXT(D17,"yyyy年m月d日;;"))</f>
        <v/>
      </c>
      <c r="L16" s="1702" t="str">
        <f>IF(OR(K16="",M16=""),"","、")</f>
        <v/>
      </c>
      <c r="M16" s="2489" t="str">
        <f>IF(E17="","",E16&amp;TEXT(E17,"yyyy年m月d日;;"))</f>
        <v/>
      </c>
      <c r="N16" s="1702" t="str">
        <f>IF(OR(M16="",O16=""),"","、")</f>
        <v/>
      </c>
      <c r="O16" s="2489" t="str">
        <f>IF(F17="","",F16&amp;TEXT(F17,"yyyy年m月d日;;"))</f>
        <v/>
      </c>
      <c r="P16" s="1702" t="str">
        <f>IF(OR(O16="",Q16=""),"","、")</f>
        <v/>
      </c>
      <c r="Q16" s="2489" t="str">
        <f>IF(G17="","",G16&amp;TEXT(G17,"yyyy年m月d日;;"))</f>
        <v/>
      </c>
      <c r="R16" s="1702" t="str">
        <f>IF(OR(Q16="",S16=""),"","、")</f>
        <v/>
      </c>
      <c r="S16" s="2489" t="str">
        <f>IF(H17="","",H16&amp;TEXT(H17,"yyyy年m月d日;;"))</f>
        <v/>
      </c>
      <c r="T16" s="1702" t="str">
        <f>IF(OR(S16="",U16=""),"","、")</f>
        <v/>
      </c>
      <c r="U16" s="2489" t="str">
        <f>IF(I17="","",I16&amp;TEXT(I17,"yyyy年m月d日;;"))</f>
        <v>工业2066年7月7日</v>
      </c>
    </row>
    <row r="17" spans="1:21">
      <c r="A17" s="1766"/>
      <c r="B17" s="1685"/>
      <c r="C17" s="1686" t="s">
        <v>1962</v>
      </c>
      <c r="D17" s="1703"/>
      <c r="E17" s="1703"/>
      <c r="F17" s="1703"/>
      <c r="G17" s="1703"/>
      <c r="H17" s="1703"/>
      <c r="I17" s="1703">
        <v>60820</v>
      </c>
      <c r="J17" s="1697"/>
      <c r="K17" s="2488" t="str">
        <f>CONCATENATE(K16,L16,M16,N16,O16,P16,Q16,R16,S16,T16,,U16)</f>
        <v>工业2066年7月7日</v>
      </c>
      <c r="L17" s="1726"/>
      <c r="M17" s="1726"/>
      <c r="N17" s="1697"/>
      <c r="O17" s="1698"/>
      <c r="P17" s="1697"/>
      <c r="Q17" s="1697"/>
      <c r="R17" s="1697"/>
      <c r="S17" s="1697"/>
      <c r="T17" s="1697"/>
      <c r="U17" s="1697"/>
    </row>
    <row r="18" spans="1:21">
      <c r="A18" s="1766"/>
      <c r="B18" s="1685"/>
      <c r="C18" s="1686" t="s">
        <v>1963</v>
      </c>
      <c r="D18" s="1687">
        <v>70</v>
      </c>
      <c r="E18" s="1687"/>
      <c r="F18" s="1687"/>
      <c r="G18" s="1687"/>
      <c r="H18" s="1687"/>
      <c r="I18" s="1687">
        <v>50</v>
      </c>
      <c r="J18" s="1697"/>
      <c r="K18" s="1777"/>
      <c r="L18" s="1726"/>
      <c r="M18" s="1726"/>
      <c r="N18" s="1697"/>
      <c r="O18" s="1698"/>
      <c r="P18" s="1697"/>
      <c r="Q18" s="1697"/>
      <c r="R18" s="1697"/>
      <c r="S18" s="1697"/>
      <c r="T18" s="1697"/>
      <c r="U18" s="1697"/>
    </row>
    <row r="19" spans="1:21">
      <c r="A19" s="1766"/>
      <c r="B19" s="1685"/>
      <c r="C19" s="1663" t="s">
        <v>1964</v>
      </c>
      <c r="D19" s="1761" t="str">
        <f>IF(B16="出让",IF(D17="","",ROUNDDOWN(MIN((D17-$D$3)/365,D18),2)),D18)</f>
        <v/>
      </c>
      <c r="E19" s="1688" t="str">
        <f>IF(B16="出让",IF(E17="","",ROUNDDOWN(MIN((E17-$D$3)/365,E18),2)),E18)</f>
        <v/>
      </c>
      <c r="F19" s="1688" t="str">
        <f>IF(B16="出让",IF(F17="","",ROUNDDOWN(MIN((F17-$D$3)/365,F18),2)),F18)</f>
        <v/>
      </c>
      <c r="G19" s="1688" t="str">
        <f>IF(B16="出让",IF(G17="","",ROUNDDOWN(MIN((G17-$D$3)/365,G18),2)),G18)</f>
        <v/>
      </c>
      <c r="H19" s="1688" t="str">
        <f>IF(B16="出让",IF(H17="","",ROUNDDOWN(MIN((H17-$D$3)/365,H18),2)),H18)</f>
        <v/>
      </c>
      <c r="I19" s="1688">
        <f>IF(B16="出让",IF(I17="","",ROUNDDOWN(MIN((I17-$D$3)/365,I18),2)),I18)</f>
        <v>48.8</v>
      </c>
      <c r="J19" s="1697"/>
      <c r="K19" s="1777"/>
      <c r="L19" s="1726"/>
      <c r="M19" s="1726"/>
      <c r="N19" s="1697"/>
      <c r="O19" s="1698"/>
      <c r="P19" s="1697"/>
      <c r="Q19" s="1697"/>
      <c r="R19" s="1697"/>
      <c r="S19" s="1697"/>
      <c r="T19" s="1697"/>
      <c r="U19" s="1697"/>
    </row>
    <row r="20" spans="1:21">
      <c r="A20" s="1789"/>
      <c r="B20" s="1790"/>
      <c r="C20" s="1791" t="s">
        <v>2066</v>
      </c>
      <c r="D20" s="3230"/>
      <c r="E20" s="3231"/>
      <c r="F20" s="3231"/>
      <c r="G20" s="3231"/>
      <c r="H20" s="3231"/>
      <c r="I20" s="3232"/>
      <c r="J20" s="1697"/>
      <c r="K20" s="1777"/>
      <c r="L20" s="1726"/>
      <c r="M20" s="1726"/>
      <c r="N20" s="1697"/>
      <c r="O20" s="1698"/>
      <c r="P20" s="1697"/>
      <c r="Q20" s="1697"/>
      <c r="R20" s="1697"/>
      <c r="S20" s="1697"/>
      <c r="T20" s="1697"/>
      <c r="U20" s="1697"/>
    </row>
    <row r="21" spans="1:21">
      <c r="A21" s="1766" t="s">
        <v>1965</v>
      </c>
      <c r="B21" s="1767" t="s">
        <v>1966</v>
      </c>
      <c r="C21" s="1762">
        <f>'数据-汇总表'!E3</f>
        <v>41016</v>
      </c>
      <c r="D21" s="1763" t="s">
        <v>1967</v>
      </c>
      <c r="E21" s="3220" t="s">
        <v>2004</v>
      </c>
      <c r="F21" s="3221"/>
      <c r="G21" s="3221"/>
      <c r="H21" s="3221"/>
      <c r="I21" s="3222"/>
      <c r="J21" s="1697"/>
      <c r="K21" s="1777"/>
      <c r="L21" s="1726"/>
      <c r="M21" s="1726"/>
      <c r="N21" s="1697"/>
      <c r="O21" s="1698"/>
      <c r="P21" s="1697"/>
      <c r="Q21" s="1697"/>
      <c r="R21" s="1697"/>
      <c r="S21" s="1697"/>
      <c r="T21" s="1697"/>
      <c r="U21" s="1697"/>
    </row>
    <row r="22" spans="1:21">
      <c r="A22" s="2671" t="s">
        <v>955</v>
      </c>
      <c r="B22" s="1664" t="s">
        <v>1968</v>
      </c>
      <c r="C22" s="1689">
        <f>'数据-汇总表'!D3</f>
        <v>41016.61</v>
      </c>
      <c r="D22" s="1690" t="s">
        <v>1967</v>
      </c>
      <c r="E22" s="3220" t="s">
        <v>2901</v>
      </c>
      <c r="F22" s="3221"/>
      <c r="G22" s="3221"/>
      <c r="H22" s="3221"/>
      <c r="I22" s="3222"/>
      <c r="J22" s="1697"/>
      <c r="K22" s="1777"/>
      <c r="L22" s="1726"/>
      <c r="M22" s="1726"/>
      <c r="N22" s="1697"/>
      <c r="O22" s="1698"/>
      <c r="P22" s="1697"/>
      <c r="Q22" s="1697"/>
      <c r="R22" s="1697"/>
      <c r="S22" s="1697"/>
      <c r="T22" s="1697"/>
      <c r="U22" s="1697"/>
    </row>
    <row r="23" spans="1:21" ht="43.5" thickBot="1">
      <c r="A23" s="1768" t="s">
        <v>1969</v>
      </c>
      <c r="B23" s="1704" t="s">
        <v>1970</v>
      </c>
      <c r="C23" s="1705" t="s">
        <v>3008</v>
      </c>
      <c r="D23" s="1706" t="s">
        <v>1971</v>
      </c>
      <c r="E23" s="1707" t="s">
        <v>3008</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1972</v>
      </c>
      <c r="B24" s="3223" t="s">
        <v>1973</v>
      </c>
      <c r="C24" s="3224"/>
      <c r="D24" s="3225" t="s">
        <v>1974</v>
      </c>
      <c r="E24" s="3226"/>
      <c r="F24" s="1711" t="s">
        <v>1975</v>
      </c>
      <c r="G24" s="1697"/>
      <c r="H24" s="1697"/>
      <c r="I24" s="1710"/>
      <c r="J24" s="1697"/>
      <c r="K24" s="3211" t="s">
        <v>1976</v>
      </c>
      <c r="L24" s="2490"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6"/>
      <c r="N24" s="1697"/>
      <c r="O24" s="1698"/>
      <c r="P24" s="1697"/>
      <c r="Q24" s="1697"/>
      <c r="R24" s="1697"/>
      <c r="S24" s="1697"/>
      <c r="T24" s="1697"/>
      <c r="U24" s="1697"/>
    </row>
    <row r="25" spans="1:21" ht="28.5">
      <c r="A25" s="1754"/>
      <c r="B25" s="1751" t="s">
        <v>2331</v>
      </c>
      <c r="C25" s="1712" t="s">
        <v>1977</v>
      </c>
      <c r="D25" s="1713"/>
      <c r="E25" s="1714" t="s">
        <v>955</v>
      </c>
      <c r="F25" s="1715"/>
      <c r="G25" s="1697"/>
      <c r="H25" s="1697"/>
      <c r="I25" s="1710"/>
      <c r="J25" s="1697"/>
      <c r="K25" s="3211"/>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6"/>
      <c r="N25" s="1697"/>
      <c r="O25" s="1698"/>
      <c r="P25" s="1697"/>
      <c r="Q25" s="1697"/>
      <c r="R25" s="1697"/>
      <c r="S25" s="1697"/>
      <c r="T25" s="1697"/>
      <c r="U25" s="1697"/>
    </row>
    <row r="26" spans="1:21" ht="15" thickBot="1">
      <c r="A26" s="1755"/>
      <c r="B26" s="1752"/>
      <c r="C26" s="1712"/>
      <c r="D26" s="1663"/>
      <c r="E26" s="1663"/>
      <c r="F26" s="1691"/>
      <c r="G26" s="1697"/>
      <c r="H26" s="1697"/>
      <c r="I26" s="1710"/>
      <c r="J26" s="1697"/>
      <c r="K26" s="3211"/>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1978</v>
      </c>
      <c r="B27" s="1756" t="s">
        <v>1979</v>
      </c>
      <c r="C27" s="1716"/>
      <c r="D27" s="2685" t="s">
        <v>1979</v>
      </c>
      <c r="E27" s="1717"/>
      <c r="F27" s="1691"/>
      <c r="G27" s="1697"/>
      <c r="H27" s="1697"/>
      <c r="I27" s="1710"/>
      <c r="J27" s="1697"/>
      <c r="K27" s="1777"/>
      <c r="L27" s="1726"/>
      <c r="M27" s="1726"/>
      <c r="N27" s="1697"/>
      <c r="O27" s="1698"/>
      <c r="P27" s="1697"/>
      <c r="Q27" s="1697"/>
      <c r="R27" s="1697"/>
      <c r="S27" s="1697"/>
      <c r="T27" s="1697"/>
      <c r="U27" s="1697"/>
    </row>
    <row r="28" spans="1:21">
      <c r="A28" s="1759"/>
      <c r="B28" s="1756" t="s">
        <v>1980</v>
      </c>
      <c r="C28" s="1718"/>
      <c r="D28" s="2686" t="s">
        <v>1980</v>
      </c>
      <c r="E28" s="1719"/>
      <c r="F28" s="1691"/>
      <c r="G28" s="1697"/>
      <c r="H28" s="1697"/>
      <c r="I28" s="1710"/>
      <c r="J28" s="1697"/>
      <c r="K28" s="1777"/>
      <c r="L28" s="1726"/>
      <c r="M28" s="1726"/>
      <c r="N28" s="1697"/>
      <c r="O28" s="1698"/>
      <c r="P28" s="1697"/>
      <c r="Q28" s="1697"/>
      <c r="R28" s="1697"/>
      <c r="S28" s="1697"/>
      <c r="T28" s="1697"/>
      <c r="U28" s="1697"/>
    </row>
    <row r="29" spans="1:21">
      <c r="A29" s="1759"/>
      <c r="B29" s="1756" t="s">
        <v>1981</v>
      </c>
      <c r="C29" s="1718"/>
      <c r="D29" s="2686" t="s">
        <v>1981</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1982</v>
      </c>
      <c r="C30" s="1720"/>
      <c r="D30" s="2687" t="s">
        <v>1982</v>
      </c>
      <c r="E30" s="1721"/>
      <c r="F30" s="1692"/>
      <c r="G30" s="1745"/>
      <c r="H30" s="1745"/>
      <c r="I30" s="1746"/>
      <c r="J30" s="1697"/>
      <c r="K30" s="1777"/>
      <c r="L30" s="1726"/>
      <c r="M30" s="1726"/>
      <c r="N30" s="1697"/>
      <c r="O30" s="1698"/>
      <c r="P30" s="1697"/>
      <c r="Q30" s="1697"/>
      <c r="R30" s="1697"/>
      <c r="S30" s="1697"/>
      <c r="T30" s="1697"/>
      <c r="U30" s="1697"/>
    </row>
    <row r="31" spans="1:21" ht="15" thickTop="1">
      <c r="A31" s="3197" t="s">
        <v>2007</v>
      </c>
      <c r="B31" s="1767" t="s">
        <v>2008</v>
      </c>
      <c r="C31" s="3236" t="s">
        <v>3009</v>
      </c>
      <c r="D31" s="3237"/>
      <c r="E31" s="1697"/>
      <c r="F31" s="1697"/>
      <c r="G31" s="1697"/>
      <c r="H31" s="1697"/>
      <c r="I31" s="1710"/>
      <c r="J31" s="1697"/>
      <c r="K31" s="2491"/>
      <c r="L31" s="1697"/>
      <c r="M31" s="1697"/>
      <c r="N31" s="1697"/>
      <c r="O31" s="1697"/>
      <c r="P31" s="1697"/>
      <c r="Q31" s="1697"/>
      <c r="R31" s="1697"/>
      <c r="S31" s="1697"/>
      <c r="T31" s="1697"/>
      <c r="U31" s="1697"/>
    </row>
    <row r="32" spans="1:21">
      <c r="A32" s="3197"/>
      <c r="B32" s="1664" t="s">
        <v>2009</v>
      </c>
      <c r="C32" s="1722" t="s">
        <v>3010</v>
      </c>
      <c r="D32" s="1723"/>
      <c r="E32" s="1697"/>
      <c r="F32" s="1697"/>
      <c r="G32" s="1697"/>
      <c r="H32" s="1697"/>
      <c r="I32" s="1710"/>
      <c r="J32" s="1697"/>
      <c r="K32" s="2491"/>
      <c r="L32" s="1697"/>
      <c r="M32" s="1697"/>
      <c r="N32" s="1697"/>
      <c r="O32" s="1697"/>
      <c r="P32" s="1697"/>
      <c r="Q32" s="1697"/>
      <c r="R32" s="1697"/>
      <c r="S32" s="1697"/>
      <c r="T32" s="1697"/>
      <c r="U32" s="1697"/>
    </row>
    <row r="33" spans="1:21">
      <c r="A33" s="3197"/>
      <c r="B33" s="1664" t="s">
        <v>2010</v>
      </c>
      <c r="C33" s="1724" t="s">
        <v>3008</v>
      </c>
      <c r="D33" s="1841"/>
      <c r="E33" s="1697"/>
      <c r="F33" s="1697"/>
      <c r="G33" s="1697"/>
      <c r="H33" s="1697"/>
      <c r="I33" s="1710"/>
      <c r="J33" s="1697"/>
      <c r="K33" s="2491"/>
      <c r="L33" s="1697"/>
      <c r="M33" s="1697"/>
      <c r="N33" s="1697"/>
      <c r="O33" s="1697"/>
      <c r="P33" s="1697"/>
      <c r="Q33" s="1697"/>
      <c r="R33" s="1697"/>
      <c r="S33" s="1697"/>
      <c r="T33" s="1697"/>
      <c r="U33" s="1697"/>
    </row>
    <row r="34" spans="1:21">
      <c r="A34" s="3198"/>
      <c r="B34" s="1664" t="s">
        <v>2011</v>
      </c>
      <c r="C34" s="3199"/>
      <c r="D34" s="3200"/>
      <c r="E34" s="1697"/>
      <c r="F34" s="1697"/>
      <c r="G34" s="1697"/>
      <c r="H34" s="1697"/>
      <c r="I34" s="1710"/>
      <c r="J34" s="1697"/>
      <c r="K34" s="2491"/>
      <c r="L34" s="1697"/>
      <c r="M34" s="1697"/>
      <c r="N34" s="1697"/>
      <c r="O34" s="1697"/>
      <c r="P34" s="1697"/>
      <c r="Q34" s="1697"/>
      <c r="R34" s="1697"/>
      <c r="S34" s="1697"/>
      <c r="T34" s="1697"/>
      <c r="U34" s="1697"/>
    </row>
    <row r="35" spans="1:21">
      <c r="A35" s="3201" t="s">
        <v>850</v>
      </c>
      <c r="B35" s="1725" t="s">
        <v>3011</v>
      </c>
      <c r="C35" s="1779" t="str">
        <f>IF(B35="场地平整","——","具体情况：")</f>
        <v>——</v>
      </c>
      <c r="D35" s="3203"/>
      <c r="E35" s="3204"/>
      <c r="F35" s="3204"/>
      <c r="G35" s="3204"/>
      <c r="H35" s="3204"/>
      <c r="I35" s="3205"/>
      <c r="J35" s="1697"/>
      <c r="K35" s="1778"/>
      <c r="L35" s="1726"/>
      <c r="M35" s="1726"/>
      <c r="N35" s="1697"/>
      <c r="O35" s="1698"/>
      <c r="P35" s="1697"/>
      <c r="Q35" s="1697"/>
      <c r="R35" s="1697"/>
      <c r="S35" s="1697"/>
      <c r="T35" s="1697"/>
      <c r="U35" s="1697"/>
    </row>
    <row r="36" spans="1:21">
      <c r="A36" s="3197"/>
      <c r="B36" s="3206" t="s">
        <v>2060</v>
      </c>
      <c r="C36" s="3207"/>
      <c r="D36" s="1795" t="s">
        <v>3012</v>
      </c>
      <c r="E36" s="3208"/>
      <c r="F36" s="3208"/>
      <c r="G36" s="1690" t="str">
        <f>IF(B35="场地未平整","估价结果处理","")</f>
        <v/>
      </c>
      <c r="H36" s="3209"/>
      <c r="I36" s="3209"/>
      <c r="J36" s="1697"/>
      <c r="K36" s="1778"/>
      <c r="L36" s="1726"/>
      <c r="M36" s="1726"/>
      <c r="N36" s="1697"/>
      <c r="O36" s="1698"/>
      <c r="P36" s="1697"/>
      <c r="Q36" s="1697"/>
      <c r="R36" s="1697"/>
      <c r="S36" s="1697"/>
      <c r="T36" s="1697"/>
      <c r="U36" s="1697"/>
    </row>
    <row r="37" spans="1:21" ht="28.5">
      <c r="A37" s="3197"/>
      <c r="B37" s="3227"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197"/>
      <c r="B38" s="3228"/>
      <c r="C38" s="1672" t="s">
        <v>853</v>
      </c>
      <c r="D38" s="1794">
        <f>ROUNDDOWN(MIN(('数据-取费表'!$B$2-D37)/365,D34),1)</f>
        <v>117.8</v>
      </c>
      <c r="E38" s="1730" t="s">
        <v>854</v>
      </c>
      <c r="F38" s="1697"/>
      <c r="G38" s="1697"/>
      <c r="H38" s="1697"/>
      <c r="I38" s="1710"/>
      <c r="J38" s="1697"/>
      <c r="K38" s="1778"/>
      <c r="L38" s="1697"/>
      <c r="M38" s="1697"/>
      <c r="N38" s="1697"/>
      <c r="O38" s="1697"/>
      <c r="P38" s="1697"/>
      <c r="Q38" s="1697"/>
      <c r="R38" s="1697"/>
      <c r="S38" s="1697"/>
      <c r="T38" s="1697"/>
      <c r="U38" s="1697"/>
    </row>
    <row r="39" spans="1:21">
      <c r="A39" s="3198"/>
      <c r="B39" s="3229"/>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1983</v>
      </c>
      <c r="B40" s="1693" t="s">
        <v>3013</v>
      </c>
      <c r="C40" s="1693" t="s">
        <v>3014</v>
      </c>
      <c r="D40" s="1693" t="s">
        <v>3015</v>
      </c>
      <c r="E40" s="1693" t="s">
        <v>3016</v>
      </c>
      <c r="F40" s="1693" t="s">
        <v>3017</v>
      </c>
      <c r="G40" s="1693"/>
      <c r="H40" s="1693"/>
      <c r="I40" s="1710"/>
      <c r="J40" s="1697"/>
      <c r="K40" s="1733">
        <f>COUNTIF(B40:H40,"——")</f>
        <v>0</v>
      </c>
      <c r="L40" s="1702" t="s">
        <v>1984</v>
      </c>
      <c r="M40" s="1699" t="s">
        <v>1985</v>
      </c>
      <c r="N40" s="1699" t="s">
        <v>1986</v>
      </c>
      <c r="O40" s="1699" t="s">
        <v>1987</v>
      </c>
      <c r="P40" s="1699" t="s">
        <v>1988</v>
      </c>
      <c r="Q40" s="1699" t="s">
        <v>1989</v>
      </c>
      <c r="R40" s="1699" t="s">
        <v>1990</v>
      </c>
      <c r="S40" s="3210" t="s">
        <v>1991</v>
      </c>
      <c r="T40" s="1734" t="str">
        <f>NUMBERSTRING(7-K40,1)&amp;"通"</f>
        <v>七通</v>
      </c>
      <c r="U40" s="1697"/>
    </row>
    <row r="41" spans="1:21">
      <c r="A41" s="1666"/>
      <c r="B41" s="3202" t="s">
        <v>1725</v>
      </c>
      <c r="C41" s="3202"/>
      <c r="D41" s="3202"/>
      <c r="E41" s="3202"/>
      <c r="F41" s="1735">
        <f>C10</f>
        <v>0</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v>
      </c>
      <c r="R41" s="1737" t="str">
        <f>B40&amp;"、"&amp;C40&amp;"、"&amp;D40&amp;"、"&amp;E40&amp;"、"&amp;F40&amp;"、"&amp;G40&amp;"、"&amp;H40</f>
        <v>通路、通电、通讯、通上水、通下水、、</v>
      </c>
      <c r="S41" s="3210"/>
      <c r="T41" s="1736" t="str">
        <f>IF(T40="一通",L41,IF(T40="二通",M41,IF(T40="三通",N41,IF(T40="四通",O41,IF(T40="五通",P41,IF(T40="六通",Q41,R41))))))</f>
        <v>通路、通电、通讯、通上水、通下水、、</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t="s">
        <v>1423</v>
      </c>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3463" t="s">
        <v>3023</v>
      </c>
      <c r="F44" s="1742"/>
      <c r="G44" s="1697"/>
      <c r="H44" s="1697"/>
      <c r="I44" s="1710"/>
      <c r="J44" s="1697"/>
      <c r="K44" s="1777"/>
      <c r="L44" s="1726"/>
      <c r="M44" s="1726"/>
      <c r="N44" s="1697"/>
      <c r="O44" s="1698"/>
      <c r="P44" s="1697"/>
      <c r="Q44" s="1697"/>
      <c r="R44" s="1697"/>
      <c r="S44" s="1697"/>
      <c r="T44" s="1697"/>
      <c r="U44" s="1697"/>
    </row>
    <row r="45" spans="1:21" s="3110" customFormat="1" ht="21" thickBot="1">
      <c r="A45" s="3111" t="s">
        <v>2902</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2012</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2013</v>
      </c>
      <c r="B48" s="1689" t="s">
        <v>2014</v>
      </c>
      <c r="C48" s="1689" t="s">
        <v>2015</v>
      </c>
      <c r="D48" s="1689" t="s">
        <v>2016</v>
      </c>
      <c r="E48" s="1689" t="s">
        <v>2017</v>
      </c>
      <c r="F48" s="1689" t="s">
        <v>2018</v>
      </c>
      <c r="G48" s="1689" t="s">
        <v>2019</v>
      </c>
      <c r="H48" s="1689" t="s">
        <v>2020</v>
      </c>
      <c r="I48" s="1689" t="s">
        <v>2021</v>
      </c>
      <c r="J48" s="1775" t="s">
        <v>2022</v>
      </c>
      <c r="K48" s="1769" t="s">
        <v>2023</v>
      </c>
      <c r="L48" s="1769" t="s">
        <v>2024</v>
      </c>
      <c r="M48" s="1769" t="s">
        <v>2025</v>
      </c>
      <c r="N48" s="1689" t="s">
        <v>2026</v>
      </c>
      <c r="O48" s="1689" t="s">
        <v>2027</v>
      </c>
      <c r="P48" s="1689" t="s">
        <v>2028</v>
      </c>
      <c r="Q48" s="1702" t="s">
        <v>2029</v>
      </c>
      <c r="R48" s="1702" t="s">
        <v>2030</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8" t="s">
        <v>2338</v>
      </c>
      <c r="BA2" s="2369" t="s">
        <v>2337</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41016.61</f>
        <v>41016.61</v>
      </c>
      <c r="B3" s="22">
        <f>IF(C3="否",G5-AT5,G5)</f>
        <v>41016</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0"/>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41016</v>
      </c>
      <c r="H5" s="27">
        <f t="shared" ref="H5:AT5" si="0">SUM(H13:H641)</f>
        <v>41016</v>
      </c>
      <c r="I5" s="27">
        <f t="shared" si="0"/>
        <v>41016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41016</v>
      </c>
      <c r="BA5" s="29">
        <f t="shared" si="1"/>
        <v>41016</v>
      </c>
      <c r="BB5" s="29">
        <f t="shared" si="1"/>
        <v>41016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41016.61</v>
      </c>
      <c r="F6" s="27" t="s">
        <v>1</v>
      </c>
      <c r="G6" s="27" t="s">
        <v>2</v>
      </c>
      <c r="H6" s="33">
        <f>SUMIF(I$12:AB$12,"总值",I6:AB6)</f>
        <v>41016.61</v>
      </c>
      <c r="I6" s="27">
        <f t="shared" ref="I6:AB6" si="2">ROUND($A$3*I5/$B$3,2)</f>
        <v>41016.61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41016.61</v>
      </c>
      <c r="AZ6" s="27" t="s">
        <v>3</v>
      </c>
      <c r="BA6" s="27">
        <f>ROUND($AY$6*BA5/$AZ$5,2)</f>
        <v>41016.61</v>
      </c>
      <c r="BB6" s="27">
        <f>ROUND($AY$6*BB5/$AZ$5,2)</f>
        <v>41016.61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5"/>
      <c r="AT8" s="2336"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6" t="s">
        <v>2976</v>
      </c>
      <c r="J9" s="51"/>
      <c r="K9" s="3056"/>
      <c r="L9" s="51"/>
      <c r="M9" s="305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7"/>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6" t="s">
        <v>985</v>
      </c>
      <c r="J10" s="51"/>
      <c r="K10" s="3058"/>
      <c r="L10" s="51"/>
      <c r="M10" s="3058"/>
      <c r="N10" s="51"/>
      <c r="O10" s="66"/>
      <c r="P10" s="51"/>
      <c r="Q10" s="66"/>
      <c r="R10" s="51"/>
      <c r="S10" s="66"/>
      <c r="T10" s="51"/>
      <c r="U10" s="66"/>
      <c r="V10" s="51"/>
      <c r="W10" s="66"/>
      <c r="X10" s="51"/>
      <c r="Y10" s="66"/>
      <c r="Z10" s="51"/>
      <c r="AA10" s="66"/>
      <c r="AB10" s="51"/>
      <c r="AC10" s="55"/>
      <c r="AD10" s="2322" t="s">
        <v>2323</v>
      </c>
      <c r="AE10" s="2344"/>
      <c r="AF10" s="2322" t="s">
        <v>2323</v>
      </c>
      <c r="AG10" s="2344"/>
      <c r="AH10" s="2322" t="s">
        <v>2324</v>
      </c>
      <c r="AI10" s="2344"/>
      <c r="AJ10" s="26" t="s">
        <v>2336</v>
      </c>
      <c r="AK10" s="2341"/>
      <c r="AL10" s="2322" t="s">
        <v>2325</v>
      </c>
      <c r="AM10" s="2323"/>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7" t="s">
        <v>2977</v>
      </c>
      <c r="J11" s="71"/>
      <c r="K11" s="3057"/>
      <c r="L11" s="71"/>
      <c r="M11" s="70"/>
      <c r="N11" s="71"/>
      <c r="O11" s="70"/>
      <c r="P11" s="71"/>
      <c r="Q11" s="70"/>
      <c r="R11" s="71"/>
      <c r="S11" s="70"/>
      <c r="T11" s="71"/>
      <c r="U11" s="70"/>
      <c r="V11" s="71"/>
      <c r="W11" s="70"/>
      <c r="X11" s="71"/>
      <c r="Y11" s="70"/>
      <c r="Z11" s="71"/>
      <c r="AA11" s="70"/>
      <c r="AB11" s="71"/>
      <c r="AC11" s="55"/>
      <c r="AD11" s="2342" t="s">
        <v>2335</v>
      </c>
      <c r="AE11" s="1005"/>
      <c r="AF11" s="2342" t="s">
        <v>2335</v>
      </c>
      <c r="AG11" s="1005"/>
      <c r="AH11" s="2342" t="s">
        <v>2334</v>
      </c>
      <c r="AI11" s="2343"/>
      <c r="AJ11" s="2342" t="s">
        <v>2334</v>
      </c>
      <c r="AK11" s="2341"/>
      <c r="AL11" s="1003"/>
      <c r="AM11" s="1005"/>
      <c r="AN11" s="1003"/>
      <c r="AO11" s="1005"/>
      <c r="AP11" s="1191"/>
      <c r="AQ11" s="1193"/>
      <c r="AR11" s="1191"/>
      <c r="AS11" s="1193"/>
      <c r="AT11" s="1006"/>
      <c r="AU11" s="45"/>
      <c r="AV11" s="55"/>
      <c r="AW11" s="1006"/>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1"/>
      <c r="B13" s="3051"/>
      <c r="C13" s="3051" t="s">
        <v>2975</v>
      </c>
      <c r="D13" s="3052" t="s">
        <v>1682</v>
      </c>
      <c r="E13" s="27">
        <f t="shared" ref="E13:E20" si="6">IF($C$3="是",ROUND($A$3*G13/$B$3,2),ROUND($A$3*(G13-AT13)/$B$3,2))</f>
        <v>41016.61</v>
      </c>
      <c r="F13" s="81"/>
      <c r="G13" s="82">
        <f t="shared" ref="G13:G20" si="7">H13+AC13+AT13</f>
        <v>41016</v>
      </c>
      <c r="H13" s="33">
        <f t="shared" ref="H13:H20" si="8">SUMIF(I$12:AB$12,"总值",I13:AB13)</f>
        <v>41016</v>
      </c>
      <c r="I13" s="3055">
        <v>41016</v>
      </c>
      <c r="J13" s="3055"/>
      <c r="K13" s="3055"/>
      <c r="L13" s="3055"/>
      <c r="M13" s="3055"/>
      <c r="N13" s="83"/>
      <c r="O13" s="83"/>
      <c r="P13" s="83"/>
      <c r="Q13" s="83"/>
      <c r="R13" s="83"/>
      <c r="S13" s="83"/>
      <c r="T13" s="83"/>
      <c r="U13" s="83"/>
      <c r="V13" s="83"/>
      <c r="W13" s="83"/>
      <c r="X13" s="83"/>
      <c r="Y13" s="83"/>
      <c r="Z13" s="83"/>
      <c r="AA13" s="83"/>
      <c r="AB13" s="83"/>
      <c r="AC13" s="27">
        <f t="shared" ref="AC13:AC20" si="9">SUMIF(AD$12:AS$12,"总值",AD13:AS13)</f>
        <v>0</v>
      </c>
      <c r="AD13" s="3059"/>
      <c r="AE13" s="3059"/>
      <c r="AF13" s="3059"/>
      <c r="AG13" s="3059"/>
      <c r="AH13" s="3059"/>
      <c r="AI13" s="3059"/>
      <c r="AJ13" s="3059"/>
      <c r="AK13" s="3059"/>
      <c r="AL13" s="3059"/>
      <c r="AM13" s="3059"/>
      <c r="AN13" s="3059"/>
      <c r="AO13" s="3059"/>
      <c r="AP13" s="3059"/>
      <c r="AQ13" s="3059"/>
      <c r="AR13" s="3059"/>
      <c r="AS13" s="3059"/>
      <c r="AT13" s="3060"/>
      <c r="AU13" s="3061"/>
      <c r="AV13" s="17">
        <f t="shared" ref="AV13:AX20" si="10">A13</f>
        <v>0</v>
      </c>
      <c r="AW13" s="17">
        <f t="shared" si="10"/>
        <v>0</v>
      </c>
      <c r="AX13" s="17" t="str">
        <f t="shared" si="10"/>
        <v>工业</v>
      </c>
      <c r="AY13" s="999">
        <f t="shared" ref="AY13:AY20" si="11">ROUND($AY$6*AZ13/$AZ$5,2)</f>
        <v>41016.61</v>
      </c>
      <c r="AZ13" s="27">
        <f t="shared" ref="AZ13:AZ20" si="12">BA13+BL13</f>
        <v>41016</v>
      </c>
      <c r="BA13" s="27">
        <f t="shared" ref="BA13:BA20" si="13">SUM(BB13:BK13)</f>
        <v>41016</v>
      </c>
      <c r="BB13" s="27">
        <f t="shared" ref="BB13:BB20" si="14">IF($D13="是",I13-J13,0)</f>
        <v>41016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1"/>
      <c r="B14" s="3051"/>
      <c r="C14" s="3053"/>
      <c r="D14" s="3052"/>
      <c r="E14" s="27">
        <f t="shared" si="6"/>
        <v>0</v>
      </c>
      <c r="F14" s="81"/>
      <c r="G14" s="82">
        <f t="shared" si="7"/>
        <v>0</v>
      </c>
      <c r="H14" s="33">
        <f t="shared" si="8"/>
        <v>0</v>
      </c>
      <c r="I14" s="3055"/>
      <c r="J14" s="3055"/>
      <c r="K14" s="3055"/>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c r="D15" s="3052"/>
      <c r="E15" s="27">
        <f t="shared" si="6"/>
        <v>0</v>
      </c>
      <c r="F15" s="81"/>
      <c r="G15" s="82">
        <f t="shared" si="7"/>
        <v>0</v>
      </c>
      <c r="H15" s="33">
        <f t="shared" si="8"/>
        <v>0</v>
      </c>
      <c r="I15" s="3055"/>
      <c r="J15" s="3055"/>
      <c r="K15" s="3055"/>
      <c r="L15" s="3055"/>
      <c r="M15" s="3055"/>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c r="D16" s="3052"/>
      <c r="E16" s="27">
        <f t="shared" si="6"/>
        <v>0</v>
      </c>
      <c r="F16" s="81"/>
      <c r="G16" s="82">
        <f t="shared" si="7"/>
        <v>0</v>
      </c>
      <c r="H16" s="33">
        <f t="shared" si="8"/>
        <v>0</v>
      </c>
      <c r="I16" s="3055"/>
      <c r="J16" s="3055"/>
      <c r="K16" s="3055"/>
      <c r="L16" s="3055"/>
      <c r="M16" s="3055"/>
      <c r="N16" s="83"/>
      <c r="O16" s="83"/>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1"/>
      <c r="B17" s="3051"/>
      <c r="C17" s="3053"/>
      <c r="D17" s="3052"/>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4"/>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8" t="s">
        <v>0</v>
      </c>
      <c r="B1" s="3238" t="s">
        <v>4</v>
      </c>
      <c r="C1" s="3238" t="s">
        <v>5</v>
      </c>
      <c r="D1" s="3239" t="s">
        <v>40</v>
      </c>
      <c r="E1" s="3239" t="s">
        <v>41</v>
      </c>
      <c r="F1" s="3239"/>
      <c r="G1" s="3239"/>
      <c r="H1" s="3239"/>
      <c r="I1" s="3239"/>
      <c r="J1" s="3239"/>
      <c r="K1" s="3239"/>
      <c r="L1" s="3239"/>
      <c r="M1" s="3239"/>
    </row>
    <row r="2" spans="1:13" ht="27" customHeight="1">
      <c r="A2" s="3238"/>
      <c r="B2" s="3238"/>
      <c r="C2" s="3238"/>
      <c r="D2" s="3239"/>
      <c r="E2" s="3239" t="s">
        <v>24</v>
      </c>
      <c r="F2" s="3239" t="s">
        <v>25</v>
      </c>
      <c r="G2" s="3239"/>
      <c r="H2" s="3239"/>
      <c r="I2" s="3239"/>
      <c r="J2" s="3239" t="s">
        <v>26</v>
      </c>
      <c r="K2" s="3239"/>
      <c r="L2" s="3239"/>
      <c r="M2" s="3239"/>
    </row>
    <row r="3" spans="1:13" ht="28.5">
      <c r="A3" s="3238"/>
      <c r="B3" s="3238"/>
      <c r="C3" s="3238"/>
      <c r="D3" s="3239"/>
      <c r="E3" s="32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9" t="s">
        <v>42</v>
      </c>
      <c r="B9" s="3239"/>
      <c r="C9" s="32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49" t="s">
        <v>203</v>
      </c>
      <c r="B2" s="3249"/>
      <c r="C2" s="3249"/>
      <c r="D2" s="1979" t="s">
        <v>204</v>
      </c>
      <c r="E2" s="106" t="s">
        <v>205</v>
      </c>
      <c r="F2" s="1988"/>
      <c r="G2" s="1201"/>
      <c r="H2" s="1202"/>
      <c r="I2" s="1203" t="s">
        <v>860</v>
      </c>
      <c r="J2" s="1988"/>
      <c r="K2" s="1988"/>
      <c r="L2" s="1988"/>
    </row>
    <row r="3" spans="1:16" ht="15.75" thickBot="1">
      <c r="A3" s="3250" t="s">
        <v>206</v>
      </c>
      <c r="B3" s="3250"/>
      <c r="C3" s="3250"/>
      <c r="D3" s="107">
        <f>'数据-基础表'!AY6</f>
        <v>41016.61</v>
      </c>
      <c r="E3" s="107">
        <f>'数据-基础表'!AZ5</f>
        <v>41016</v>
      </c>
      <c r="F3" s="1988"/>
      <c r="G3" s="280" t="s">
        <v>861</v>
      </c>
      <c r="H3" s="275" t="s">
        <v>862</v>
      </c>
      <c r="I3" s="1980">
        <f>ROUND('数据-基础表'!B3/'数据-基础表'!A3,2)</f>
        <v>1</v>
      </c>
      <c r="J3" s="1988"/>
      <c r="K3" s="1988"/>
      <c r="L3" s="1988"/>
    </row>
    <row r="4" spans="1:16" ht="15">
      <c r="A4" s="3251"/>
      <c r="B4" s="3252"/>
      <c r="C4" s="3253"/>
      <c r="D4" s="108" t="s">
        <v>204</v>
      </c>
      <c r="E4" s="109" t="s">
        <v>205</v>
      </c>
      <c r="F4" s="1988"/>
      <c r="G4" s="1204"/>
      <c r="H4" s="275" t="s">
        <v>863</v>
      </c>
      <c r="I4" s="1980">
        <f>ROUND(SUMIF('数据-基础表'!I9:AS9,"地上",'数据-基础表'!I5:AS5)/'数据-基础表'!A3,2)</f>
        <v>1</v>
      </c>
      <c r="J4" s="1988"/>
      <c r="K4" s="1988"/>
      <c r="L4" s="1988"/>
    </row>
    <row r="5" spans="1:16">
      <c r="A5" s="110" t="s">
        <v>207</v>
      </c>
      <c r="B5" s="3254" t="s">
        <v>230</v>
      </c>
      <c r="C5" s="3254"/>
      <c r="D5" s="111">
        <f>ROUND($D$3*E5/$E$3,2)</f>
        <v>0</v>
      </c>
      <c r="E5" s="112">
        <f>SUMIF('数据-基础表'!$11:$11,"住宅",'数据-基础表'!$5:$5)</f>
        <v>0</v>
      </c>
      <c r="F5" s="1988"/>
      <c r="G5" s="280" t="s">
        <v>864</v>
      </c>
      <c r="H5" s="275" t="s">
        <v>862</v>
      </c>
      <c r="I5" s="1980">
        <f>ROUND(E31/D31,2)</f>
        <v>1</v>
      </c>
      <c r="J5" s="1988"/>
      <c r="K5" s="1988"/>
      <c r="L5" s="1988"/>
    </row>
    <row r="6" spans="1:16" ht="15" thickBot="1">
      <c r="A6" s="113"/>
      <c r="B6" s="3254" t="s">
        <v>208</v>
      </c>
      <c r="C6" s="3254"/>
      <c r="D6" s="111">
        <f>ROUND($D$3*E6/$E$3,2)</f>
        <v>41016.61</v>
      </c>
      <c r="E6" s="112">
        <f>E3-E5</f>
        <v>41016</v>
      </c>
      <c r="F6" s="1988"/>
      <c r="G6" s="1204"/>
      <c r="H6" s="275" t="s">
        <v>863</v>
      </c>
      <c r="I6" s="1980">
        <f>ROUND(F31/D31,2)</f>
        <v>1</v>
      </c>
      <c r="J6" s="1988"/>
      <c r="K6" s="1988"/>
      <c r="L6" s="1988"/>
    </row>
    <row r="7" spans="1:16" ht="15">
      <c r="A7" s="3246"/>
      <c r="B7" s="3247"/>
      <c r="C7" s="3248"/>
      <c r="D7" s="108" t="s">
        <v>204</v>
      </c>
      <c r="E7" s="114" t="s">
        <v>231</v>
      </c>
      <c r="F7" s="1988"/>
      <c r="G7" s="1159" t="s">
        <v>1649</v>
      </c>
      <c r="H7" s="1160"/>
      <c r="I7" s="1850">
        <f>I6</f>
        <v>1</v>
      </c>
      <c r="J7" s="1988"/>
      <c r="K7" s="1988"/>
      <c r="L7" s="1988"/>
    </row>
    <row r="8" spans="1:16">
      <c r="A8" s="110" t="s">
        <v>209</v>
      </c>
      <c r="B8" s="115" t="s">
        <v>210</v>
      </c>
      <c r="C8" s="111" t="s">
        <v>211</v>
      </c>
      <c r="D8" s="111">
        <f t="shared" ref="D8:D15" si="0">ROUND($D$3*E8/$E$3,2)</f>
        <v>41016.61</v>
      </c>
      <c r="E8" s="116">
        <f>SUMIF('数据-基础表'!BB10:BK10,"地上",'数据-基础表'!BB5:BK5)</f>
        <v>41016</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2332</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2339</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41016.61</v>
      </c>
      <c r="E16" s="120">
        <f>SUM(E8:E15)</f>
        <v>41016</v>
      </c>
      <c r="F16" s="1988"/>
      <c r="G16" s="1990"/>
      <c r="H16" s="971" t="s">
        <v>219</v>
      </c>
      <c r="I16" s="972"/>
      <c r="J16" s="1988"/>
      <c r="K16" s="3240" t="s">
        <v>2574</v>
      </c>
      <c r="L16" s="3241"/>
      <c r="M16" s="3241"/>
      <c r="N16" s="3241"/>
      <c r="O16" s="3241"/>
      <c r="P16" s="3242"/>
    </row>
    <row r="17" spans="1:19" ht="15">
      <c r="A17" s="121" t="s">
        <v>216</v>
      </c>
      <c r="B17" s="122" t="s">
        <v>217</v>
      </c>
      <c r="C17" s="2306" t="s">
        <v>2319</v>
      </c>
      <c r="D17" s="108" t="s">
        <v>204</v>
      </c>
      <c r="E17" s="124" t="s">
        <v>205</v>
      </c>
      <c r="F17" s="125"/>
      <c r="G17" s="1370"/>
      <c r="H17" s="973" t="s">
        <v>218</v>
      </c>
      <c r="I17" s="974" t="s">
        <v>2318</v>
      </c>
      <c r="J17" s="1988"/>
      <c r="K17" s="3243" t="s">
        <v>2575</v>
      </c>
      <c r="L17" s="3244"/>
      <c r="M17" s="3245"/>
      <c r="N17" s="3243" t="s">
        <v>2576</v>
      </c>
      <c r="O17" s="3244"/>
      <c r="P17" s="3245"/>
      <c r="R17" s="2307" t="s">
        <v>2317</v>
      </c>
      <c r="S17" s="144"/>
    </row>
    <row r="18" spans="1:19" ht="15">
      <c r="A18" s="117"/>
      <c r="B18" s="128"/>
      <c r="C18" s="129"/>
      <c r="D18" s="2676"/>
      <c r="E18" s="130" t="s">
        <v>220</v>
      </c>
      <c r="F18" s="131" t="s">
        <v>221</v>
      </c>
      <c r="G18" s="1371" t="s">
        <v>222</v>
      </c>
      <c r="H18" s="975" t="s">
        <v>223</v>
      </c>
      <c r="I18" s="976" t="s">
        <v>224</v>
      </c>
      <c r="J18" s="1988"/>
      <c r="K18" s="2638" t="s">
        <v>2577</v>
      </c>
      <c r="L18" s="2639" t="s">
        <v>2578</v>
      </c>
      <c r="M18" s="2640" t="s">
        <v>2579</v>
      </c>
      <c r="N18" s="2638" t="s">
        <v>2577</v>
      </c>
      <c r="O18" s="2639" t="s">
        <v>2578</v>
      </c>
      <c r="P18" s="2640" t="s">
        <v>2579</v>
      </c>
      <c r="R18" s="2308" t="s">
        <v>2315</v>
      </c>
      <c r="S18" s="2308" t="s">
        <v>2316</v>
      </c>
    </row>
    <row r="19" spans="1:19">
      <c r="A19" s="133"/>
      <c r="B19" s="115" t="s">
        <v>225</v>
      </c>
      <c r="C19" s="3062" t="s">
        <v>2978</v>
      </c>
      <c r="D19" s="111">
        <f t="shared" ref="D19:D26" si="1">ROUND($D$3*E19/$E$3,2)</f>
        <v>41016.61</v>
      </c>
      <c r="E19" s="134">
        <f t="shared" ref="E19:E26" si="2">SUM(F19:G19)</f>
        <v>41016</v>
      </c>
      <c r="F19" s="135">
        <f>'数据-基础表'!I13</f>
        <v>41016</v>
      </c>
      <c r="G19" s="1372"/>
      <c r="H19" s="977">
        <f>ROUND($D$3*I19/$E$3,2)</f>
        <v>0</v>
      </c>
      <c r="I19" s="116">
        <f>IF($I$17="自定义",P19,M19)</f>
        <v>0</v>
      </c>
      <c r="J19" s="1988"/>
      <c r="K19" s="2641">
        <f t="shared" ref="K19:K26" si="3">ROUND(E$28*E19/E$27,2)</f>
        <v>0</v>
      </c>
      <c r="L19" s="275">
        <f t="shared" ref="L19:L26" si="4">ROUND(IF(COUNTIF(C19,"*住宅*")&gt;0,E$29*E19/E$32,0),2)</f>
        <v>0</v>
      </c>
      <c r="M19" s="2642">
        <f>K19+L19</f>
        <v>0</v>
      </c>
      <c r="N19" s="2643"/>
      <c r="O19" s="2644"/>
      <c r="P19" s="2645">
        <f>N19+O19</f>
        <v>0</v>
      </c>
      <c r="R19" s="275">
        <f t="shared" ref="R19:S26" si="5">D19+H19</f>
        <v>41016.61</v>
      </c>
      <c r="S19" s="2309">
        <f t="shared" si="5"/>
        <v>41016</v>
      </c>
    </row>
    <row r="20" spans="1:19">
      <c r="A20" s="138"/>
      <c r="B20" s="115" t="s">
        <v>226</v>
      </c>
      <c r="C20" s="3062"/>
      <c r="D20" s="111">
        <f t="shared" si="1"/>
        <v>0</v>
      </c>
      <c r="E20" s="134">
        <f t="shared" si="2"/>
        <v>0</v>
      </c>
      <c r="F20" s="135"/>
      <c r="G20" s="1372"/>
      <c r="H20" s="977">
        <f t="shared" ref="H20:H26" si="6">ROUND($D$3*I20/$E$3,2)</f>
        <v>0</v>
      </c>
      <c r="I20" s="116">
        <f t="shared" ref="I20:I26" si="7">IF($I$17="自定义",P20,M20)</f>
        <v>0</v>
      </c>
      <c r="J20" s="1988"/>
      <c r="K20" s="2641">
        <f t="shared" si="3"/>
        <v>0</v>
      </c>
      <c r="L20" s="275">
        <f t="shared" si="4"/>
        <v>0</v>
      </c>
      <c r="M20" s="2642">
        <f t="shared" ref="M20:M26" si="8">K20+L20</f>
        <v>0</v>
      </c>
      <c r="N20" s="2643"/>
      <c r="O20" s="2644"/>
      <c r="P20" s="2645">
        <f t="shared" ref="P20:P26" si="9">N20+O20</f>
        <v>0</v>
      </c>
      <c r="R20" s="275">
        <f t="shared" si="5"/>
        <v>0</v>
      </c>
      <c r="S20" s="2309">
        <f t="shared" si="5"/>
        <v>0</v>
      </c>
    </row>
    <row r="21" spans="1:19">
      <c r="A21" s="138"/>
      <c r="B21" s="115" t="s">
        <v>226</v>
      </c>
      <c r="C21" s="3062"/>
      <c r="D21" s="111">
        <f t="shared" si="1"/>
        <v>0</v>
      </c>
      <c r="E21" s="134">
        <f t="shared" si="2"/>
        <v>0</v>
      </c>
      <c r="F21" s="135"/>
      <c r="G21" s="1372"/>
      <c r="H21" s="977">
        <f t="shared" si="6"/>
        <v>0</v>
      </c>
      <c r="I21" s="116">
        <f t="shared" si="7"/>
        <v>0</v>
      </c>
      <c r="J21" s="1988"/>
      <c r="K21" s="2641">
        <f t="shared" si="3"/>
        <v>0</v>
      </c>
      <c r="L21" s="275">
        <f t="shared" si="4"/>
        <v>0</v>
      </c>
      <c r="M21" s="2642">
        <f t="shared" si="8"/>
        <v>0</v>
      </c>
      <c r="N21" s="2643"/>
      <c r="O21" s="2644"/>
      <c r="P21" s="2645">
        <f t="shared" si="9"/>
        <v>0</v>
      </c>
      <c r="R21" s="275">
        <f t="shared" si="5"/>
        <v>0</v>
      </c>
      <c r="S21" s="2309">
        <f t="shared" si="5"/>
        <v>0</v>
      </c>
    </row>
    <row r="22" spans="1:19">
      <c r="A22" s="138"/>
      <c r="B22" s="115" t="s">
        <v>226</v>
      </c>
      <c r="C22" s="1369"/>
      <c r="D22" s="111">
        <f t="shared" si="1"/>
        <v>0</v>
      </c>
      <c r="E22" s="134">
        <f t="shared" si="2"/>
        <v>0</v>
      </c>
      <c r="F22" s="140"/>
      <c r="G22" s="1373"/>
      <c r="H22" s="977">
        <f t="shared" si="6"/>
        <v>0</v>
      </c>
      <c r="I22" s="116">
        <f t="shared" si="7"/>
        <v>0</v>
      </c>
      <c r="J22" s="1988"/>
      <c r="K22" s="2641">
        <f t="shared" si="3"/>
        <v>0</v>
      </c>
      <c r="L22" s="275">
        <f t="shared" si="4"/>
        <v>0</v>
      </c>
      <c r="M22" s="2642">
        <f t="shared" si="8"/>
        <v>0</v>
      </c>
      <c r="N22" s="2643"/>
      <c r="O22" s="2644"/>
      <c r="P22" s="2645">
        <f t="shared" si="9"/>
        <v>0</v>
      </c>
      <c r="R22" s="275">
        <f t="shared" si="5"/>
        <v>0</v>
      </c>
      <c r="S22" s="2309">
        <f t="shared" si="5"/>
        <v>0</v>
      </c>
    </row>
    <row r="23" spans="1:19">
      <c r="A23" s="138"/>
      <c r="B23" s="115" t="s">
        <v>226</v>
      </c>
      <c r="C23" s="139"/>
      <c r="D23" s="111">
        <f>ROUND($D$3*E23/$E$3,2)</f>
        <v>0</v>
      </c>
      <c r="E23" s="134">
        <f>SUM(F23:G23)</f>
        <v>0</v>
      </c>
      <c r="F23" s="140"/>
      <c r="G23" s="1373"/>
      <c r="H23" s="977">
        <f>ROUND($D$3*I23/$E$3,2)</f>
        <v>0</v>
      </c>
      <c r="I23" s="116">
        <f t="shared" si="7"/>
        <v>0</v>
      </c>
      <c r="J23" s="1988"/>
      <c r="K23" s="2641">
        <f t="shared" si="3"/>
        <v>0</v>
      </c>
      <c r="L23" s="275">
        <f t="shared" si="4"/>
        <v>0</v>
      </c>
      <c r="M23" s="2642">
        <f t="shared" si="8"/>
        <v>0</v>
      </c>
      <c r="N23" s="2643"/>
      <c r="O23" s="2644"/>
      <c r="P23" s="2645">
        <f t="shared" si="9"/>
        <v>0</v>
      </c>
      <c r="R23" s="275">
        <f t="shared" si="5"/>
        <v>0</v>
      </c>
      <c r="S23" s="2309">
        <f t="shared" si="5"/>
        <v>0</v>
      </c>
    </row>
    <row r="24" spans="1:19">
      <c r="A24" s="138"/>
      <c r="B24" s="115" t="s">
        <v>226</v>
      </c>
      <c r="C24" s="139"/>
      <c r="D24" s="111">
        <f>ROUND($D$3*E24/$E$3,2)</f>
        <v>0</v>
      </c>
      <c r="E24" s="134">
        <f>SUM(F24:G24)</f>
        <v>0</v>
      </c>
      <c r="F24" s="140"/>
      <c r="G24" s="1373"/>
      <c r="H24" s="977">
        <f>ROUND($D$3*I24/$E$3,2)</f>
        <v>0</v>
      </c>
      <c r="I24" s="116">
        <f t="shared" si="7"/>
        <v>0</v>
      </c>
      <c r="J24" s="1988"/>
      <c r="K24" s="2641">
        <f t="shared" si="3"/>
        <v>0</v>
      </c>
      <c r="L24" s="275">
        <f t="shared" si="4"/>
        <v>0</v>
      </c>
      <c r="M24" s="2642">
        <f t="shared" si="8"/>
        <v>0</v>
      </c>
      <c r="N24" s="2643"/>
      <c r="O24" s="2644"/>
      <c r="P24" s="2645">
        <f t="shared" si="9"/>
        <v>0</v>
      </c>
      <c r="R24" s="275">
        <f t="shared" si="5"/>
        <v>0</v>
      </c>
      <c r="S24" s="2309">
        <f t="shared" si="5"/>
        <v>0</v>
      </c>
    </row>
    <row r="25" spans="1:19">
      <c r="A25" s="138"/>
      <c r="B25" s="115" t="s">
        <v>226</v>
      </c>
      <c r="C25" s="139"/>
      <c r="D25" s="111">
        <f t="shared" si="1"/>
        <v>0</v>
      </c>
      <c r="E25" s="134">
        <f t="shared" si="2"/>
        <v>0</v>
      </c>
      <c r="F25" s="140"/>
      <c r="G25" s="1373"/>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c r="A26" s="138"/>
      <c r="B26" s="115" t="s">
        <v>226</v>
      </c>
      <c r="C26" s="142"/>
      <c r="D26" s="111">
        <f t="shared" si="1"/>
        <v>0</v>
      </c>
      <c r="E26" s="134">
        <f t="shared" si="2"/>
        <v>0</v>
      </c>
      <c r="F26" s="140"/>
      <c r="G26" s="1373"/>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15.75" thickBot="1">
      <c r="A27" s="138"/>
      <c r="B27" s="111"/>
      <c r="C27" s="127" t="s">
        <v>215</v>
      </c>
      <c r="D27" s="134">
        <f>SUM(D19:D26)</f>
        <v>41016.61</v>
      </c>
      <c r="E27" s="143">
        <f>IF(SUM(E19:E26)='数据-基础表'!BA5,SUM(E19:E26),IF(F27="地上面积有误","面积有误","地下面积有误"))</f>
        <v>41016</v>
      </c>
      <c r="F27" s="134">
        <f>IF(SUM(F19:F26)=E8,SUM(F19:F26),"地上面积有误")</f>
        <v>41016</v>
      </c>
      <c r="G27" s="112">
        <f>SUM(G19:G26)</f>
        <v>0</v>
      </c>
      <c r="H27" s="978">
        <f>SUM(H19:H26)</f>
        <v>0</v>
      </c>
      <c r="I27" s="979">
        <f>SUM(I19:I26)</f>
        <v>0</v>
      </c>
      <c r="J27" s="1988"/>
      <c r="K27" s="2650">
        <f>SUM(K19:K26)</f>
        <v>0</v>
      </c>
      <c r="L27" s="2651">
        <f>SUM(L19:L26)</f>
        <v>0</v>
      </c>
      <c r="M27" s="2652">
        <f>SUM(M19:M26)</f>
        <v>0</v>
      </c>
      <c r="N27" s="2650">
        <f t="shared" ref="N27:O27" si="10">SUM(N19:N26)</f>
        <v>0</v>
      </c>
      <c r="O27" s="2651">
        <f t="shared" si="10"/>
        <v>0</v>
      </c>
      <c r="P27" s="2653">
        <f>SUM(P19:P26)</f>
        <v>0</v>
      </c>
      <c r="R27" s="2313">
        <f>IF(SUM(R19:R26)=$D$3,SUM(R19:R26),SUM(R19:R26)&amp;"误差"&amp;ROUND(SUM(R19:R26)-$D$3,2))</f>
        <v>41016.61</v>
      </c>
      <c r="S27" s="275">
        <f>IF(SUM(S19:S26)=$E$3,SUM(S19:S26),SUM(S19:S26)&amp;"误差"&amp;ROUND(SUM(S19:S26)-E3,2))</f>
        <v>41016</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21" t="s">
        <v>2326</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4"/>
      <c r="B31" s="1375" t="s">
        <v>229</v>
      </c>
      <c r="C31" s="2338" t="s">
        <v>2328</v>
      </c>
      <c r="D31" s="1376">
        <f>D27+D30</f>
        <v>41016.61</v>
      </c>
      <c r="E31" s="1376">
        <f>E27+E30</f>
        <v>41016</v>
      </c>
      <c r="F31" s="1377">
        <f>F27+F30</f>
        <v>41016</v>
      </c>
      <c r="G31" s="1378">
        <f>G27+G30</f>
        <v>0</v>
      </c>
      <c r="H31" s="1988"/>
      <c r="I31" s="1988"/>
      <c r="J31" s="1988"/>
      <c r="K31" s="1988"/>
      <c r="L31" s="1988"/>
    </row>
    <row r="32" spans="1:19">
      <c r="A32" s="1988"/>
      <c r="B32" s="2371" t="s">
        <v>2327</v>
      </c>
      <c r="C32" s="2681"/>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6">
        <f>项目基本情况!D3</f>
        <v>43005</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12" t="s">
        <v>2330</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2838</v>
      </c>
      <c r="O5" s="163" t="s">
        <v>246</v>
      </c>
      <c r="P5" s="165" t="s">
        <v>247</v>
      </c>
      <c r="Q5" s="166" t="s">
        <v>248</v>
      </c>
      <c r="R5" s="167" t="s">
        <v>249</v>
      </c>
      <c r="S5" s="2654" t="s">
        <v>2580</v>
      </c>
      <c r="T5" s="168" t="s">
        <v>250</v>
      </c>
      <c r="U5" s="169" t="s">
        <v>251</v>
      </c>
      <c r="V5" s="159" t="s">
        <v>252</v>
      </c>
      <c r="W5" s="159" t="s">
        <v>253</v>
      </c>
      <c r="X5" s="1822"/>
      <c r="Y5" s="170" t="s">
        <v>254</v>
      </c>
      <c r="Z5" s="171" t="s">
        <v>255</v>
      </c>
      <c r="AA5" s="159" t="s">
        <v>252</v>
      </c>
      <c r="AB5" s="159" t="s">
        <v>253</v>
      </c>
      <c r="AC5" s="1823"/>
      <c r="AD5" s="172" t="s">
        <v>254</v>
      </c>
      <c r="AE5" s="1" t="s">
        <v>873</v>
      </c>
      <c r="AF5" s="159" t="s">
        <v>256</v>
      </c>
      <c r="AG5" s="170" t="s">
        <v>257</v>
      </c>
      <c r="AH5" s="1823" t="s">
        <v>2329</v>
      </c>
      <c r="AI5" s="171" t="s">
        <v>2298</v>
      </c>
      <c r="AJ5" s="171" t="s">
        <v>258</v>
      </c>
      <c r="AK5" s="159" t="s">
        <v>259</v>
      </c>
      <c r="AL5" s="159" t="s">
        <v>260</v>
      </c>
      <c r="AM5" s="172" t="s">
        <v>261</v>
      </c>
      <c r="AN5" s="2424" t="s">
        <v>2379</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10" t="str">
        <f>'数据-汇总表'!C19</f>
        <v>工业</v>
      </c>
      <c r="B6" s="2345" t="str">
        <f>IF(A6=0,"","经营性")</f>
        <v>经营性</v>
      </c>
      <c r="C6" s="173" t="s">
        <v>985</v>
      </c>
      <c r="D6" s="2316">
        <f>SUMIF(项目基本情况!D$15:I$15,C6,项目基本情况!D$18:I$18)</f>
        <v>50</v>
      </c>
      <c r="E6" s="2317">
        <f>IF(B6="","",SUMIF(项目基本情况!D$15:I$15,C6,项目基本情况!D$17:I$17))</f>
        <v>60820</v>
      </c>
      <c r="F6" s="174">
        <f>SUMIF(项目基本情况!D$15:I$15,C6,项目基本情况!D$19:I$19)</f>
        <v>48.8</v>
      </c>
      <c r="G6" s="175">
        <f>IF(ISERROR(ROUND(POWER(1+H6,D6-F6)*(POWER(1+H6,F6)-1)/(POWER(1+H6,D6)-1),3)),0,ROUND(POWER(1+H6,D6-F6)*(POWER(1+H6,F6)-1)/(POWER(1+H6,D6)-1),3))</f>
        <v>0.99199999999999999</v>
      </c>
      <c r="H6" s="3063">
        <v>0.04</v>
      </c>
      <c r="I6" s="3063">
        <v>0.05</v>
      </c>
      <c r="J6" s="176">
        <v>0.08</v>
      </c>
      <c r="K6" s="179">
        <f>SUMIF('数据-汇总表'!C$19:C$33,'数据-取费表'!A6,'数据-汇总表'!E$19:E$33)</f>
        <v>41016</v>
      </c>
      <c r="L6" s="3064">
        <v>2200</v>
      </c>
      <c r="M6" s="177">
        <f t="shared" ref="M6:M14" si="0">ROUND(K6*L6/10000,0)</f>
        <v>9024</v>
      </c>
      <c r="N6" s="3065">
        <v>0</v>
      </c>
      <c r="O6" s="177">
        <f>IF($N$5="成新度","——",ROUND(M6*N6,0))</f>
        <v>0</v>
      </c>
      <c r="P6" s="178">
        <f>IF($N$5="成新度","——",M6-O6)</f>
        <v>9024</v>
      </c>
      <c r="Q6" s="3066">
        <v>0.1</v>
      </c>
      <c r="R6" s="179">
        <f>SUMIF('数据-汇总表'!C$19:C$33,A6,'数据-汇总表'!R$19:R$33)</f>
        <v>41016.61</v>
      </c>
      <c r="S6" s="132">
        <f>IF('数据-汇总表'!$I$17="按面积比例",SUMIF('数据-汇总表'!C$19:C$33,A6,'数据-汇总表'!K$19:K$33),SUMIF('数据-汇总表'!C$19:C$33,A6,'数据-汇总表'!N$19:N$33))</f>
        <v>0</v>
      </c>
      <c r="T6" s="2242" t="str">
        <f>IF($T$4="按面积比例",IF(ISERROR(ROUND($M$14*S6/S$16,0)),"0",ROUND($M$14*S6/S$16,0)),"需自行计算录入")</f>
        <v>0</v>
      </c>
      <c r="U6" s="180">
        <v>1.3</v>
      </c>
      <c r="V6" s="181">
        <v>0.02</v>
      </c>
      <c r="W6" s="181">
        <v>0.1</v>
      </c>
      <c r="X6" s="2329"/>
      <c r="Y6" s="182">
        <v>1</v>
      </c>
      <c r="Z6" s="183"/>
      <c r="AA6" s="176"/>
      <c r="AB6" s="176"/>
      <c r="AC6" s="2332"/>
      <c r="AD6" s="184"/>
      <c r="AE6" s="975">
        <f ca="1">IF(AN6="",0,SUMIF(INDIRECT("'"&amp;AN6&amp;"'"&amp;"!E:E"),$AE$5,INDIRECT("'"&amp;AN6&amp;"'"&amp;"!F:F")))</f>
        <v>48.8</v>
      </c>
      <c r="AF6" s="141"/>
      <c r="AG6" s="1216">
        <f>IF(AF6="",0,AE6-AF6)</f>
        <v>0</v>
      </c>
      <c r="AH6" s="141"/>
      <c r="AI6" s="187">
        <v>365</v>
      </c>
      <c r="AJ6" s="188"/>
      <c r="AK6" s="189">
        <v>1.4999999999999999E-2</v>
      </c>
      <c r="AL6" s="190">
        <v>2E-3</v>
      </c>
      <c r="AM6" s="3077">
        <v>1.4999999999999999E-2</v>
      </c>
      <c r="AN6" s="2425" t="s">
        <v>2979</v>
      </c>
      <c r="AO6" s="2004"/>
      <c r="AP6" s="1207">
        <f>ROUND(1-1/(1+H6)^F6,3)</f>
        <v>0.85299999999999998</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10">
        <f>'数据-汇总表'!C20</f>
        <v>0</v>
      </c>
      <c r="B7" s="2345" t="str">
        <f t="shared" ref="B7:B13" si="1">IF(A7=0,"","经营性")</f>
        <v/>
      </c>
      <c r="C7" s="173"/>
      <c r="D7" s="2316">
        <f>SUMIF(项目基本情况!D$15:I$15,C7,项目基本情况!D$18:I$18)</f>
        <v>0</v>
      </c>
      <c r="E7" s="231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3"/>
      <c r="I7" s="3063"/>
      <c r="J7" s="176"/>
      <c r="K7" s="179">
        <f>SUMIF('数据-汇总表'!C$19:C$33,'数据-取费表'!A7,'数据-汇总表'!E$19:E$33)</f>
        <v>0</v>
      </c>
      <c r="L7" s="3064"/>
      <c r="M7" s="177">
        <f t="shared" si="0"/>
        <v>0</v>
      </c>
      <c r="N7" s="3065"/>
      <c r="O7" s="177">
        <f t="shared" ref="O7:O14" si="3">IF($N$5="成新度","——",ROUND(M7*N7,0))</f>
        <v>0</v>
      </c>
      <c r="P7" s="178">
        <f t="shared" ref="P7:P14" si="4">IF($N$5="成新度","——",M7-O7)</f>
        <v>0</v>
      </c>
      <c r="Q7" s="3066"/>
      <c r="R7" s="179">
        <f>SUMIF('数据-汇总表'!C$19:C$33,A7,'数据-汇总表'!R$19:R$33)</f>
        <v>0</v>
      </c>
      <c r="S7" s="132">
        <f>IF('数据-汇总表'!$I$17="按面积比例",SUMIF('数据-汇总表'!C$19:C$33,A7,'数据-汇总表'!K$19:K$33),SUMIF('数据-汇总表'!C$19:C$33,A7,'数据-汇总表'!N$19:N$33))</f>
        <v>0</v>
      </c>
      <c r="T7" s="2242" t="str">
        <f t="shared" ref="T7:T13" si="5">IF($T$4="按面积比例",IF(ISERROR(ROUND($M$14*S7/S$16,0)),"0",ROUND($M$14*S7/S$16,0)),"需自行计算录入")</f>
        <v>0</v>
      </c>
      <c r="U7" s="180"/>
      <c r="V7" s="181"/>
      <c r="W7" s="181"/>
      <c r="X7" s="2329"/>
      <c r="Y7" s="182"/>
      <c r="Z7" s="183"/>
      <c r="AA7" s="176"/>
      <c r="AB7" s="176"/>
      <c r="AC7" s="2332"/>
      <c r="AD7" s="184"/>
      <c r="AE7" s="975">
        <f t="shared" ref="AE7:AE13" ca="1" si="6">IF(AN7="",0,SUMIF(INDIRECT("'"&amp;AN7&amp;"'"&amp;"!E:E"),$AE$5,INDIRECT("'"&amp;AN7&amp;"'"&amp;"!F:F")))</f>
        <v>0</v>
      </c>
      <c r="AF7" s="141"/>
      <c r="AG7" s="1216">
        <f t="shared" ref="AG7:AG13" si="7">IF(AF7="",0,AE7-AF7)</f>
        <v>0</v>
      </c>
      <c r="AH7" s="141"/>
      <c r="AI7" s="187"/>
      <c r="AJ7" s="188"/>
      <c r="AK7" s="189"/>
      <c r="AL7" s="190"/>
      <c r="AM7" s="2423"/>
      <c r="AN7" s="2425"/>
      <c r="AO7" s="2004"/>
      <c r="AP7" s="1207">
        <f t="shared" ref="AP7:AP13" si="8">ROUND(1-1/(1+H7)^F7,3)</f>
        <v>0</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10">
        <f>'数据-汇总表'!C21</f>
        <v>0</v>
      </c>
      <c r="B8" s="2345" t="str">
        <f t="shared" si="1"/>
        <v/>
      </c>
      <c r="C8" s="173"/>
      <c r="D8" s="2316">
        <f>SUMIF(项目基本情况!D$15:I$15,C8,项目基本情况!D$18:I$18)</f>
        <v>0</v>
      </c>
      <c r="E8" s="2317" t="str">
        <f>IF(B8="","",SUMIF(项目基本情况!D$15:I$15,C8,项目基本情况!D$17:I$17))</f>
        <v/>
      </c>
      <c r="F8" s="174">
        <f>SUMIF(项目基本情况!D$15:I$15,C8,项目基本情况!D$19:I$19)</f>
        <v>0</v>
      </c>
      <c r="G8" s="175">
        <f t="shared" si="2"/>
        <v>0</v>
      </c>
      <c r="H8" s="3063"/>
      <c r="I8" s="3063"/>
      <c r="J8" s="176"/>
      <c r="K8" s="179">
        <f>SUMIF('数据-汇总表'!C$19:C$33,'数据-取费表'!A8,'数据-汇总表'!E$19:E$33)</f>
        <v>0</v>
      </c>
      <c r="L8" s="3064"/>
      <c r="M8" s="177">
        <f>ROUND(K8*L8/10000,0)</f>
        <v>0</v>
      </c>
      <c r="N8" s="3065"/>
      <c r="O8" s="177">
        <f t="shared" si="3"/>
        <v>0</v>
      </c>
      <c r="P8" s="178">
        <f t="shared" si="4"/>
        <v>0</v>
      </c>
      <c r="Q8" s="3066"/>
      <c r="R8" s="179">
        <f>SUMIF('数据-汇总表'!C$19:C$33,A8,'数据-汇总表'!R$19:R$33)</f>
        <v>0</v>
      </c>
      <c r="S8" s="132">
        <f>IF('数据-汇总表'!$I$17="按面积比例",SUMIF('数据-汇总表'!C$19:C$33,A8,'数据-汇总表'!K$19:K$33),SUMIF('数据-汇总表'!C$19:C$33,A8,'数据-汇总表'!N$19:N$33))</f>
        <v>0</v>
      </c>
      <c r="T8" s="2242" t="str">
        <f t="shared" si="5"/>
        <v>0</v>
      </c>
      <c r="U8" s="180"/>
      <c r="V8" s="181"/>
      <c r="W8" s="181"/>
      <c r="X8" s="2329"/>
      <c r="Y8" s="182"/>
      <c r="Z8" s="183"/>
      <c r="AA8" s="176"/>
      <c r="AB8" s="176"/>
      <c r="AC8" s="2332"/>
      <c r="AD8" s="184"/>
      <c r="AE8" s="975">
        <f t="shared" ca="1" si="6"/>
        <v>0</v>
      </c>
      <c r="AF8" s="141"/>
      <c r="AG8" s="1216">
        <f t="shared" si="7"/>
        <v>0</v>
      </c>
      <c r="AH8" s="141"/>
      <c r="AI8" s="187"/>
      <c r="AJ8" s="188"/>
      <c r="AK8" s="189"/>
      <c r="AL8" s="190"/>
      <c r="AM8" s="2423"/>
      <c r="AN8" s="2425"/>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t="str">
        <f t="shared" si="5"/>
        <v>0</v>
      </c>
      <c r="U9" s="180"/>
      <c r="V9" s="181"/>
      <c r="W9" s="181"/>
      <c r="X9" s="2329"/>
      <c r="Y9" s="182"/>
      <c r="Z9" s="183"/>
      <c r="AA9" s="176"/>
      <c r="AB9" s="176"/>
      <c r="AC9" s="2332"/>
      <c r="AD9" s="184"/>
      <c r="AE9" s="975">
        <f t="shared" ca="1" si="6"/>
        <v>0</v>
      </c>
      <c r="AF9" s="141"/>
      <c r="AG9" s="1216">
        <f t="shared" si="7"/>
        <v>0</v>
      </c>
      <c r="AH9" s="141"/>
      <c r="AI9" s="187"/>
      <c r="AJ9" s="188"/>
      <c r="AK9" s="189"/>
      <c r="AL9" s="190"/>
      <c r="AM9" s="2423"/>
      <c r="AN9" s="2425"/>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t="str">
        <f t="shared" si="5"/>
        <v>0</v>
      </c>
      <c r="U10" s="180"/>
      <c r="V10" s="181"/>
      <c r="W10" s="181"/>
      <c r="X10" s="2329"/>
      <c r="Y10" s="182"/>
      <c r="Z10" s="183"/>
      <c r="AA10" s="176"/>
      <c r="AB10" s="176"/>
      <c r="AC10" s="2332"/>
      <c r="AD10" s="184"/>
      <c r="AE10" s="975">
        <f t="shared" ca="1" si="6"/>
        <v>0</v>
      </c>
      <c r="AF10" s="141"/>
      <c r="AG10" s="1216">
        <f t="shared" si="7"/>
        <v>0</v>
      </c>
      <c r="AH10" s="141"/>
      <c r="AI10" s="187"/>
      <c r="AJ10" s="188"/>
      <c r="AK10" s="189"/>
      <c r="AL10" s="190"/>
      <c r="AM10" s="2423"/>
      <c r="AN10" s="2425"/>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t="str">
        <f t="shared" si="5"/>
        <v>0</v>
      </c>
      <c r="U11" s="185"/>
      <c r="V11" s="176"/>
      <c r="W11" s="176"/>
      <c r="X11" s="2332"/>
      <c r="Y11" s="182"/>
      <c r="Z11" s="195"/>
      <c r="AA11" s="176"/>
      <c r="AB11" s="176"/>
      <c r="AC11" s="2332"/>
      <c r="AD11" s="184"/>
      <c r="AE11" s="975">
        <f t="shared" ca="1" si="6"/>
        <v>0</v>
      </c>
      <c r="AF11" s="141"/>
      <c r="AG11" s="1216">
        <f t="shared" si="7"/>
        <v>0</v>
      </c>
      <c r="AH11" s="141"/>
      <c r="AI11" s="187"/>
      <c r="AJ11" s="188"/>
      <c r="AK11" s="196"/>
      <c r="AL11" s="197"/>
      <c r="AM11" s="1821"/>
      <c r="AN11" s="2425"/>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t="str">
        <f t="shared" si="5"/>
        <v>0</v>
      </c>
      <c r="U12" s="185"/>
      <c r="V12" s="176"/>
      <c r="W12" s="176"/>
      <c r="X12" s="2332"/>
      <c r="Y12" s="182"/>
      <c r="Z12" s="195"/>
      <c r="AA12" s="176"/>
      <c r="AB12" s="176"/>
      <c r="AC12" s="2332"/>
      <c r="AD12" s="184"/>
      <c r="AE12" s="975">
        <f t="shared" ca="1" si="6"/>
        <v>0</v>
      </c>
      <c r="AF12" s="141"/>
      <c r="AG12" s="1216">
        <f t="shared" si="7"/>
        <v>0</v>
      </c>
      <c r="AH12" s="141"/>
      <c r="AI12" s="187"/>
      <c r="AJ12" s="188"/>
      <c r="AK12" s="196"/>
      <c r="AL12" s="197"/>
      <c r="AM12" s="1821"/>
      <c r="AN12" s="2425"/>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t="str">
        <f t="shared" si="5"/>
        <v>0</v>
      </c>
      <c r="U13" s="180"/>
      <c r="V13" s="181"/>
      <c r="W13" s="181"/>
      <c r="X13" s="2329"/>
      <c r="Y13" s="182"/>
      <c r="Z13" s="183"/>
      <c r="AA13" s="176"/>
      <c r="AB13" s="176"/>
      <c r="AC13" s="2332"/>
      <c r="AD13" s="184"/>
      <c r="AE13" s="975">
        <f t="shared" ca="1" si="6"/>
        <v>0</v>
      </c>
      <c r="AF13" s="141"/>
      <c r="AG13" s="1216">
        <f t="shared" si="7"/>
        <v>0</v>
      </c>
      <c r="AH13" s="141"/>
      <c r="AI13" s="187"/>
      <c r="AJ13" s="188"/>
      <c r="AK13" s="189"/>
      <c r="AL13" s="190"/>
      <c r="AM13" s="2423"/>
      <c r="AN13" s="2425"/>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11" t="s">
        <v>2320</v>
      </c>
      <c r="B14" s="2314" t="s">
        <v>1683</v>
      </c>
      <c r="C14" s="2315" t="s">
        <v>2320</v>
      </c>
      <c r="D14" s="2316"/>
      <c r="E14" s="2317"/>
      <c r="F14" s="174"/>
      <c r="G14" s="175"/>
      <c r="H14" s="2318"/>
      <c r="I14" s="2318"/>
      <c r="J14" s="2318"/>
      <c r="K14" s="179">
        <f>SUMIF('数据-汇总表'!C$19:C$33,'数据-取费表'!A14,'数据-汇总表'!E$19:E$33)</f>
        <v>0</v>
      </c>
      <c r="L14" s="193"/>
      <c r="M14" s="177">
        <f t="shared" si="0"/>
        <v>0</v>
      </c>
      <c r="N14" s="194"/>
      <c r="O14" s="177">
        <f t="shared" si="3"/>
        <v>0</v>
      </c>
      <c r="P14" s="178">
        <f t="shared" si="4"/>
        <v>0</v>
      </c>
      <c r="Q14" s="2326"/>
      <c r="R14" s="179"/>
      <c r="S14" s="132"/>
      <c r="T14" s="2325"/>
      <c r="U14" s="977"/>
      <c r="V14" s="2328"/>
      <c r="W14" s="2328"/>
      <c r="X14" s="2329"/>
      <c r="Y14" s="2330"/>
      <c r="Z14" s="136"/>
      <c r="AA14" s="2331"/>
      <c r="AB14" s="2331"/>
      <c r="AC14" s="2332"/>
      <c r="AD14" s="2329"/>
      <c r="AE14" s="975"/>
      <c r="AF14" s="2304"/>
      <c r="AG14" s="1216"/>
      <c r="AH14" s="2304"/>
      <c r="AI14" s="1575"/>
      <c r="AJ14" s="1575"/>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20" t="s">
        <v>2322</v>
      </c>
      <c r="B15" s="2314" t="s">
        <v>1683</v>
      </c>
      <c r="C15" s="2315" t="s">
        <v>2321</v>
      </c>
      <c r="D15" s="2316"/>
      <c r="E15" s="2317"/>
      <c r="F15" s="174"/>
      <c r="G15" s="175"/>
      <c r="H15" s="2318"/>
      <c r="I15" s="2318"/>
      <c r="J15" s="2318"/>
      <c r="K15" s="179">
        <f>SUMIF('数据-汇总表'!C$19:C$33,'数据-取费表'!A15,'数据-汇总表'!E$19:E$33)</f>
        <v>0</v>
      </c>
      <c r="L15" s="2324"/>
      <c r="M15" s="177"/>
      <c r="N15" s="2327"/>
      <c r="O15" s="177"/>
      <c r="P15" s="178"/>
      <c r="Q15" s="2326"/>
      <c r="R15" s="179"/>
      <c r="S15" s="132"/>
      <c r="T15" s="2325"/>
      <c r="U15" s="977"/>
      <c r="V15" s="2328"/>
      <c r="W15" s="2328"/>
      <c r="X15" s="2329"/>
      <c r="Y15" s="2330"/>
      <c r="Z15" s="136"/>
      <c r="AA15" s="2331"/>
      <c r="AB15" s="2331"/>
      <c r="AC15" s="2332"/>
      <c r="AD15" s="2329"/>
      <c r="AE15" s="975"/>
      <c r="AF15" s="2304"/>
      <c r="AG15" s="1216"/>
      <c r="AH15" s="2304"/>
      <c r="AI15" s="1575"/>
      <c r="AJ15" s="1575"/>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0.99199999999999999</v>
      </c>
      <c r="H16" s="203">
        <f>ROUND(SUMPRODUCT(H6:H13,K6:K13)/SUMPRODUCT((H6:H13&gt;0)*(K6:K13)),3)</f>
        <v>0.04</v>
      </c>
      <c r="I16" s="204"/>
      <c r="J16" s="204"/>
      <c r="K16" s="205">
        <f>SUM(K6:K15)</f>
        <v>41016</v>
      </c>
      <c r="L16" s="206">
        <f>ROUND(M16*10000/SUM(K6:K14),0)</f>
        <v>2200</v>
      </c>
      <c r="M16" s="206">
        <f>SUM(M6:M14)</f>
        <v>9024</v>
      </c>
      <c r="N16" s="207">
        <f>ROUND(SUMPRODUCT(M6:M14,N6:N14)/M16,3)</f>
        <v>0</v>
      </c>
      <c r="O16" s="206">
        <f>SUM(O6:O14)</f>
        <v>0</v>
      </c>
      <c r="P16" s="206">
        <f>SUM(P6:P14)</f>
        <v>9024</v>
      </c>
      <c r="Q16" s="208">
        <f>ROUND(SUMPRODUCT(Q6:Q13,K6:K13)/SUMPRODUCT((Q6:Q13&gt;0)*(K6:K13)),2)</f>
        <v>0.1</v>
      </c>
      <c r="R16" s="2319">
        <f>SUM(R6:R13)</f>
        <v>41016.61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0.85299999999999998</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2341</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72" t="s">
        <v>2340</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2343</v>
      </c>
      <c r="B27" s="227"/>
      <c r="C27" s="2375" t="s">
        <v>2347</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2344</v>
      </c>
      <c r="B28" s="229">
        <v>80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2342</v>
      </c>
      <c r="B29" s="232"/>
      <c r="C29" s="1556" t="s">
        <v>2345</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2">
        <v>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3">
        <v>0.03</v>
      </c>
      <c r="C33" s="2373" t="s">
        <v>2903</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73" t="s">
        <v>2904</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73" t="s">
        <v>2905</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73" t="s">
        <v>2906</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73" t="s">
        <v>2907</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73" t="s">
        <v>2907</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2463</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2464</v>
      </c>
      <c r="B40" s="2514">
        <f ca="1">存贷款利率!E2</f>
        <v>4.7500000000000001E-2</v>
      </c>
      <c r="C40" s="2373" t="s">
        <v>2346</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6">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73" t="s">
        <v>2908</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2909</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2910</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12" t="s">
        <v>2911</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13" t="s">
        <v>2912</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3" t="s">
        <v>2913</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1413</v>
      </c>
      <c r="C53" s="3114" t="s">
        <v>2914</v>
      </c>
      <c r="D53" s="3115" t="s">
        <v>2915</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7" t="s">
        <v>2916</v>
      </c>
      <c r="B54" s="186"/>
      <c r="C54" s="1998">
        <v>30</v>
      </c>
      <c r="D54" s="3116"/>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7" t="s">
        <v>2917</v>
      </c>
      <c r="B55" s="186"/>
      <c r="C55" s="1998">
        <v>24</v>
      </c>
      <c r="D55" s="3116"/>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7" t="s">
        <v>2918</v>
      </c>
      <c r="B56" s="186"/>
      <c r="C56" s="1998">
        <v>18</v>
      </c>
      <c r="D56" s="3116"/>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7" t="s">
        <v>2919</v>
      </c>
      <c r="B57" s="186"/>
      <c r="C57" s="1998">
        <v>12</v>
      </c>
      <c r="D57" s="3116"/>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7" t="s">
        <v>2920</v>
      </c>
      <c r="B58" s="186"/>
      <c r="C58" s="1998">
        <v>3</v>
      </c>
      <c r="D58" s="3116"/>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7" t="s">
        <v>2921</v>
      </c>
      <c r="B59" s="186">
        <v>1.5</v>
      </c>
      <c r="C59" s="1998">
        <v>1.5</v>
      </c>
      <c r="D59" s="3116"/>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7" t="s">
        <v>2922</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7" t="s">
        <v>2923</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7" t="s">
        <v>2924</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8" t="s">
        <v>2925</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G23" sqref="G23"/>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55" t="s">
        <v>1667</v>
      </c>
      <c r="B1" s="3256"/>
      <c r="C1" s="3256"/>
      <c r="D1" s="3256"/>
      <c r="E1" s="3256"/>
      <c r="F1" s="3256"/>
      <c r="G1" s="3256"/>
      <c r="H1" s="2006"/>
      <c r="I1" s="2007"/>
      <c r="J1" s="2008"/>
      <c r="K1" s="2006"/>
      <c r="L1" s="2007"/>
      <c r="M1" s="2008"/>
      <c r="N1" s="2006"/>
      <c r="O1" s="2007"/>
      <c r="P1" s="2008"/>
      <c r="Q1" s="2009"/>
      <c r="R1" s="2010"/>
    </row>
    <row r="2" spans="1:18" ht="14.25" thickBot="1">
      <c r="A2" s="1224"/>
      <c r="B2" s="1225"/>
      <c r="C2" s="1226" t="s">
        <v>1668</v>
      </c>
      <c r="D2" s="1227"/>
      <c r="E2" s="1228"/>
      <c r="F2" s="1229"/>
      <c r="G2" s="1226" t="s">
        <v>1669</v>
      </c>
      <c r="H2" s="2012"/>
      <c r="I2" s="2012"/>
      <c r="J2" s="2012"/>
      <c r="K2" s="2012"/>
      <c r="L2" s="2012"/>
      <c r="M2" s="2012"/>
      <c r="N2" s="2012"/>
      <c r="O2" s="2012"/>
      <c r="P2" s="2012"/>
      <c r="Q2" s="2012"/>
      <c r="R2" s="2012"/>
    </row>
    <row r="3" spans="1:18" ht="54">
      <c r="A3" s="1230" t="s">
        <v>1670</v>
      </c>
      <c r="B3" s="1231" t="s">
        <v>1657</v>
      </c>
      <c r="C3" s="3119" t="s">
        <v>2930</v>
      </c>
      <c r="D3" s="2013"/>
      <c r="E3" s="1232" t="s">
        <v>1670</v>
      </c>
      <c r="F3" s="1233" t="s">
        <v>1658</v>
      </c>
      <c r="G3" s="3162" t="s">
        <v>2990</v>
      </c>
      <c r="H3" s="2012"/>
      <c r="I3" s="2012"/>
      <c r="J3" s="2012"/>
      <c r="K3" s="2012"/>
      <c r="L3" s="2012"/>
      <c r="M3" s="2012"/>
      <c r="N3" s="2012"/>
      <c r="O3" s="2012"/>
      <c r="P3" s="2012"/>
      <c r="Q3" s="2012"/>
      <c r="R3" s="2012"/>
    </row>
    <row r="4" spans="1:18" ht="54">
      <c r="A4" s="1232"/>
      <c r="B4" s="1234" t="s">
        <v>1671</v>
      </c>
      <c r="C4" s="3120" t="s">
        <v>2931</v>
      </c>
      <c r="D4" s="2013"/>
      <c r="E4" s="1235"/>
      <c r="F4" s="1236" t="s">
        <v>1672</v>
      </c>
      <c r="G4" s="3163" t="s">
        <v>2991</v>
      </c>
      <c r="H4" s="2012"/>
      <c r="I4" s="2012"/>
      <c r="J4" s="2012"/>
      <c r="K4" s="2012"/>
      <c r="L4" s="2012"/>
      <c r="M4" s="2012"/>
      <c r="N4" s="2012"/>
      <c r="O4" s="2012"/>
      <c r="P4" s="2012"/>
      <c r="Q4" s="2012"/>
      <c r="R4" s="2012"/>
    </row>
    <row r="5" spans="1:18" ht="41.25">
      <c r="A5" s="1232"/>
      <c r="B5" s="1234" t="s">
        <v>1673</v>
      </c>
      <c r="C5" s="3120" t="s">
        <v>2932</v>
      </c>
      <c r="D5" s="2013"/>
      <c r="E5" s="1235"/>
      <c r="F5" s="1234" t="s">
        <v>2554</v>
      </c>
      <c r="G5" s="3163" t="s">
        <v>2992</v>
      </c>
      <c r="H5" s="2012"/>
      <c r="I5" s="2012"/>
      <c r="J5" s="2012"/>
      <c r="K5" s="2012"/>
      <c r="L5" s="2012"/>
      <c r="M5" s="2012"/>
      <c r="N5" s="2012"/>
      <c r="O5" s="2012"/>
      <c r="P5" s="2012"/>
      <c r="Q5" s="2012"/>
      <c r="R5" s="2012"/>
    </row>
    <row r="6" spans="1:18" ht="54">
      <c r="A6" s="1232"/>
      <c r="B6" s="1234" t="s">
        <v>1659</v>
      </c>
      <c r="C6" s="3121" t="s">
        <v>2928</v>
      </c>
      <c r="D6" s="2013"/>
      <c r="E6" s="1235"/>
      <c r="F6" s="1234" t="s">
        <v>2555</v>
      </c>
      <c r="G6" s="3163" t="s">
        <v>2993</v>
      </c>
      <c r="H6" s="2012"/>
      <c r="I6" s="2012"/>
      <c r="J6" s="2012"/>
      <c r="K6" s="2012"/>
      <c r="L6" s="2012"/>
      <c r="M6" s="2012"/>
      <c r="N6" s="2012"/>
      <c r="O6" s="2012"/>
      <c r="P6" s="2012"/>
      <c r="Q6" s="2012"/>
      <c r="R6" s="2012"/>
    </row>
    <row r="7" spans="1:18" ht="41.25" thickBot="1">
      <c r="A7" s="1232"/>
      <c r="B7" s="1234" t="s">
        <v>2554</v>
      </c>
      <c r="C7" s="3121" t="s">
        <v>2929</v>
      </c>
      <c r="D7" s="2014"/>
      <c r="E7" s="1237"/>
      <c r="F7" s="1238" t="s">
        <v>1674</v>
      </c>
      <c r="G7" s="3164" t="s">
        <v>2994</v>
      </c>
      <c r="H7" s="2012"/>
      <c r="I7" s="2012"/>
      <c r="J7" s="2012"/>
      <c r="K7" s="2012"/>
      <c r="L7" s="2012"/>
      <c r="M7" s="2012"/>
      <c r="N7" s="2012"/>
      <c r="O7" s="2012"/>
      <c r="P7" s="2012"/>
      <c r="Q7" s="2012"/>
      <c r="R7" s="2012"/>
    </row>
    <row r="8" spans="1:18" ht="27">
      <c r="A8" s="1232"/>
      <c r="B8" s="1234" t="s">
        <v>2555</v>
      </c>
      <c r="C8" s="3121" t="s">
        <v>2926</v>
      </c>
      <c r="D8" s="2014"/>
      <c r="E8" s="2014"/>
      <c r="F8" s="1557"/>
      <c r="G8" s="1557"/>
      <c r="H8" s="2012"/>
      <c r="I8" s="2012"/>
      <c r="J8" s="2012"/>
      <c r="K8" s="2012"/>
      <c r="L8" s="2012"/>
      <c r="M8" s="2012"/>
      <c r="N8" s="2012"/>
      <c r="O8" s="2012"/>
      <c r="P8" s="2012"/>
      <c r="Q8" s="2012"/>
      <c r="R8" s="2012"/>
    </row>
    <row r="9" spans="1:18" ht="40.5">
      <c r="A9" s="1232"/>
      <c r="B9" s="1234" t="s">
        <v>1660</v>
      </c>
      <c r="C9" s="3120" t="s">
        <v>2927</v>
      </c>
      <c r="D9" s="2013"/>
      <c r="E9" s="2014"/>
      <c r="F9" s="1557"/>
      <c r="G9" s="1557"/>
      <c r="H9" s="2012"/>
      <c r="I9" s="2012"/>
      <c r="J9" s="2012"/>
      <c r="K9" s="2012"/>
      <c r="L9" s="2012"/>
      <c r="M9" s="2012"/>
      <c r="N9" s="2012"/>
      <c r="O9" s="2012"/>
      <c r="P9" s="2012"/>
      <c r="Q9" s="2012"/>
      <c r="R9" s="2012"/>
    </row>
    <row r="10" spans="1:18" s="2020" customFormat="1" ht="15" thickBot="1">
      <c r="A10" s="1239"/>
      <c r="B10" s="1240" t="s">
        <v>1675</v>
      </c>
      <c r="C10" s="3122"/>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7"/>
      <c r="E13" s="2611"/>
      <c r="F13" s="2611"/>
      <c r="G13" s="2611"/>
    </row>
    <row r="14" spans="1:18" ht="14.25" thickBot="1">
      <c r="A14" s="1241"/>
      <c r="B14" s="1242"/>
      <c r="C14" s="1243" t="s">
        <v>1668</v>
      </c>
      <c r="D14" s="2013"/>
      <c r="E14" s="1244"/>
      <c r="F14" s="1244"/>
      <c r="G14" s="1226" t="s">
        <v>1669</v>
      </c>
    </row>
    <row r="15" spans="1:18" ht="54">
      <c r="A15" s="2621" t="s">
        <v>1661</v>
      </c>
      <c r="B15" s="1245" t="s">
        <v>1657</v>
      </c>
      <c r="C15" s="1246" t="str">
        <f>C3</f>
        <v>估价对象周边居住用地比例、居住小区规模和社区发展完善程度，综合评价居住社区成熟度一般</v>
      </c>
      <c r="D15" s="2013"/>
      <c r="E15" s="2618" t="s">
        <v>1662</v>
      </c>
      <c r="F15" s="1245" t="s">
        <v>1677</v>
      </c>
      <c r="G15" s="1247" t="str">
        <f>G3</f>
        <v>估价对象位于兴谷开发区，园区建设较成熟，产业集聚程度较好</v>
      </c>
    </row>
    <row r="16" spans="1:18" ht="54">
      <c r="A16" s="2622"/>
      <c r="B16" s="1248" t="s">
        <v>1671</v>
      </c>
      <c r="C16" s="1249" t="str">
        <f>C4</f>
        <v>估价对象位于XX商圈，周边商业氛围成熟，人流量大，商业繁华度好</v>
      </c>
      <c r="D16" s="2013"/>
      <c r="E16" s="2619"/>
      <c r="F16" s="1250" t="s">
        <v>1672</v>
      </c>
      <c r="G16" s="1008" t="str">
        <f>G4</f>
        <v>估价对象周边2公里范围内有平3、平4、平30，路网密集程度较好，停车便捷程度较好，综合评价交通便捷度较好</v>
      </c>
    </row>
    <row r="17" spans="1:7" ht="40.5">
      <c r="A17" s="2622"/>
      <c r="B17" s="1248" t="s">
        <v>1673</v>
      </c>
      <c r="C17" s="1249" t="str">
        <f>C5</f>
        <v>估价对象位于XX商圈，周边办公楼项目较多，入驻率高，办公集聚程度较好</v>
      </c>
      <c r="D17" s="2014"/>
      <c r="E17" s="2619"/>
      <c r="F17" s="1250" t="s">
        <v>1678</v>
      </c>
      <c r="G17" s="3165" t="s">
        <v>2995</v>
      </c>
    </row>
    <row r="18" spans="1:7" ht="54">
      <c r="A18" s="2622"/>
      <c r="B18" s="1250" t="s">
        <v>1659</v>
      </c>
      <c r="C18" s="1008" t="str">
        <f>C6</f>
        <v>估价对象周边道路状况、公共交通通达情况、停车便捷程度，综合评价交通便捷度较好</v>
      </c>
      <c r="D18" s="2014"/>
      <c r="E18" s="2619"/>
      <c r="F18" s="1250" t="s">
        <v>1674</v>
      </c>
      <c r="G18" s="1008" t="str">
        <f>G7</f>
        <v>该园区内是否有污染型企业，绿化情况，卫生条件，整体环境状况判断：较好</v>
      </c>
    </row>
    <row r="19" spans="1:7" ht="27">
      <c r="A19" s="2622"/>
      <c r="B19" s="1250" t="s">
        <v>1663</v>
      </c>
      <c r="C19" s="2831"/>
      <c r="D19" s="2013"/>
      <c r="E19" s="2619"/>
      <c r="F19" s="1234" t="s">
        <v>2554</v>
      </c>
      <c r="G19" s="1008" t="str">
        <f>G5</f>
        <v>估价对象所在区域公共配套设施齐备情况一般</v>
      </c>
    </row>
    <row r="20" spans="1:7" ht="40.5">
      <c r="A20" s="2622"/>
      <c r="B20" s="1250" t="s">
        <v>1664</v>
      </c>
      <c r="C20" s="1249" t="str">
        <f>C9</f>
        <v>区域自然环境：；人文环境；综合评价环境状况一般</v>
      </c>
      <c r="D20" s="2014"/>
      <c r="E20" s="2619"/>
      <c r="F20" s="1234" t="s">
        <v>2555</v>
      </c>
      <c r="G20" s="1008" t="str">
        <f>G6</f>
        <v>估价对象所在区域基础设施水平：七通</v>
      </c>
    </row>
    <row r="21" spans="1:7" ht="27">
      <c r="A21" s="2622"/>
      <c r="B21" s="1234" t="s">
        <v>2554</v>
      </c>
      <c r="C21" s="1008" t="str">
        <f>C7</f>
        <v>估价对象所在区域公共配套设施齐备情况</v>
      </c>
      <c r="D21" s="2013"/>
      <c r="E21" s="2619"/>
      <c r="F21" s="1250" t="s">
        <v>1665</v>
      </c>
      <c r="G21" s="3123" t="s">
        <v>2996</v>
      </c>
    </row>
    <row r="22" spans="1:7" ht="27">
      <c r="A22" s="2622"/>
      <c r="B22" s="1234" t="s">
        <v>2555</v>
      </c>
      <c r="C22" s="1008" t="str">
        <f>C8</f>
        <v>估价对象所在区域基础设施水平</v>
      </c>
      <c r="D22" s="2013"/>
      <c r="E22" s="2619"/>
      <c r="F22" s="1250" t="s">
        <v>1675</v>
      </c>
      <c r="G22" s="3165" t="s">
        <v>2997</v>
      </c>
    </row>
    <row r="23" spans="1:7" ht="15" thickBot="1">
      <c r="A23" s="2622"/>
      <c r="B23" s="1250" t="s">
        <v>1665</v>
      </c>
      <c r="C23" s="3123"/>
      <c r="E23" s="2620"/>
      <c r="F23" s="1251" t="s">
        <v>1679</v>
      </c>
      <c r="G23" s="3124"/>
    </row>
    <row r="24" spans="1:7" ht="14.25" thickBot="1">
      <c r="A24" s="2623"/>
      <c r="B24" s="1251" t="s">
        <v>1666</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5"/>
    </sheetView>
  </sheetViews>
  <sheetFormatPr defaultColWidth="14.625" defaultRowHeight="13.5"/>
  <cols>
    <col min="1" max="1" width="24.375" customWidth="1"/>
  </cols>
  <sheetData>
    <row r="1" spans="1:9" ht="16.5">
      <c r="A1" s="3083" t="s">
        <v>2854</v>
      </c>
      <c r="B1" s="3083">
        <f>SUM(B14:B23)</f>
        <v>125883.78</v>
      </c>
      <c r="C1" s="3084"/>
      <c r="D1" s="3084"/>
      <c r="E1" s="3084"/>
      <c r="F1" s="3084"/>
    </row>
    <row r="2" spans="1:9" ht="16.5">
      <c r="A2" s="3083" t="s">
        <v>2855</v>
      </c>
      <c r="B2" s="3083">
        <f>SUM(C14:C23)</f>
        <v>125884.39</v>
      </c>
      <c r="C2" s="3084"/>
      <c r="D2" s="3084"/>
      <c r="E2" s="3084"/>
      <c r="F2" s="3084"/>
    </row>
    <row r="3" spans="1:9" ht="16.5">
      <c r="A3" s="3083" t="s">
        <v>2856</v>
      </c>
      <c r="B3" s="3085">
        <f>项目基本情况!D3</f>
        <v>43005</v>
      </c>
      <c r="C3" s="3084"/>
      <c r="D3" s="3084"/>
      <c r="E3" s="3084"/>
      <c r="F3" s="3084"/>
    </row>
    <row r="4" spans="1:9" ht="33">
      <c r="A4" s="3083" t="s">
        <v>2857</v>
      </c>
      <c r="B4" s="3083" t="s">
        <v>2858</v>
      </c>
      <c r="C4" s="3083" t="s">
        <v>2859</v>
      </c>
      <c r="D4" s="3083" t="s">
        <v>2860</v>
      </c>
      <c r="E4" s="3084"/>
      <c r="F4" s="3084"/>
    </row>
    <row r="5" spans="1:9" ht="16.5">
      <c r="A5" s="3083" t="s">
        <v>2861</v>
      </c>
      <c r="B5" s="3083">
        <f ca="1">SUM(D14:D23)</f>
        <v>29560</v>
      </c>
      <c r="C5" s="3083">
        <f ca="1">ROUND(B5*10000/$B$1,0)</f>
        <v>2348</v>
      </c>
      <c r="D5" s="3083">
        <f ca="1">ROUND(B5*10000/$B$2,0)</f>
        <v>2348</v>
      </c>
      <c r="E5" s="3084"/>
      <c r="F5" s="3084"/>
    </row>
    <row r="6" spans="1:9" ht="16.5">
      <c r="A6" s="3083" t="s">
        <v>2862</v>
      </c>
      <c r="B6" s="3083">
        <f ca="1">SUM(G14:G23)</f>
        <v>10019</v>
      </c>
      <c r="C6" s="3083">
        <f t="shared" ref="C6:C8" ca="1" si="0">ROUND(B6*10000/$B$1,0)</f>
        <v>796</v>
      </c>
      <c r="D6" s="3083">
        <f t="shared" ref="D6:D8" ca="1" si="1">ROUND(B6*10000/$B$2,0)</f>
        <v>796</v>
      </c>
      <c r="E6" s="3084"/>
      <c r="F6" s="3084"/>
    </row>
    <row r="7" spans="1:9" ht="16.5">
      <c r="A7" s="3083" t="s">
        <v>2863</v>
      </c>
      <c r="B7" s="3083">
        <f>SUM(H14:H23)</f>
        <v>0</v>
      </c>
      <c r="C7" s="3083">
        <f t="shared" si="0"/>
        <v>0</v>
      </c>
      <c r="D7" s="3083">
        <f t="shared" si="1"/>
        <v>0</v>
      </c>
      <c r="E7" s="3084"/>
      <c r="F7" s="3084"/>
    </row>
    <row r="8" spans="1:9" ht="16.5">
      <c r="A8" s="3083" t="s">
        <v>2864</v>
      </c>
      <c r="B8" s="3083">
        <f>SUM(I14:I23)</f>
        <v>0</v>
      </c>
      <c r="C8" s="3083">
        <f t="shared" si="0"/>
        <v>0</v>
      </c>
      <c r="D8" s="3083">
        <f t="shared" si="1"/>
        <v>0</v>
      </c>
      <c r="E8" s="3084"/>
      <c r="F8" s="3084"/>
    </row>
    <row r="9" spans="1:9" ht="16.5">
      <c r="A9" s="3083" t="s">
        <v>2865</v>
      </c>
      <c r="B9" s="3086"/>
      <c r="C9" s="3084"/>
      <c r="D9" s="3084"/>
      <c r="E9" s="3084"/>
      <c r="F9" s="3084"/>
    </row>
    <row r="10" spans="1:9" ht="16.5">
      <c r="A10" s="3083" t="s">
        <v>2866</v>
      </c>
      <c r="B10" s="3086"/>
      <c r="C10" s="3084"/>
      <c r="D10" s="3084"/>
      <c r="E10" s="3084"/>
      <c r="F10" s="3084"/>
    </row>
    <row r="11" spans="1:9" ht="16.5">
      <c r="A11" s="3083" t="s">
        <v>2883</v>
      </c>
      <c r="B11" s="3086"/>
      <c r="C11" s="3084"/>
      <c r="D11" s="3084"/>
      <c r="E11" s="3084"/>
      <c r="F11" s="3084"/>
    </row>
    <row r="12" spans="1:9" ht="16.5">
      <c r="A12" s="3084"/>
      <c r="B12" s="3084"/>
      <c r="C12" s="3084"/>
      <c r="D12" s="3084"/>
      <c r="E12" s="3084"/>
      <c r="F12" s="3084"/>
    </row>
    <row r="13" spans="1:9" ht="33">
      <c r="A13" s="3089" t="s">
        <v>2882</v>
      </c>
      <c r="B13" s="3087" t="s">
        <v>2854</v>
      </c>
      <c r="C13" s="3087" t="s">
        <v>2855</v>
      </c>
      <c r="D13" s="3087" t="s">
        <v>2867</v>
      </c>
      <c r="E13" s="3083" t="s">
        <v>2881</v>
      </c>
      <c r="F13" s="3083" t="s">
        <v>2860</v>
      </c>
      <c r="G13" s="3087" t="s">
        <v>2868</v>
      </c>
      <c r="H13" s="3087" t="s">
        <v>2869</v>
      </c>
      <c r="I13" s="3087" t="s">
        <v>2870</v>
      </c>
    </row>
    <row r="14" spans="1:9" ht="16.5">
      <c r="A14" s="3090" t="s">
        <v>2880</v>
      </c>
      <c r="B14" s="3087">
        <f>'数据-汇总表'!E3</f>
        <v>41016</v>
      </c>
      <c r="C14" s="3087">
        <f>'数据-汇总表'!D3</f>
        <v>41016.61</v>
      </c>
      <c r="D14" s="3087">
        <f ca="1">结果表!C42</f>
        <v>10019</v>
      </c>
      <c r="E14" s="3087">
        <f ca="1">ROUND(D14*10000/B14,0)</f>
        <v>2443</v>
      </c>
      <c r="F14" s="3087">
        <f ca="1">ROUND(D14*10000/C14,0)</f>
        <v>2443</v>
      </c>
      <c r="G14" s="3087">
        <f ca="1">结果表!C44</f>
        <v>10019</v>
      </c>
      <c r="H14" s="3087" t="str">
        <f>结果表!C45</f>
        <v>——</v>
      </c>
      <c r="I14" s="3087" t="str">
        <f>结果表!C46</f>
        <v>——</v>
      </c>
    </row>
    <row r="15" spans="1:9" ht="16.5">
      <c r="A15" s="3090" t="s">
        <v>2871</v>
      </c>
      <c r="B15" s="3091">
        <f>[1]结果表!$L$38</f>
        <v>84867.78</v>
      </c>
      <c r="C15" s="3091">
        <f>[1]结果表!$K$38</f>
        <v>84867.78</v>
      </c>
      <c r="D15" s="3091">
        <f ca="1">[2]结果表!$O$38</f>
        <v>19541</v>
      </c>
      <c r="E15" s="3087">
        <f t="shared" ref="E15:E23" ca="1" si="2">ROUND(D15*10000/B15,0)</f>
        <v>2303</v>
      </c>
      <c r="F15" s="3087">
        <f t="shared" ref="F15:F23" ca="1" si="3">ROUND(D15*10000/C15,0)</f>
        <v>2303</v>
      </c>
      <c r="G15" s="3088"/>
      <c r="H15" s="3088"/>
      <c r="I15" s="3091"/>
    </row>
    <row r="16" spans="1:9" ht="16.5">
      <c r="A16" s="3090" t="s">
        <v>2872</v>
      </c>
      <c r="B16" s="3091"/>
      <c r="C16" s="3091"/>
      <c r="D16" s="3091"/>
      <c r="E16" s="3087" t="e">
        <f t="shared" si="2"/>
        <v>#DIV/0!</v>
      </c>
      <c r="F16" s="3087" t="e">
        <f t="shared" si="3"/>
        <v>#DIV/0!</v>
      </c>
      <c r="G16" s="3088"/>
      <c r="H16" s="3088"/>
      <c r="I16" s="3091"/>
    </row>
    <row r="17" spans="1:9" ht="16.5">
      <c r="A17" s="3090" t="s">
        <v>2873</v>
      </c>
      <c r="B17" s="3091"/>
      <c r="C17" s="3091"/>
      <c r="D17" s="3091"/>
      <c r="E17" s="3087" t="e">
        <f t="shared" si="2"/>
        <v>#DIV/0!</v>
      </c>
      <c r="F17" s="3087" t="e">
        <f t="shared" si="3"/>
        <v>#DIV/0!</v>
      </c>
      <c r="G17" s="3088"/>
      <c r="H17" s="3088"/>
      <c r="I17" s="3091"/>
    </row>
    <row r="18" spans="1:9" ht="16.5">
      <c r="A18" s="3090" t="s">
        <v>2874</v>
      </c>
      <c r="B18" s="3091"/>
      <c r="C18" s="3091"/>
      <c r="D18" s="3091"/>
      <c r="E18" s="3087" t="e">
        <f t="shared" si="2"/>
        <v>#DIV/0!</v>
      </c>
      <c r="F18" s="3087" t="e">
        <f t="shared" si="3"/>
        <v>#DIV/0!</v>
      </c>
      <c r="G18" s="3091"/>
      <c r="H18" s="3091"/>
      <c r="I18" s="3091"/>
    </row>
    <row r="19" spans="1:9" ht="16.5">
      <c r="A19" s="3090" t="s">
        <v>2875</v>
      </c>
      <c r="B19" s="3091"/>
      <c r="C19" s="3091"/>
      <c r="D19" s="3091"/>
      <c r="E19" s="3087" t="e">
        <f t="shared" si="2"/>
        <v>#DIV/0!</v>
      </c>
      <c r="F19" s="3087" t="e">
        <f t="shared" si="3"/>
        <v>#DIV/0!</v>
      </c>
      <c r="G19" s="3091"/>
      <c r="H19" s="3091"/>
      <c r="I19" s="3091"/>
    </row>
    <row r="20" spans="1:9" ht="16.5">
      <c r="A20" s="3090" t="s">
        <v>2876</v>
      </c>
      <c r="B20" s="3091"/>
      <c r="C20" s="3091"/>
      <c r="D20" s="3091"/>
      <c r="E20" s="3087" t="e">
        <f t="shared" si="2"/>
        <v>#DIV/0!</v>
      </c>
      <c r="F20" s="3087" t="e">
        <f t="shared" si="3"/>
        <v>#DIV/0!</v>
      </c>
      <c r="G20" s="3091"/>
      <c r="H20" s="3091"/>
      <c r="I20" s="3091"/>
    </row>
    <row r="21" spans="1:9" ht="16.5">
      <c r="A21" s="3090" t="s">
        <v>2877</v>
      </c>
      <c r="B21" s="3091"/>
      <c r="C21" s="3091"/>
      <c r="D21" s="3091"/>
      <c r="E21" s="3087" t="e">
        <f t="shared" si="2"/>
        <v>#DIV/0!</v>
      </c>
      <c r="F21" s="3087" t="e">
        <f t="shared" si="3"/>
        <v>#DIV/0!</v>
      </c>
      <c r="G21" s="3091"/>
      <c r="H21" s="3091"/>
      <c r="I21" s="3091"/>
    </row>
    <row r="22" spans="1:9" ht="16.5">
      <c r="A22" s="3090" t="s">
        <v>2878</v>
      </c>
      <c r="B22" s="3091"/>
      <c r="C22" s="3091"/>
      <c r="D22" s="3091"/>
      <c r="E22" s="3087" t="e">
        <f t="shared" si="2"/>
        <v>#DIV/0!</v>
      </c>
      <c r="F22" s="3087" t="e">
        <f t="shared" si="3"/>
        <v>#DIV/0!</v>
      </c>
      <c r="G22" s="3091"/>
      <c r="H22" s="3091"/>
      <c r="I22" s="3091"/>
    </row>
    <row r="23" spans="1:9" ht="16.5">
      <c r="A23" s="3090" t="s">
        <v>2879</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7" zoomScaleNormal="100" zoomScaleSheetLayoutView="100" zoomScalePageLayoutView="80" workbookViewId="0">
      <selection activeCell="S39" sqref="S39:T3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2061</v>
      </c>
      <c r="B1" s="1781"/>
      <c r="C1" s="1809" t="s">
        <v>2062</v>
      </c>
      <c r="D1" s="1810"/>
      <c r="E1" s="1809" t="s">
        <v>2063</v>
      </c>
      <c r="F1" s="1811"/>
      <c r="G1" s="314"/>
      <c r="H1" s="314"/>
      <c r="I1" s="314"/>
      <c r="J1" s="2033"/>
      <c r="K1" s="2033"/>
      <c r="L1" s="2033"/>
      <c r="M1" s="2033"/>
      <c r="N1" s="2033"/>
      <c r="O1" s="2033"/>
      <c r="P1" s="2033"/>
      <c r="Q1" s="2033"/>
      <c r="R1" s="2033"/>
      <c r="S1" s="2033"/>
      <c r="T1" s="2033"/>
      <c r="U1" s="2033"/>
      <c r="V1" s="2033"/>
    </row>
    <row r="2" spans="1:22" ht="21.75" customHeight="1" thickBot="1">
      <c r="A2" s="3296" t="str">
        <f>项目基本情况!K2</f>
        <v>北京市平谷区兴谷经济开发区内出让国有建设用地使用权</v>
      </c>
      <c r="B2" s="3297"/>
      <c r="C2" s="3298"/>
      <c r="D2" s="3298"/>
      <c r="E2" s="3298"/>
      <c r="F2" s="3298"/>
      <c r="G2" s="3297"/>
      <c r="H2" s="3297"/>
      <c r="I2" s="3299"/>
      <c r="J2" s="2034"/>
      <c r="K2" s="2033"/>
      <c r="L2" s="2033"/>
      <c r="M2" s="2033"/>
      <c r="N2" s="2033"/>
      <c r="O2" s="2033"/>
      <c r="P2" s="2033"/>
      <c r="Q2" s="2033"/>
      <c r="R2" s="2033"/>
      <c r="S2" s="2033"/>
      <c r="T2" s="2033"/>
      <c r="U2" s="2033"/>
      <c r="V2" s="2033"/>
    </row>
    <row r="3" spans="1:22" ht="14.25">
      <c r="A3" s="3289" t="s">
        <v>298</v>
      </c>
      <c r="B3" s="3290"/>
      <c r="C3" s="3290"/>
      <c r="D3" s="3290"/>
      <c r="E3" s="3290"/>
      <c r="F3" s="3290"/>
      <c r="G3" s="3290"/>
      <c r="H3" s="3290"/>
      <c r="I3" s="3290"/>
      <c r="J3" s="2034"/>
      <c r="K3" s="2033"/>
      <c r="L3" s="2033"/>
      <c r="M3" s="2033"/>
      <c r="N3" s="2033"/>
      <c r="O3" s="2033"/>
      <c r="P3" s="2033"/>
      <c r="Q3" s="2033"/>
      <c r="R3" s="2033"/>
      <c r="S3" s="2033"/>
      <c r="T3" s="2033"/>
      <c r="U3" s="2033"/>
      <c r="V3" s="2033"/>
    </row>
    <row r="4" spans="1:22" ht="14.25">
      <c r="A4" s="258" t="s">
        <v>299</v>
      </c>
      <c r="B4" s="259" t="s">
        <v>300</v>
      </c>
      <c r="C4" s="260" t="s">
        <v>2963</v>
      </c>
      <c r="D4" s="260" t="s">
        <v>2987</v>
      </c>
      <c r="E4" s="3261" t="s">
        <v>301</v>
      </c>
      <c r="F4" s="3262"/>
      <c r="G4" s="3262"/>
      <c r="H4" s="3262"/>
      <c r="I4" s="3291"/>
      <c r="J4" s="2034"/>
      <c r="K4" s="2033"/>
      <c r="L4" s="951" t="str">
        <f>IF(ISNUMBER(FIND("比较法",C4)),"比较法",IF(ISNUMBER(FIND("成本法",C4)),"成本法",IF(ISNUMBER(FIND("剩余法",C4)),"剩余法",IF(ISNUMBER(FIND("收益法",C4)),"收益法","基准地价系数修正法"))))</f>
        <v>基准地价系数修正法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260" t="s">
        <v>302</v>
      </c>
      <c r="B5" s="3286">
        <v>25</v>
      </c>
      <c r="C5" s="3284"/>
      <c r="D5" s="3288"/>
      <c r="E5" s="261" t="s">
        <v>303</v>
      </c>
      <c r="F5" s="262"/>
      <c r="G5" s="262"/>
      <c r="H5" s="262"/>
      <c r="I5" s="263"/>
      <c r="J5" s="2034"/>
      <c r="K5" s="2033"/>
      <c r="L5" s="2033"/>
      <c r="M5" s="2033"/>
      <c r="N5" s="2033"/>
      <c r="O5" s="2033"/>
      <c r="P5" s="2033"/>
      <c r="Q5" s="2033"/>
      <c r="R5" s="2033"/>
      <c r="S5" s="2033"/>
      <c r="T5" s="2033"/>
      <c r="U5" s="2033"/>
      <c r="V5" s="2033"/>
    </row>
    <row r="6" spans="1:22" ht="14.25">
      <c r="A6" s="3260"/>
      <c r="B6" s="3286"/>
      <c r="C6" s="3287"/>
      <c r="D6" s="3288"/>
      <c r="E6" s="261" t="s">
        <v>304</v>
      </c>
      <c r="F6" s="262"/>
      <c r="G6" s="262"/>
      <c r="H6" s="262"/>
      <c r="I6" s="263"/>
      <c r="J6" s="2034"/>
      <c r="K6" s="2033"/>
      <c r="L6" s="2033"/>
      <c r="M6" s="2033"/>
      <c r="N6" s="2033"/>
      <c r="O6" s="2033"/>
      <c r="P6" s="2033"/>
      <c r="Q6" s="2033"/>
      <c r="R6" s="2033"/>
      <c r="S6" s="2033"/>
      <c r="T6" s="2033"/>
      <c r="U6" s="2033"/>
      <c r="V6" s="2033"/>
    </row>
    <row r="7" spans="1:22" ht="14.25">
      <c r="A7" s="3260"/>
      <c r="B7" s="3286"/>
      <c r="C7" s="3285"/>
      <c r="D7" s="3288"/>
      <c r="E7" s="261" t="s">
        <v>305</v>
      </c>
      <c r="F7" s="262"/>
      <c r="G7" s="262"/>
      <c r="H7" s="262"/>
      <c r="I7" s="263"/>
      <c r="J7" s="2034"/>
      <c r="K7" s="2033"/>
      <c r="L7" s="2033"/>
      <c r="M7" s="2033"/>
      <c r="N7" s="2033"/>
      <c r="O7" s="2033"/>
      <c r="P7" s="2033"/>
      <c r="Q7" s="2033"/>
      <c r="R7" s="2033"/>
      <c r="S7" s="2033"/>
      <c r="T7" s="2033"/>
      <c r="U7" s="2033"/>
      <c r="V7" s="2033"/>
    </row>
    <row r="8" spans="1:22" ht="14.25">
      <c r="A8" s="3260" t="s">
        <v>306</v>
      </c>
      <c r="B8" s="3286">
        <v>15</v>
      </c>
      <c r="C8" s="3284"/>
      <c r="D8" s="3288"/>
      <c r="E8" s="261" t="s">
        <v>307</v>
      </c>
      <c r="F8" s="262"/>
      <c r="G8" s="262"/>
      <c r="H8" s="262"/>
      <c r="I8" s="263"/>
      <c r="J8" s="2034"/>
      <c r="K8" s="2033"/>
      <c r="L8" s="2033"/>
      <c r="M8" s="2033"/>
      <c r="N8" s="2033"/>
      <c r="O8" s="2033"/>
      <c r="P8" s="2033"/>
      <c r="Q8" s="2033"/>
      <c r="R8" s="2033"/>
      <c r="S8" s="2033"/>
      <c r="T8" s="2033"/>
      <c r="U8" s="2033"/>
      <c r="V8" s="2033"/>
    </row>
    <row r="9" spans="1:22" ht="14.25">
      <c r="A9" s="3260"/>
      <c r="B9" s="3286"/>
      <c r="C9" s="3285"/>
      <c r="D9" s="3288"/>
      <c r="E9" s="261" t="s">
        <v>308</v>
      </c>
      <c r="F9" s="262"/>
      <c r="G9" s="262"/>
      <c r="H9" s="262"/>
      <c r="I9" s="263"/>
      <c r="J9" s="2034"/>
      <c r="K9" s="2033"/>
      <c r="L9" s="2033"/>
      <c r="M9" s="2033"/>
      <c r="N9" s="2033"/>
      <c r="O9" s="2033"/>
      <c r="P9" s="2033"/>
      <c r="Q9" s="2033"/>
      <c r="R9" s="2033"/>
      <c r="S9" s="2033"/>
      <c r="T9" s="2033"/>
      <c r="U9" s="2033"/>
      <c r="V9" s="2033"/>
    </row>
    <row r="10" spans="1:22" ht="14.25">
      <c r="A10" s="3260" t="s">
        <v>309</v>
      </c>
      <c r="B10" s="3286">
        <v>15</v>
      </c>
      <c r="C10" s="3284"/>
      <c r="D10" s="3288"/>
      <c r="E10" s="261" t="s">
        <v>310</v>
      </c>
      <c r="F10" s="262"/>
      <c r="G10" s="262"/>
      <c r="H10" s="262"/>
      <c r="I10" s="263"/>
      <c r="J10" s="2034"/>
      <c r="K10" s="2033"/>
      <c r="L10" s="2033"/>
      <c r="M10" s="2033"/>
      <c r="N10" s="2033"/>
      <c r="O10" s="2033"/>
      <c r="P10" s="2033"/>
      <c r="Q10" s="2033"/>
      <c r="R10" s="2033"/>
      <c r="S10" s="2033"/>
      <c r="T10" s="2033"/>
      <c r="U10" s="2033"/>
      <c r="V10" s="2033"/>
    </row>
    <row r="11" spans="1:22" ht="14.25">
      <c r="A11" s="3260"/>
      <c r="B11" s="3286"/>
      <c r="C11" s="3285"/>
      <c r="D11" s="3288"/>
      <c r="E11" s="261" t="s">
        <v>311</v>
      </c>
      <c r="F11" s="262"/>
      <c r="G11" s="262"/>
      <c r="H11" s="262"/>
      <c r="I11" s="263"/>
      <c r="J11" s="2034"/>
      <c r="K11" s="2033"/>
      <c r="L11" s="2033"/>
      <c r="M11" s="2033"/>
      <c r="N11" s="2033"/>
      <c r="O11" s="2033"/>
      <c r="P11" s="2033"/>
      <c r="Q11" s="2033"/>
      <c r="R11" s="2033"/>
      <c r="S11" s="2033"/>
      <c r="T11" s="2033"/>
      <c r="U11" s="2033"/>
      <c r="V11" s="2033"/>
    </row>
    <row r="12" spans="1:22" ht="14.25">
      <c r="A12" s="3260" t="s">
        <v>312</v>
      </c>
      <c r="B12" s="3286">
        <v>15</v>
      </c>
      <c r="C12" s="3284"/>
      <c r="D12" s="3288"/>
      <c r="E12" s="261" t="s">
        <v>313</v>
      </c>
      <c r="F12" s="262"/>
      <c r="G12" s="262"/>
      <c r="H12" s="262"/>
      <c r="I12" s="263"/>
      <c r="J12" s="2034"/>
      <c r="K12" s="2033"/>
      <c r="L12" s="2033"/>
      <c r="M12" s="2033"/>
      <c r="N12" s="2033"/>
      <c r="O12" s="2033"/>
      <c r="P12" s="2033"/>
      <c r="Q12" s="2033"/>
      <c r="R12" s="2033"/>
      <c r="S12" s="2033"/>
      <c r="T12" s="2033"/>
      <c r="U12" s="2033"/>
      <c r="V12" s="2033"/>
    </row>
    <row r="13" spans="1:22" ht="14.25">
      <c r="A13" s="3260"/>
      <c r="B13" s="3286"/>
      <c r="C13" s="3285"/>
      <c r="D13" s="3288"/>
      <c r="E13" s="261" t="s">
        <v>314</v>
      </c>
      <c r="F13" s="262"/>
      <c r="G13" s="262"/>
      <c r="H13" s="262"/>
      <c r="I13" s="263"/>
      <c r="J13" s="2034"/>
      <c r="K13" s="2033"/>
      <c r="L13" s="2033"/>
      <c r="M13" s="2033"/>
      <c r="N13" s="2033"/>
      <c r="O13" s="2033"/>
      <c r="P13" s="2033"/>
      <c r="Q13" s="2033"/>
      <c r="R13" s="2033"/>
      <c r="S13" s="2033"/>
      <c r="T13" s="2033"/>
      <c r="U13" s="2033"/>
      <c r="V13" s="2033"/>
    </row>
    <row r="14" spans="1:22" ht="14.25">
      <c r="A14" s="3260" t="s">
        <v>315</v>
      </c>
      <c r="B14" s="3286">
        <v>30</v>
      </c>
      <c r="C14" s="3284">
        <v>4</v>
      </c>
      <c r="D14" s="3288">
        <f>10-C14</f>
        <v>6</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60"/>
      <c r="B15" s="3286"/>
      <c r="C15" s="3287"/>
      <c r="D15" s="3288"/>
      <c r="E15" s="261" t="s">
        <v>317</v>
      </c>
      <c r="F15" s="262"/>
      <c r="G15" s="262"/>
      <c r="H15" s="262"/>
      <c r="I15" s="263"/>
      <c r="J15" s="2034"/>
      <c r="K15" s="2033"/>
      <c r="L15" s="2033"/>
      <c r="M15" s="2033"/>
      <c r="N15" s="2033"/>
      <c r="O15" s="2033"/>
      <c r="P15" s="2033"/>
      <c r="Q15" s="2033"/>
      <c r="R15" s="2033"/>
      <c r="S15" s="2033"/>
      <c r="T15" s="2033"/>
      <c r="U15" s="2033"/>
      <c r="V15" s="2033"/>
    </row>
    <row r="16" spans="1:22" ht="14.25">
      <c r="A16" s="3260"/>
      <c r="B16" s="3286"/>
      <c r="C16" s="3285"/>
      <c r="D16" s="3288"/>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3195</v>
      </c>
      <c r="D19" s="271">
        <f ca="1">SUMIF(INDIRECT("'"&amp;D4&amp;"'"&amp;"!A:A"),结果表!B19,INDIRECT("'"&amp;D4&amp;"'"&amp;"!B:B"))</f>
        <v>14569</v>
      </c>
      <c r="E19" s="268" t="s">
        <v>323</v>
      </c>
      <c r="F19" s="269" t="s">
        <v>322</v>
      </c>
      <c r="G19" s="272">
        <f ca="1">ROUND(C19*$C$18+D19*$D$18,0)</f>
        <v>10019</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779</v>
      </c>
      <c r="D20" s="277">
        <f ca="1">SUMIF(INDIRECT("'"&amp;D4&amp;"'"&amp;"!A:A"),结果表!B20,INDIRECT("'"&amp;D4&amp;"'"&amp;"!B:B"))</f>
        <v>3552</v>
      </c>
      <c r="E20" s="274"/>
      <c r="F20" s="275" t="s">
        <v>325</v>
      </c>
      <c r="G20" s="278">
        <f ca="1">ROUND(C20*$C$18+D20*$D$18,0)</f>
        <v>2443</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779</v>
      </c>
      <c r="D21" s="151">
        <f ca="1">SUMIF(INDIRECT("'"&amp;D4&amp;"'"&amp;"!A:A"),结果表!B21,INDIRECT("'"&amp;D4&amp;"'"&amp;"!B:B"))</f>
        <v>3552</v>
      </c>
      <c r="E21" s="274"/>
      <c r="F21" s="280" t="s">
        <v>327</v>
      </c>
      <c r="G21" s="282">
        <f ca="1">ROUND(C21*$C$18+D21*$D$18,0)</f>
        <v>2443</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3.5599374021909229</v>
      </c>
      <c r="E22" s="284"/>
      <c r="F22" s="285"/>
      <c r="G22" s="286">
        <f ca="1">ROUND(G19/('数据-汇总表'!D3/666.67),0)</f>
        <v>163</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66"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67"/>
      <c r="B25" s="1324" t="s">
        <v>331</v>
      </c>
      <c r="C25" s="290">
        <f>IF(B30=0,0,C30)</f>
        <v>0</v>
      </c>
      <c r="D25" s="291"/>
      <c r="E25" s="314"/>
      <c r="F25" s="314"/>
      <c r="G25" s="314"/>
      <c r="H25" s="314"/>
      <c r="I25" s="314"/>
      <c r="J25" s="2033"/>
      <c r="K25" s="1258" t="str">
        <f ca="1">项目基本情况!B16&amp;"国有建设用地使用权价格："&amp;O38&amp;"万元"</f>
        <v>出让国有建设用地使用权价格：10019万元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大写金额：人民币壹亿零壹拾玖万元整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单位面积地价：2443元/平方米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楼面地价：2443元/平方米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抵押价格：10019万元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大写金额：人民币壹亿零壹拾玖万元整</v>
      </c>
      <c r="L30" s="1255"/>
      <c r="M30" s="1255"/>
      <c r="N30" s="1255"/>
      <c r="O30" s="1254"/>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337</v>
      </c>
      <c r="B32" s="1386" t="s">
        <v>1692</v>
      </c>
      <c r="C32" s="1387">
        <f ca="1">G19-C24</f>
        <v>10019</v>
      </c>
      <c r="D32" s="1388" t="s">
        <v>1693</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340</v>
      </c>
      <c r="B33" s="1389" t="s">
        <v>1694</v>
      </c>
      <c r="C33" s="264">
        <f ca="1">ROUND(C32*10000/'数据-汇总表'!E3,0)</f>
        <v>2443</v>
      </c>
      <c r="D33" s="1390" t="s">
        <v>1695</v>
      </c>
      <c r="E33" s="3266" t="s">
        <v>338</v>
      </c>
      <c r="F33" s="299" t="s">
        <v>339</v>
      </c>
      <c r="G33" s="300"/>
      <c r="H33" s="983"/>
      <c r="I33" s="1262"/>
      <c r="J33" s="2033"/>
      <c r="K33" s="1261" t="str">
        <f>IF(项目基本情况!E9="——","——","抵押净值："&amp;C46&amp;"万元")</f>
        <v>——</v>
      </c>
      <c r="L33" s="1255"/>
      <c r="M33" s="1255"/>
      <c r="N33" s="1255"/>
      <c r="O33" s="1254"/>
      <c r="P33" s="2033"/>
      <c r="V33" s="2033"/>
    </row>
    <row r="34" spans="1:26" s="1257" customFormat="1" ht="18.75" thickBot="1">
      <c r="A34" s="303"/>
      <c r="B34" s="1391" t="s">
        <v>1696</v>
      </c>
      <c r="C34" s="264">
        <f ca="1">ROUND(C32*10000/'数据-汇总表'!D3,0)</f>
        <v>2443</v>
      </c>
      <c r="D34" s="1392" t="s">
        <v>1695</v>
      </c>
      <c r="E34" s="3307"/>
      <c r="F34" s="127" t="s">
        <v>341</v>
      </c>
      <c r="G34" s="302"/>
      <c r="H34" s="105"/>
      <c r="I34" s="314"/>
      <c r="J34" s="2033"/>
      <c r="K34" s="1264" t="str">
        <f>IF(K33="——","——","大写金额：人民币"&amp;NUMBERSTRING(INT(O41*10000),2)&amp;"元整")</f>
        <v>——</v>
      </c>
      <c r="L34" s="1265"/>
      <c r="M34" s="1265"/>
      <c r="N34" s="1265"/>
      <c r="O34" s="1266"/>
      <c r="P34" s="2033"/>
      <c r="Q34" s="292"/>
      <c r="R34" s="292"/>
      <c r="S34" s="292"/>
      <c r="T34" s="292"/>
      <c r="U34" s="292"/>
      <c r="V34" s="2033"/>
      <c r="W34" s="292"/>
      <c r="X34" s="292"/>
      <c r="Y34" s="292"/>
      <c r="Z34" s="292"/>
    </row>
    <row r="35" spans="1:26" ht="15.75" thickBot="1">
      <c r="A35" s="284"/>
      <c r="B35" s="1393"/>
      <c r="C35" s="1394">
        <f ca="1">ROUND(C32/('数据-汇总表'!D3/666.67),0)</f>
        <v>163</v>
      </c>
      <c r="D35" s="1395" t="s">
        <v>1697</v>
      </c>
      <c r="E35" s="3308"/>
      <c r="F35" s="304" t="s">
        <v>342</v>
      </c>
      <c r="G35" s="985"/>
      <c r="H35" s="984" t="s">
        <v>343</v>
      </c>
      <c r="I35" s="314"/>
      <c r="J35" s="2033"/>
      <c r="K35" s="3281" t="s">
        <v>350</v>
      </c>
      <c r="L35" s="3281" t="s">
        <v>351</v>
      </c>
      <c r="M35" s="1267" t="s">
        <v>352</v>
      </c>
      <c r="N35" s="3281" t="s">
        <v>353</v>
      </c>
      <c r="O35" s="3281" t="s">
        <v>354</v>
      </c>
      <c r="P35" s="2033"/>
      <c r="Q35" s="3257" t="s">
        <v>350</v>
      </c>
      <c r="R35" s="3257" t="s">
        <v>351</v>
      </c>
      <c r="S35" s="3166" t="s">
        <v>352</v>
      </c>
      <c r="T35" s="3257" t="s">
        <v>353</v>
      </c>
      <c r="U35" s="3257" t="s">
        <v>354</v>
      </c>
      <c r="V35" s="2033"/>
    </row>
    <row r="36" spans="1:26" ht="16.5" customHeight="1">
      <c r="A36" s="306" t="s">
        <v>344</v>
      </c>
      <c r="B36" s="307" t="s">
        <v>333</v>
      </c>
      <c r="C36" s="308" t="s">
        <v>345</v>
      </c>
      <c r="D36" s="308" t="s">
        <v>346</v>
      </c>
      <c r="E36" s="309" t="s">
        <v>347</v>
      </c>
      <c r="F36" s="314"/>
      <c r="G36" s="314"/>
      <c r="H36" s="314"/>
      <c r="I36" s="314"/>
      <c r="J36" s="2035"/>
      <c r="K36" s="3282"/>
      <c r="L36" s="3282"/>
      <c r="M36" s="1269" t="s">
        <v>355</v>
      </c>
      <c r="N36" s="3282"/>
      <c r="O36" s="3282"/>
      <c r="P36" s="2033"/>
      <c r="Q36" s="3258"/>
      <c r="R36" s="3258"/>
      <c r="S36" s="3167" t="s">
        <v>355</v>
      </c>
      <c r="T36" s="3258"/>
      <c r="U36" s="3258"/>
      <c r="V36" s="2033"/>
    </row>
    <row r="37" spans="1:26" ht="16.5" customHeight="1" thickBot="1">
      <c r="A37" s="1263" t="s">
        <v>348</v>
      </c>
      <c r="B37" s="310"/>
      <c r="C37" s="294"/>
      <c r="D37" s="294"/>
      <c r="E37" s="295"/>
      <c r="F37" s="314"/>
      <c r="G37" s="314"/>
      <c r="H37" s="314"/>
      <c r="I37" s="314"/>
      <c r="J37" s="2035"/>
      <c r="K37" s="3283"/>
      <c r="L37" s="3283"/>
      <c r="M37" s="1270"/>
      <c r="N37" s="3283"/>
      <c r="O37" s="3283"/>
      <c r="P37" s="2033"/>
      <c r="Q37" s="3259"/>
      <c r="R37" s="3259"/>
      <c r="S37" s="3168"/>
      <c r="T37" s="3259"/>
      <c r="U37" s="3259"/>
      <c r="V37" s="2033"/>
    </row>
    <row r="38" spans="1:26" ht="16.5" customHeight="1" thickBot="1">
      <c r="A38" s="1263" t="s">
        <v>349</v>
      </c>
      <c r="B38" s="310"/>
      <c r="C38" s="294"/>
      <c r="D38" s="294"/>
      <c r="E38" s="295"/>
      <c r="F38" s="314"/>
      <c r="G38" s="314"/>
      <c r="H38" s="314"/>
      <c r="I38" s="314"/>
      <c r="J38" s="2035"/>
      <c r="K38" s="1271">
        <f>'数据-汇总表'!D3</f>
        <v>41016.61</v>
      </c>
      <c r="L38" s="1272">
        <f>'数据-汇总表'!E3</f>
        <v>41016</v>
      </c>
      <c r="M38" s="1272">
        <f ca="1">C34</f>
        <v>2443</v>
      </c>
      <c r="N38" s="1272">
        <f ca="1">C33</f>
        <v>2443</v>
      </c>
      <c r="O38" s="1273">
        <f ca="1">C32</f>
        <v>10019</v>
      </c>
      <c r="P38" s="2033"/>
      <c r="Q38" s="257">
        <f>[2]结果表!$K$38</f>
        <v>84867.78</v>
      </c>
      <c r="R38" s="257">
        <f>[2]结果表!$L$38</f>
        <v>84867.78</v>
      </c>
      <c r="S38" s="257">
        <f ca="1">[2]结果表!$M$38</f>
        <v>2303</v>
      </c>
      <c r="T38" s="257">
        <f ca="1">[2]结果表!$N$38</f>
        <v>2303</v>
      </c>
      <c r="U38" s="257">
        <f ca="1">[2]结果表!$O$38</f>
        <v>19541</v>
      </c>
      <c r="V38" s="2033"/>
    </row>
    <row r="39" spans="1:26" ht="16.5" customHeight="1" thickBot="1">
      <c r="A39" s="1268"/>
      <c r="B39" s="311"/>
      <c r="C39" s="312"/>
      <c r="D39" s="312"/>
      <c r="E39" s="313"/>
      <c r="F39" s="314"/>
      <c r="G39" s="314"/>
      <c r="H39" s="314"/>
      <c r="I39" s="314"/>
      <c r="J39" s="2035"/>
      <c r="K39" s="3326" t="str">
        <f>MID(A44,3,LEN(A44)-2)</f>
        <v>抵押价格</v>
      </c>
      <c r="L39" s="3327"/>
      <c r="M39" s="3327"/>
      <c r="N39" s="3328"/>
      <c r="O39" s="1397">
        <f ca="1">C44</f>
        <v>10019</v>
      </c>
      <c r="P39" s="2033"/>
      <c r="Q39" s="257">
        <f>Q38+K38</f>
        <v>125884.39</v>
      </c>
      <c r="R39" s="257">
        <f>R38+L38</f>
        <v>125883.78</v>
      </c>
      <c r="S39" s="257">
        <f ca="1">ROUND(U39*10000/Q39,0)</f>
        <v>2348</v>
      </c>
      <c r="T39" s="257">
        <f ca="1">ROUND(U39*10000/R39,0)</f>
        <v>2348</v>
      </c>
      <c r="U39" s="257">
        <f ca="1">U38+O38</f>
        <v>29560</v>
      </c>
      <c r="V39" s="2033"/>
    </row>
    <row r="40" spans="1:26" ht="19.5" thickBot="1">
      <c r="A40" s="104" t="s">
        <v>876</v>
      </c>
      <c r="B40" s="314"/>
      <c r="C40" s="314"/>
      <c r="D40" s="314"/>
      <c r="E40" s="314"/>
      <c r="F40" s="314"/>
      <c r="G40" s="314"/>
      <c r="H40" s="314"/>
      <c r="I40" s="314"/>
      <c r="J40" s="2035"/>
      <c r="K40" s="3326" t="str">
        <f t="shared" ref="K40:K41" si="0">MID(A45,3,LEN(A45)-2)</f>
        <v/>
      </c>
      <c r="L40" s="3327"/>
      <c r="M40" s="3327"/>
      <c r="N40" s="3328"/>
      <c r="O40" s="1397" t="str">
        <f>C45</f>
        <v>——</v>
      </c>
      <c r="P40" s="2033"/>
      <c r="V40" s="2033"/>
    </row>
    <row r="41" spans="1:26" ht="16.5" thickBot="1">
      <c r="A41" s="315" t="s">
        <v>356</v>
      </c>
      <c r="B41" s="316"/>
      <c r="C41" s="317" t="s">
        <v>357</v>
      </c>
      <c r="D41" s="318" t="s">
        <v>358</v>
      </c>
      <c r="E41" s="318" t="s">
        <v>359</v>
      </c>
      <c r="F41" s="319" t="s">
        <v>360</v>
      </c>
      <c r="G41" s="314"/>
      <c r="H41" s="314"/>
      <c r="I41" s="314"/>
      <c r="J41" s="2035"/>
      <c r="K41" s="3326" t="str">
        <f t="shared" si="0"/>
        <v/>
      </c>
      <c r="L41" s="3327"/>
      <c r="M41" s="3327"/>
      <c r="N41" s="3328"/>
      <c r="O41" s="1397" t="str">
        <f>C46</f>
        <v>——</v>
      </c>
      <c r="P41" s="2033"/>
      <c r="V41" s="2033"/>
    </row>
    <row r="42" spans="1:26" ht="29.25">
      <c r="A42" s="3268" t="s">
        <v>2073</v>
      </c>
      <c r="B42" s="3269"/>
      <c r="C42" s="264">
        <f ca="1">C32</f>
        <v>10019</v>
      </c>
      <c r="D42" s="320">
        <f ca="1">C33</f>
        <v>2443</v>
      </c>
      <c r="E42" s="320">
        <f ca="1">C34</f>
        <v>2443</v>
      </c>
      <c r="F42" s="321">
        <f ca="1">C35</f>
        <v>163</v>
      </c>
      <c r="G42" s="314"/>
      <c r="H42" s="314"/>
      <c r="I42" s="322"/>
      <c r="J42" s="2035"/>
      <c r="K42" s="1274" t="s">
        <v>361</v>
      </c>
      <c r="L42" s="2052" t="s">
        <v>362</v>
      </c>
      <c r="M42" s="1275" t="s">
        <v>363</v>
      </c>
      <c r="N42" s="2053" t="s">
        <v>364</v>
      </c>
      <c r="O42" s="2054" t="s">
        <v>365</v>
      </c>
      <c r="P42" s="2033"/>
      <c r="V42" s="2033"/>
    </row>
    <row r="43" spans="1:26" ht="18">
      <c r="A43" s="3279" t="s">
        <v>2741</v>
      </c>
      <c r="B43" s="3280"/>
      <c r="C43" s="264">
        <f>IF(H33="正常操作",G33+G34+G35,G34+G35)</f>
        <v>0</v>
      </c>
      <c r="D43" s="320" t="s">
        <v>43</v>
      </c>
      <c r="E43" s="320" t="s">
        <v>44</v>
      </c>
      <c r="F43" s="321" t="s">
        <v>44</v>
      </c>
      <c r="G43" s="2904" t="s">
        <v>955</v>
      </c>
      <c r="H43" s="314"/>
      <c r="I43" s="322"/>
      <c r="J43" s="2035"/>
      <c r="K43" s="1276" t="str">
        <f>C4</f>
        <v>基准地价</v>
      </c>
      <c r="L43" s="1277">
        <f ca="1">IF(L42="估价结果/万元",C19,C20)</f>
        <v>3195</v>
      </c>
      <c r="M43" s="1278">
        <f>C18</f>
        <v>0.4</v>
      </c>
      <c r="N43" s="1279">
        <f ca="1">IF(N42="测算结果/万元",G19,G20)</f>
        <v>10019</v>
      </c>
      <c r="O43" s="1280">
        <f ca="1">IF(O42="最终结果/万元",C32,C33)</f>
        <v>10019</v>
      </c>
      <c r="P43" s="2033"/>
      <c r="V43" s="2033"/>
    </row>
    <row r="44" spans="1:26" ht="30.75" thickBot="1">
      <c r="A44" s="3268" t="str">
        <f>IF(OR(项目基本情况!E8="抵押价格",项目基本情况!E8="已注销及未注销"),"3.抵押价格","——")</f>
        <v>3.抵押价格</v>
      </c>
      <c r="B44" s="3269"/>
      <c r="C44" s="264">
        <f ca="1">IF(A44="——","——",C42-C43)</f>
        <v>10019</v>
      </c>
      <c r="D44" s="320">
        <f ca="1">ROUND(C44*10000/'数据-汇总表'!E3,0)</f>
        <v>2443</v>
      </c>
      <c r="E44" s="320">
        <f ca="1">ROUND(C44*10000/'数据-汇总表'!D3,0)</f>
        <v>2443</v>
      </c>
      <c r="F44" s="321">
        <f ca="1">ROUND(C44/('数据-汇总表'!D3/666.67),0)</f>
        <v>163</v>
      </c>
      <c r="G44" s="314"/>
      <c r="H44" s="314"/>
      <c r="I44" s="322"/>
      <c r="J44" s="2035"/>
      <c r="K44" s="1281" t="str">
        <f>D4</f>
        <v>剩余法-待开发</v>
      </c>
      <c r="L44" s="1282">
        <f ca="1">IF(L42="估价结果/万元",D19,D20)</f>
        <v>14569</v>
      </c>
      <c r="M44" s="1283">
        <f>D18</f>
        <v>0.6</v>
      </c>
      <c r="N44" s="1284"/>
      <c r="O44" s="1285"/>
      <c r="P44" s="2033"/>
      <c r="V44" s="2033"/>
    </row>
    <row r="45" spans="1:26" ht="15">
      <c r="A45" s="3274" t="str">
        <f>IF(项目基本情况!E8="已注销及未注销","4.抵押担保权已注销时的抵押价格",IF(项目基本情况!E8="已注销","3.抵押担保权已注销时的抵押价格","——"))</f>
        <v>——</v>
      </c>
      <c r="B45" s="3275"/>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270" t="str">
        <f>IF(项目基本情况!E9="抵押净值",IF(A45="——","4.抵押净值","5.抵押净值"),"——")</f>
        <v>——</v>
      </c>
      <c r="B46" s="3271"/>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15" t="s">
        <v>374</v>
      </c>
      <c r="B63" s="3316"/>
      <c r="C63" s="3317"/>
      <c r="D63" s="344">
        <f ca="1">ROUND(C42*F63,0)</f>
        <v>6011</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276" t="s">
        <v>378</v>
      </c>
      <c r="B64" s="3277"/>
      <c r="C64" s="3277"/>
      <c r="D64" s="3277"/>
      <c r="E64" s="3277"/>
      <c r="F64" s="3277"/>
      <c r="G64" s="3278"/>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72" t="s">
        <v>386</v>
      </c>
      <c r="B66" s="3273"/>
      <c r="C66" s="3273"/>
      <c r="D66" s="261">
        <f ca="1">IF(H66="情况1",0,IF(H66="情况2",D70,IF(H66="情况3",D71,IF(H66="情况4",D72))))</f>
        <v>315</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330" t="s">
        <v>385</v>
      </c>
      <c r="M66" s="3331"/>
      <c r="N66" s="2492"/>
      <c r="O66" s="2493"/>
      <c r="P66" s="2494"/>
      <c r="Q66" s="2033"/>
      <c r="R66" s="2033"/>
      <c r="S66" s="2033"/>
      <c r="T66" s="2033"/>
      <c r="U66" s="2033"/>
      <c r="V66" s="2033"/>
    </row>
    <row r="67" spans="1:22" ht="25.5" customHeight="1">
      <c r="A67" s="355" t="s">
        <v>390</v>
      </c>
      <c r="B67" s="3263" t="s">
        <v>391</v>
      </c>
      <c r="C67" s="3263"/>
      <c r="D67" s="356">
        <v>0</v>
      </c>
      <c r="E67" s="41" t="s">
        <v>392</v>
      </c>
      <c r="F67" s="62" t="s">
        <v>21</v>
      </c>
      <c r="G67" s="3318"/>
      <c r="H67" s="314"/>
      <c r="I67" s="1295"/>
      <c r="J67" s="2040"/>
      <c r="K67" s="1981">
        <v>2</v>
      </c>
      <c r="L67" s="3329" t="s">
        <v>389</v>
      </c>
      <c r="M67" s="3329"/>
      <c r="N67" s="1328">
        <f>'数据-取费表'!B2</f>
        <v>43005</v>
      </c>
      <c r="O67" s="1328"/>
      <c r="P67" s="1328"/>
      <c r="Q67" s="2033"/>
      <c r="R67" s="2033"/>
      <c r="S67" s="2033"/>
      <c r="T67" s="2033"/>
      <c r="U67" s="2033"/>
      <c r="V67" s="2033"/>
    </row>
    <row r="68" spans="1:22" ht="25.5" customHeight="1">
      <c r="A68" s="357"/>
      <c r="B68" s="3263" t="s">
        <v>394</v>
      </c>
      <c r="C68" s="3263"/>
      <c r="D68" s="358"/>
      <c r="E68" s="77"/>
      <c r="F68" s="359"/>
      <c r="G68" s="3319"/>
      <c r="H68" s="314"/>
      <c r="I68" s="1295"/>
      <c r="J68" s="2040"/>
      <c r="K68" s="1981">
        <v>3</v>
      </c>
      <c r="L68" s="3329" t="s">
        <v>393</v>
      </c>
      <c r="M68" s="3329"/>
      <c r="N68" s="1296">
        <f ca="1">C42</f>
        <v>10019</v>
      </c>
      <c r="O68" s="1296"/>
      <c r="P68" s="1296"/>
      <c r="Q68" s="2033"/>
      <c r="R68" s="2033"/>
      <c r="S68" s="2033"/>
      <c r="T68" s="2033"/>
      <c r="U68" s="2033"/>
      <c r="V68" s="2033"/>
    </row>
    <row r="69" spans="1:22" ht="12" customHeight="1">
      <c r="A69" s="360"/>
      <c r="B69" s="3263" t="s">
        <v>395</v>
      </c>
      <c r="C69" s="3263"/>
      <c r="D69" s="361"/>
      <c r="E69" s="73"/>
      <c r="F69" s="359"/>
      <c r="G69" s="3320"/>
      <c r="H69" s="314"/>
      <c r="I69" s="1295"/>
      <c r="J69" s="2040"/>
      <c r="K69" s="1297">
        <v>4</v>
      </c>
      <c r="L69" s="3334" t="s">
        <v>2893</v>
      </c>
      <c r="M69" s="3335"/>
      <c r="N69" s="1298">
        <f ca="1">C44</f>
        <v>10019</v>
      </c>
      <c r="O69" s="1298"/>
      <c r="P69" s="1298"/>
      <c r="Q69" s="2033"/>
      <c r="R69" s="2033"/>
      <c r="S69" s="2033"/>
      <c r="T69" s="2033"/>
      <c r="U69" s="2033"/>
      <c r="V69" s="2033"/>
    </row>
    <row r="70" spans="1:22" ht="24" customHeight="1">
      <c r="A70" s="362" t="s">
        <v>396</v>
      </c>
      <c r="B70" s="3263" t="s">
        <v>397</v>
      </c>
      <c r="C70" s="3263"/>
      <c r="D70" s="361">
        <f ca="1">ROUND(D63*'数据-取费表'!B41/(1+'数据-取费表'!C42),0)</f>
        <v>315</v>
      </c>
      <c r="E70" s="17" t="s">
        <v>398</v>
      </c>
      <c r="F70" s="363">
        <f>'数据-取费表'!B41</f>
        <v>5.5000000000000007E-2</v>
      </c>
      <c r="G70" s="364"/>
      <c r="H70" s="314"/>
      <c r="I70" s="1295"/>
      <c r="J70" s="2040"/>
      <c r="K70" s="3100"/>
      <c r="L70" s="3101"/>
      <c r="M70" s="3101"/>
      <c r="N70" s="3102" t="s">
        <v>2898</v>
      </c>
      <c r="O70" s="3101"/>
      <c r="P70" s="3103"/>
      <c r="Q70" s="2033"/>
      <c r="R70" s="2033"/>
      <c r="S70" s="2033"/>
      <c r="T70" s="2033"/>
      <c r="U70" s="2033"/>
      <c r="V70" s="2033"/>
    </row>
    <row r="71" spans="1:22" ht="12" customHeight="1">
      <c r="A71" s="362" t="s">
        <v>404</v>
      </c>
      <c r="B71" s="3264" t="s">
        <v>405</v>
      </c>
      <c r="C71" s="3265"/>
      <c r="D71" s="361">
        <f ca="1">ROUND(D63*'数据-取费表'!B41/(1+'数据-取费表'!C42),0)</f>
        <v>315</v>
      </c>
      <c r="E71" s="17" t="s">
        <v>398</v>
      </c>
      <c r="F71" s="363">
        <f>'数据-取费表'!B41</f>
        <v>5.5000000000000007E-2</v>
      </c>
      <c r="G71" s="364"/>
      <c r="H71" s="314"/>
      <c r="I71" s="1295"/>
      <c r="J71" s="2040"/>
      <c r="K71" s="3099" t="s">
        <v>399</v>
      </c>
      <c r="L71" s="3336" t="s">
        <v>400</v>
      </c>
      <c r="M71" s="3336"/>
      <c r="N71" s="3099" t="s">
        <v>401</v>
      </c>
      <c r="O71" s="3099" t="s">
        <v>402</v>
      </c>
      <c r="P71" s="3099" t="s">
        <v>403</v>
      </c>
      <c r="Q71" s="2033"/>
      <c r="R71" s="2033"/>
      <c r="S71" s="2033"/>
      <c r="T71" s="2033"/>
      <c r="U71" s="2033"/>
      <c r="V71" s="2033"/>
    </row>
    <row r="72" spans="1:22" ht="12" customHeight="1">
      <c r="A72" s="362" t="s">
        <v>407</v>
      </c>
      <c r="B72" s="3264" t="s">
        <v>408</v>
      </c>
      <c r="C72" s="3265"/>
      <c r="D72" s="361">
        <f ca="1">C86</f>
        <v>205</v>
      </c>
      <c r="E72" s="73" t="s">
        <v>409</v>
      </c>
      <c r="F72" s="363">
        <f>'数据-取费表'!B41</f>
        <v>5.5000000000000007E-2</v>
      </c>
      <c r="G72" s="364"/>
      <c r="H72" s="1301"/>
      <c r="I72" s="1295"/>
      <c r="J72" s="2040"/>
      <c r="K72" s="1981">
        <v>1</v>
      </c>
      <c r="L72" s="3311" t="s">
        <v>406</v>
      </c>
      <c r="M72" s="3311"/>
      <c r="N72" s="1299">
        <f ca="1">D66</f>
        <v>315</v>
      </c>
      <c r="O72" s="1864" t="str">
        <f>E66</f>
        <v>销售额×税（费）率</v>
      </c>
      <c r="P72" s="1300">
        <f>F66</f>
        <v>5.5000000000000007E-2</v>
      </c>
      <c r="Q72" s="2033"/>
      <c r="R72" s="2033"/>
      <c r="S72" s="2033"/>
      <c r="T72" s="2033"/>
      <c r="U72" s="2033"/>
      <c r="V72" s="2033"/>
    </row>
    <row r="73" spans="1:22" ht="24" customHeight="1">
      <c r="A73" s="3305" t="s">
        <v>411</v>
      </c>
      <c r="B73" s="3273"/>
      <c r="C73" s="3273"/>
      <c r="D73" s="365">
        <f>IF(H73="个人住宅",0,ROUND(D63*I73,0))</f>
        <v>0</v>
      </c>
      <c r="E73" s="17" t="s">
        <v>412</v>
      </c>
      <c r="F73" s="363" t="str">
        <f>IF(H73="正常",I73,"免征")</f>
        <v>免征</v>
      </c>
      <c r="G73" s="364"/>
      <c r="H73" s="191" t="s">
        <v>2462</v>
      </c>
      <c r="I73" s="363">
        <f>'数据-取费表'!B49</f>
        <v>5.0000000000000001E-4</v>
      </c>
      <c r="J73" s="2040"/>
      <c r="K73" s="1981">
        <v>2</v>
      </c>
      <c r="L73" s="3311" t="s">
        <v>410</v>
      </c>
      <c r="M73" s="3311"/>
      <c r="N73" s="1299">
        <f t="shared" ref="N73:P74" si="1">D73</f>
        <v>0</v>
      </c>
      <c r="O73" s="1864" t="str">
        <f t="shared" si="1"/>
        <v>销售额×税（费）率</v>
      </c>
      <c r="P73" s="1300" t="str">
        <f t="shared" si="1"/>
        <v>免征</v>
      </c>
      <c r="Q73" s="2033"/>
      <c r="R73" s="2033"/>
      <c r="S73" s="2033"/>
      <c r="T73" s="2033"/>
      <c r="U73" s="2033"/>
      <c r="V73" s="2033"/>
    </row>
    <row r="74" spans="1:22" ht="24.75">
      <c r="A74" s="3305" t="s">
        <v>415</v>
      </c>
      <c r="B74" s="3273"/>
      <c r="C74" s="3273"/>
      <c r="D74" s="365">
        <f ca="1">IF(H74="个人住宅",D75,D76)</f>
        <v>2752</v>
      </c>
      <c r="E74" s="17" t="s">
        <v>416</v>
      </c>
      <c r="F74" s="363" t="str">
        <f>IF(H74="正常",F76,"免征")</f>
        <v>——</v>
      </c>
      <c r="G74" s="986" t="s">
        <v>417</v>
      </c>
      <c r="H74" s="366" t="s">
        <v>413</v>
      </c>
      <c r="I74" s="42"/>
      <c r="J74" s="2040"/>
      <c r="K74" s="1981">
        <v>3</v>
      </c>
      <c r="L74" s="3311" t="s">
        <v>414</v>
      </c>
      <c r="M74" s="3311"/>
      <c r="N74" s="1299">
        <f t="shared" ca="1" si="1"/>
        <v>2752</v>
      </c>
      <c r="O74" s="1864" t="str">
        <f t="shared" si="1"/>
        <v>增值额×税（费）率</v>
      </c>
      <c r="P74" s="1302" t="str">
        <f t="shared" si="1"/>
        <v>——</v>
      </c>
      <c r="Q74" s="2033"/>
      <c r="R74" s="2033"/>
      <c r="S74" s="2033"/>
      <c r="T74" s="2033"/>
      <c r="U74" s="2033"/>
      <c r="V74" s="2033"/>
    </row>
    <row r="75" spans="1:22" ht="24">
      <c r="A75" s="362" t="s">
        <v>418</v>
      </c>
      <c r="B75" s="3261" t="s">
        <v>419</v>
      </c>
      <c r="C75" s="3291"/>
      <c r="D75" s="367">
        <v>0</v>
      </c>
      <c r="E75" s="41" t="s">
        <v>420</v>
      </c>
      <c r="F75" s="368"/>
      <c r="G75" s="364"/>
      <c r="H75" s="42"/>
      <c r="I75" s="42"/>
      <c r="J75" s="2040"/>
      <c r="K75" s="3092">
        <f>IF(H77="非个人房产","",4)</f>
        <v>4</v>
      </c>
      <c r="L75" s="3311" t="str">
        <f>IF(H77="非个人房产","——","个人所得税")</f>
        <v>个人所得税</v>
      </c>
      <c r="M75" s="3311"/>
      <c r="N75" s="1303">
        <f ca="1">D77</f>
        <v>60</v>
      </c>
      <c r="O75" s="1877" t="str">
        <f>E77</f>
        <v>销售额×税（费）率</v>
      </c>
      <c r="P75" s="1304">
        <f>F77</f>
        <v>0.01</v>
      </c>
      <c r="Q75" s="2033"/>
      <c r="R75" s="2033"/>
      <c r="S75" s="2033"/>
      <c r="T75" s="2033"/>
      <c r="U75" s="2033"/>
      <c r="V75" s="2033"/>
    </row>
    <row r="76" spans="1:22" ht="24.75">
      <c r="A76" s="362" t="s">
        <v>396</v>
      </c>
      <c r="B76" s="3261" t="s">
        <v>422</v>
      </c>
      <c r="C76" s="3262"/>
      <c r="D76" s="365">
        <f ca="1">IF(H76="转让取得",C99,C115)</f>
        <v>2752</v>
      </c>
      <c r="E76" s="17" t="s">
        <v>423</v>
      </c>
      <c r="F76" s="53" t="s">
        <v>21</v>
      </c>
      <c r="G76" s="364"/>
      <c r="H76" s="366" t="s">
        <v>424</v>
      </c>
      <c r="I76" s="42"/>
      <c r="J76" s="2040"/>
      <c r="K76" s="3092" t="str">
        <f>IF(项目基本情况!K6="上海银行",IF(K75="",4,K75+1),"")</f>
        <v/>
      </c>
      <c r="L76" s="3322" t="str">
        <f>IF(项目基本情况!K6="上海银行","其他处置费用","")</f>
        <v/>
      </c>
      <c r="M76" s="3323"/>
      <c r="N76" s="1299" t="str">
        <f>IF(项目基本情况!K6="上海银行",N89,"")</f>
        <v/>
      </c>
      <c r="O76" s="3324" t="str">
        <f>IF(项目基本情况!K6="上海银行","包含处置中涉及的律师、诉讼、拍卖、评估等费用","")</f>
        <v/>
      </c>
      <c r="P76" s="3325"/>
      <c r="Q76" s="2033"/>
      <c r="R76" s="2033"/>
      <c r="S76" s="2033"/>
      <c r="T76" s="2033"/>
      <c r="U76" s="2033"/>
      <c r="V76" s="2033"/>
    </row>
    <row r="77" spans="1:22" ht="26.25" thickBot="1">
      <c r="A77" s="3313" t="s">
        <v>426</v>
      </c>
      <c r="B77" s="3314"/>
      <c r="C77" s="3314"/>
      <c r="D77" s="369">
        <f ca="1">IF(H77="非个人房产","——",IF(H77="个人住宅",0,ROUND(D63*I77,0)))</f>
        <v>60</v>
      </c>
      <c r="E77" s="370" t="str">
        <f>IF(H77="非个人房产","——","销售额×税（费）率")</f>
        <v>销售额×税（费）率</v>
      </c>
      <c r="F77" s="371">
        <f>IF(H77="非个人房产","——",IF(H77="个人住宅","免征",I77))</f>
        <v>0.01</v>
      </c>
      <c r="G77" s="987" t="s">
        <v>417</v>
      </c>
      <c r="H77" s="366" t="s">
        <v>2894</v>
      </c>
      <c r="I77" s="372">
        <v>0.01</v>
      </c>
      <c r="J77" s="2040"/>
      <c r="K77" s="3312">
        <f>IF(AND(K75="",K76=""),4,IF(项目基本情况!K6="上海银行",K76+1,K75+1))</f>
        <v>5</v>
      </c>
      <c r="L77" s="3311" t="s">
        <v>2895</v>
      </c>
      <c r="M77" s="3098" t="s">
        <v>421</v>
      </c>
      <c r="N77" s="1305"/>
      <c r="O77" s="1306">
        <f ca="1">SUMIF(N72:N76,"&lt;9e307")</f>
        <v>3127</v>
      </c>
      <c r="P77" s="1307"/>
      <c r="Q77" s="3096">
        <f ca="1">O77/N69</f>
        <v>0.31210699670625813</v>
      </c>
      <c r="R77" s="2033"/>
      <c r="S77" s="2033"/>
      <c r="T77" s="2033"/>
      <c r="U77" s="2033"/>
      <c r="V77" s="2033"/>
    </row>
    <row r="78" spans="1:22" ht="12" customHeight="1">
      <c r="A78" s="1308"/>
      <c r="B78" s="314"/>
      <c r="C78" s="314"/>
      <c r="D78" s="314"/>
      <c r="E78" s="42"/>
      <c r="F78" s="42"/>
      <c r="G78" s="42"/>
      <c r="H78" s="1006"/>
      <c r="I78" s="314"/>
      <c r="J78" s="2040"/>
      <c r="K78" s="3312"/>
      <c r="L78" s="3311"/>
      <c r="M78" s="3098" t="s">
        <v>425</v>
      </c>
      <c r="N78" s="1305"/>
      <c r="O78" s="1306" t="str">
        <f ca="1">NUMBERSTRING(INT(O77*10000),2)&amp;"元整"</f>
        <v>叁仟壹佰贰拾柒万元整</v>
      </c>
      <c r="P78" s="1307"/>
      <c r="Q78" s="2033"/>
      <c r="R78" s="2033"/>
      <c r="S78" s="2033"/>
      <c r="T78" s="2033"/>
      <c r="U78" s="2033"/>
      <c r="V78" s="2033"/>
    </row>
    <row r="79" spans="1:22" ht="13.5" thickBot="1">
      <c r="A79" s="3306" t="s">
        <v>427</v>
      </c>
      <c r="B79" s="3306"/>
      <c r="C79" s="3306"/>
      <c r="D79" s="3306"/>
      <c r="E79" s="3306"/>
      <c r="F79" s="42"/>
      <c r="G79" s="42"/>
      <c r="H79" s="1006"/>
      <c r="I79" s="314"/>
      <c r="J79" s="2040"/>
      <c r="K79" s="3332">
        <f>K77+1</f>
        <v>6</v>
      </c>
      <c r="L79" s="3311" t="s">
        <v>2896</v>
      </c>
      <c r="M79" s="3098" t="s">
        <v>421</v>
      </c>
      <c r="N79" s="1305"/>
      <c r="O79" s="1306">
        <f ca="1">N69-O77</f>
        <v>6892</v>
      </c>
      <c r="P79" s="1307"/>
      <c r="Q79" s="2033"/>
      <c r="R79" s="2033"/>
      <c r="S79" s="2033"/>
      <c r="T79" s="2033"/>
      <c r="U79" s="2033"/>
      <c r="V79" s="2033"/>
    </row>
    <row r="80" spans="1:22" ht="25.5">
      <c r="A80" s="3301" t="s">
        <v>428</v>
      </c>
      <c r="B80" s="3302"/>
      <c r="C80" s="997"/>
      <c r="D80" s="997" t="s">
        <v>429</v>
      </c>
      <c r="E80" s="373" t="s">
        <v>430</v>
      </c>
      <c r="F80" s="42"/>
      <c r="G80" s="42"/>
      <c r="H80" s="1006"/>
      <c r="I80" s="314"/>
      <c r="J80" s="2033"/>
      <c r="K80" s="3333"/>
      <c r="L80" s="3311"/>
      <c r="M80" s="3098" t="s">
        <v>425</v>
      </c>
      <c r="N80" s="1305"/>
      <c r="O80" s="1306" t="str">
        <f ca="1">NUMBERSTRING(INT(O79*10000),2)&amp;"元整"</f>
        <v>陆仟捌佰玖拾贰万元整</v>
      </c>
      <c r="P80" s="1307"/>
      <c r="Q80" s="2033"/>
      <c r="R80" s="2033"/>
      <c r="S80" s="2033"/>
      <c r="T80" s="2033"/>
      <c r="U80" s="2033"/>
      <c r="V80" s="2033"/>
    </row>
    <row r="81" spans="1:26" ht="13.5" thickBot="1">
      <c r="A81" s="384" t="s">
        <v>1828</v>
      </c>
      <c r="B81" s="374" t="s">
        <v>431</v>
      </c>
      <c r="C81" s="375">
        <f ca="1">ROUND((C82+C83)/(1+'数据-取费表'!C42),0)</f>
        <v>5725</v>
      </c>
      <c r="D81" s="376"/>
      <c r="E81" s="377"/>
      <c r="F81" s="42"/>
      <c r="G81" s="42"/>
      <c r="H81" s="1006"/>
      <c r="I81" s="314"/>
      <c r="J81" s="2033"/>
      <c r="K81" s="3092">
        <f>K79+1</f>
        <v>7</v>
      </c>
      <c r="L81" s="3309" t="s">
        <v>2897</v>
      </c>
      <c r="M81" s="3310"/>
      <c r="N81" s="1309"/>
      <c r="O81" s="1310">
        <f ca="1">ROUND(O79*10000/'数据-汇总表'!E3,0)</f>
        <v>1680</v>
      </c>
      <c r="P81" s="1311"/>
      <c r="Q81" s="2033"/>
      <c r="R81" s="2033"/>
      <c r="S81" s="2033"/>
      <c r="T81" s="2033"/>
      <c r="U81" s="2033"/>
      <c r="V81" s="2033"/>
    </row>
    <row r="82" spans="1:26" ht="13.5" thickTop="1">
      <c r="A82" s="378" t="s">
        <v>1829</v>
      </c>
      <c r="B82" s="379" t="s">
        <v>432</v>
      </c>
      <c r="C82" s="380">
        <f ca="1">D63</f>
        <v>6011</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1830</v>
      </c>
      <c r="B83" s="379" t="s">
        <v>433</v>
      </c>
      <c r="C83" s="383">
        <v>0</v>
      </c>
      <c r="D83" s="381"/>
      <c r="E83" s="382"/>
      <c r="F83" s="42"/>
      <c r="G83" s="42"/>
      <c r="H83" s="1006"/>
      <c r="I83" s="314"/>
      <c r="J83" s="2033"/>
      <c r="K83" s="3321" t="s">
        <v>2884</v>
      </c>
      <c r="L83" s="3104" t="s">
        <v>2885</v>
      </c>
      <c r="M83" s="3094">
        <f ca="1">IF(N69&gt;10000,N69*0.5%,IF(AND(N69&gt;1000,N69&lt;=10000),N69*1%,IF(AND(N69&gt;100,N69&lt;=1000),N69*3%,IF(AND(N69&gt;10,N69&lt;=100),N69*5%,N69*8%))))</f>
        <v>50.094999999999999</v>
      </c>
      <c r="N83" s="53">
        <f ca="1">ROUND(M83,1)</f>
        <v>50.1</v>
      </c>
      <c r="O83" s="3097"/>
      <c r="P83" s="2033"/>
      <c r="Q83" s="2033"/>
      <c r="R83" s="2033"/>
      <c r="S83" s="2033"/>
      <c r="T83" s="2033"/>
      <c r="U83" s="2033"/>
      <c r="V83" s="2033"/>
    </row>
    <row r="84" spans="1:26" ht="12.75">
      <c r="A84" s="384" t="s">
        <v>1831</v>
      </c>
      <c r="B84" s="385" t="s">
        <v>434</v>
      </c>
      <c r="C84" s="386">
        <v>2000</v>
      </c>
      <c r="D84" s="387" t="s">
        <v>19</v>
      </c>
      <c r="E84" s="3137" t="s">
        <v>2951</v>
      </c>
      <c r="F84" s="42"/>
      <c r="G84" s="42"/>
      <c r="H84" s="1006"/>
      <c r="I84" s="314"/>
      <c r="J84" s="2033"/>
      <c r="K84" s="3321"/>
      <c r="L84" s="3104" t="s">
        <v>2886</v>
      </c>
      <c r="M84" s="3094">
        <f ca="1">IF(N69&gt;2000,N69*0.5%,IF(AND(N69&gt;1000,N69&lt;=2000),N69*0.6%,IF(AND(N69&gt;500,N69&lt;=1000),N69*0.7%,IF(AND(N69&gt;200,N69&lt;=500),N69*0.8%,IF(AND(N69&gt;100,N69&lt;=200),N69*0.9%,IF(AND(N69&gt;50,N69&lt;=100),N69*1%,IF(AND(N69&gt;20,N69&lt;=50),N69*1.5%,IF(AND(N69&gt;10,N69&lt;=20),N69*2%,IF(AND(N69&gt;1,N69&lt;=10),N69*2.5%)))))))))</f>
        <v>50.094999999999999</v>
      </c>
      <c r="N84" s="53">
        <f t="shared" ref="N84:N85" ca="1" si="2">ROUND(M84,1)</f>
        <v>50.1</v>
      </c>
      <c r="O84" s="2033" t="s">
        <v>2887</v>
      </c>
      <c r="P84" s="2033"/>
      <c r="Q84" s="2033"/>
      <c r="R84" s="2033"/>
      <c r="S84" s="2033"/>
      <c r="T84" s="2033"/>
      <c r="U84" s="2033"/>
      <c r="V84" s="2033"/>
    </row>
    <row r="85" spans="1:26" ht="12.75">
      <c r="A85" s="384" t="s">
        <v>1832</v>
      </c>
      <c r="B85" s="385" t="s">
        <v>435</v>
      </c>
      <c r="C85" s="388">
        <f ca="1">C81-C84</f>
        <v>3725</v>
      </c>
      <c r="D85" s="381" t="s">
        <v>19</v>
      </c>
      <c r="E85" s="382"/>
      <c r="F85" s="42"/>
      <c r="G85" s="42"/>
      <c r="H85" s="1006"/>
      <c r="I85" s="314"/>
      <c r="J85" s="2033"/>
      <c r="K85" s="3321"/>
      <c r="L85" s="3104" t="s">
        <v>2888</v>
      </c>
      <c r="M85" s="3094">
        <f ca="1">IF(N69&gt;1000,N69*0.1%,IF(AND(N69&gt;500,N69&lt;=1000),N69*0.5%,IF(AND(N69&gt;50,N69&lt;=500),N69*1%,IF(AND(N69&gt;1,N69&lt;=50),N69*1.5%))))</f>
        <v>10.019</v>
      </c>
      <c r="N85" s="53">
        <f t="shared" ca="1" si="2"/>
        <v>10</v>
      </c>
      <c r="O85" s="2033" t="s">
        <v>2887</v>
      </c>
      <c r="P85" s="2033"/>
      <c r="Q85" s="2033"/>
      <c r="R85" s="2033"/>
      <c r="S85" s="2033"/>
      <c r="T85" s="2033"/>
      <c r="U85" s="2033"/>
      <c r="V85" s="2033"/>
    </row>
    <row r="86" spans="1:26" ht="13.5" thickBot="1">
      <c r="A86" s="389" t="s">
        <v>1833</v>
      </c>
      <c r="B86" s="390" t="s">
        <v>436</v>
      </c>
      <c r="C86" s="391">
        <f ca="1">IF(C85&lt;=0,0,ROUND(C85*D86,0))</f>
        <v>205</v>
      </c>
      <c r="D86" s="392">
        <f>'数据-取费表'!B41</f>
        <v>5.5000000000000007E-2</v>
      </c>
      <c r="E86" s="393"/>
      <c r="F86" s="42"/>
      <c r="G86" s="42"/>
      <c r="H86" s="1006"/>
      <c r="I86" s="314"/>
      <c r="J86" s="2033"/>
      <c r="K86" s="3321"/>
      <c r="L86" s="3104" t="s">
        <v>2889</v>
      </c>
      <c r="M86" s="3094">
        <f ca="1">N69*0.5%</f>
        <v>50.094999999999999</v>
      </c>
      <c r="N86" s="53">
        <f ca="1">IF(M86&gt;0.5,0.5,ROUND(M86,0))</f>
        <v>0.5</v>
      </c>
      <c r="O86" s="2033" t="s">
        <v>2890</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21"/>
      <c r="L87" s="3104" t="s">
        <v>2891</v>
      </c>
      <c r="M87" s="3094">
        <f ca="1">IF(N69&gt;=10000,(8.25+(N69-10000)*0.01%),IF(AND(N69&gt;=8000,N69&lt;10000),(7.85+(N69-8000)*0.02%),IF(AND(N69&gt;=5000,N69&lt;8000),(6.65+(N69-5000)*0.04%),IF(AND(N69&gt;=2000,N69&lt;5000),(4.25+(PN69-2000)*0.08%),IF(AND(N69&gt;=1000,N69&lt;2000),(2.75+(N69-1000)*0.15%),IF(AND(N69&gt;=100,N69&lt;1000),(0.5+(N69-100)*0.25%),IF(AND(N69&gt;0,N69&lt;100),N69*0.5%)))))))</f>
        <v>8.2518999999999991</v>
      </c>
      <c r="N87" s="53">
        <f ca="1">ROUND(M87*0.9,1)</f>
        <v>7.4</v>
      </c>
      <c r="O87" s="3097"/>
      <c r="P87" s="314"/>
      <c r="Q87" s="2033"/>
      <c r="R87" s="2033"/>
      <c r="S87" s="2033"/>
      <c r="T87" s="2033"/>
      <c r="U87" s="2033"/>
      <c r="V87" s="2033"/>
      <c r="W87" s="292"/>
      <c r="X87" s="292"/>
      <c r="Y87" s="292"/>
      <c r="Z87" s="292"/>
    </row>
    <row r="88" spans="1:26" s="1317" customFormat="1" ht="15" thickBot="1">
      <c r="A88" s="3303" t="s">
        <v>437</v>
      </c>
      <c r="B88" s="3304"/>
      <c r="C88" s="3304"/>
      <c r="D88" s="3304"/>
      <c r="E88" s="3304"/>
      <c r="F88" s="3304"/>
      <c r="G88" s="3304"/>
      <c r="H88" s="3304"/>
      <c r="I88" s="1318"/>
      <c r="J88" s="2041"/>
      <c r="K88" s="3321"/>
      <c r="L88" s="3104" t="s">
        <v>2892</v>
      </c>
      <c r="M88" s="3094">
        <f ca="1">IF(N69&gt;10000,N69*0.5%,IF(AND(N69&gt;5000,N69&lt;=10000),N69*1%,IF(AND(N69&gt;1000,N69&lt;=5000),N69*2%,IF(AND(N69&gt;200,N69&lt;=1000),N69*3%,N69*5%))))</f>
        <v>50.094999999999999</v>
      </c>
      <c r="N88" s="53">
        <f ca="1">ROUND(M88,1)</f>
        <v>50.1</v>
      </c>
      <c r="O88" s="3097"/>
      <c r="P88" s="11"/>
      <c r="Q88" s="2038"/>
      <c r="R88" s="2038"/>
      <c r="S88" s="2038"/>
      <c r="T88" s="2038"/>
      <c r="U88" s="2038"/>
      <c r="V88" s="2038"/>
      <c r="W88" s="2042"/>
      <c r="X88" s="2042"/>
      <c r="Y88" s="2042"/>
      <c r="Z88" s="2042"/>
    </row>
    <row r="89" spans="1:26" s="1317" customFormat="1" ht="14.25">
      <c r="A89" s="3301" t="s">
        <v>428</v>
      </c>
      <c r="B89" s="3302"/>
      <c r="C89" s="997"/>
      <c r="D89" s="997" t="s">
        <v>429</v>
      </c>
      <c r="E89" s="394" t="s">
        <v>438</v>
      </c>
      <c r="F89" s="395"/>
      <c r="G89" s="395"/>
      <c r="H89" s="396"/>
      <c r="I89" s="1319"/>
      <c r="J89" s="2043"/>
      <c r="K89" s="3321"/>
      <c r="L89" s="3104" t="s">
        <v>27</v>
      </c>
      <c r="M89" s="3095"/>
      <c r="N89" s="53">
        <f ca="1">ROUND(SUM(N83:N88),0)</f>
        <v>168</v>
      </c>
      <c r="O89" s="3105">
        <f ca="1">N89/N69</f>
        <v>1.6768140532987325E-2</v>
      </c>
      <c r="P89" s="2038"/>
      <c r="Q89" s="2038"/>
      <c r="R89" s="2038"/>
      <c r="S89" s="2038"/>
      <c r="T89" s="2038"/>
      <c r="U89" s="2038"/>
      <c r="V89" s="2038"/>
      <c r="W89" s="2042"/>
      <c r="X89" s="2042"/>
      <c r="Y89" s="2042"/>
      <c r="Z89" s="2042"/>
    </row>
    <row r="90" spans="1:26" s="1317" customFormat="1" ht="14.25">
      <c r="A90" s="384" t="s">
        <v>1828</v>
      </c>
      <c r="B90" s="385" t="s">
        <v>439</v>
      </c>
      <c r="C90" s="388">
        <f ca="1">ROUND(D63/(1+'数据-取费表'!C42),0)</f>
        <v>5725</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1834</v>
      </c>
      <c r="B91" s="351" t="s">
        <v>440</v>
      </c>
      <c r="C91" s="388">
        <f ca="1">C92+C96</f>
        <v>2590</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1837</v>
      </c>
      <c r="B94" s="403" t="s">
        <v>446</v>
      </c>
      <c r="C94" s="381">
        <f>IF(F93="购房发票",ROUND(C93*H93*5%,0),0)</f>
        <v>500</v>
      </c>
      <c r="D94" s="404">
        <v>0.05</v>
      </c>
      <c r="E94" s="3264" t="s">
        <v>447</v>
      </c>
      <c r="F94" s="3263"/>
      <c r="G94" s="3263"/>
      <c r="H94" s="3300"/>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2435</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1839</v>
      </c>
      <c r="B96" s="379" t="s">
        <v>450</v>
      </c>
      <c r="C96" s="408">
        <f ca="1">ROUND(D63*D96/(1+'数据-取费表'!C42),0)</f>
        <v>29</v>
      </c>
      <c r="D96" s="409">
        <f>'数据-取费表'!B43</f>
        <v>5.000000000000001E-3</v>
      </c>
      <c r="E96" s="3292" t="s">
        <v>2434</v>
      </c>
      <c r="F96" s="3293"/>
      <c r="G96" s="3293"/>
      <c r="H96" s="3294"/>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1840</v>
      </c>
      <c r="B97" s="385" t="s">
        <v>451</v>
      </c>
      <c r="C97" s="388">
        <f ca="1">C90-C91</f>
        <v>3135</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1841</v>
      </c>
      <c r="B98" s="385" t="s">
        <v>452</v>
      </c>
      <c r="C98" s="410">
        <f ca="1">IF(C97&lt;=0,0,C97/C91)</f>
        <v>1.2104247104247103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1842</v>
      </c>
      <c r="B99" s="390" t="s">
        <v>453</v>
      </c>
      <c r="C99" s="411">
        <f ca="1">ROUND(IF(C97&lt;=0,0,IF(C98&gt;=200%,C97*60%-C91*35%,IF(C98&gt;=100%,C97*50%-C91*15%,IF(C98&gt;=50%,C97*40%-C91*5%,IF(C98&lt;50%,C97*30%,0))))),0)</f>
        <v>1179</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03" t="s">
        <v>454</v>
      </c>
      <c r="B101" s="3304"/>
      <c r="C101" s="3304"/>
      <c r="D101" s="3304"/>
      <c r="E101" s="3304"/>
      <c r="F101" s="3304"/>
      <c r="G101" s="3304"/>
      <c r="H101" s="3304"/>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01" t="s">
        <v>428</v>
      </c>
      <c r="B102" s="3302"/>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1828</v>
      </c>
      <c r="B103" s="385" t="s">
        <v>439</v>
      </c>
      <c r="C103" s="388">
        <f ca="1">ROUND(D63/(1+'数据-取费表'!C42),0)</f>
        <v>5725</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1834</v>
      </c>
      <c r="B104" s="351" t="s">
        <v>440</v>
      </c>
      <c r="C104" s="388">
        <f ca="1">IF(H106="仅含出让金",C105+C108+C109+C110+C111+C112,C105+C109+C110+C111+C112)</f>
        <v>719</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1835</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1836</v>
      </c>
      <c r="B106" s="379" t="s">
        <v>456</v>
      </c>
      <c r="C106" s="419">
        <v>555</v>
      </c>
      <c r="D106" s="409"/>
      <c r="E106" s="420" t="s">
        <v>457</v>
      </c>
      <c r="F106" s="989"/>
      <c r="G106" s="421" t="s">
        <v>458</v>
      </c>
      <c r="H106" s="422" t="s">
        <v>2445</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1843</v>
      </c>
      <c r="B109" s="379" t="s">
        <v>461</v>
      </c>
      <c r="C109" s="408">
        <f>IF(H109="——",IF(F1="现房",'剩余法-现房'!C18,'剩余法-待开发'!C18),I109)</f>
        <v>55</v>
      </c>
      <c r="D109" s="409"/>
      <c r="E109" s="3295" t="s">
        <v>462</v>
      </c>
      <c r="F109" s="3293"/>
      <c r="G109" s="3293"/>
      <c r="H109" s="1946" t="s">
        <v>2285</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1844</v>
      </c>
      <c r="B110" s="379" t="s">
        <v>463</v>
      </c>
      <c r="C110" s="408">
        <f>ROUND((C105+C108+C109)*D110,0)</f>
        <v>63</v>
      </c>
      <c r="D110" s="409">
        <v>0.1</v>
      </c>
      <c r="E110" s="3295" t="s">
        <v>464</v>
      </c>
      <c r="F110" s="3293"/>
      <c r="G110" s="3293"/>
      <c r="H110" s="3294"/>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1845</v>
      </c>
      <c r="B111" s="379" t="s">
        <v>450</v>
      </c>
      <c r="C111" s="408">
        <f ca="1">ROUND(D63*D111/(1+'数据-取费表'!C42),0)</f>
        <v>29</v>
      </c>
      <c r="D111" s="409">
        <f>'数据-取费表'!B43</f>
        <v>5.000000000000001E-3</v>
      </c>
      <c r="E111" s="3292" t="s">
        <v>2434</v>
      </c>
      <c r="F111" s="3293"/>
      <c r="G111" s="3293"/>
      <c r="H111" s="3294"/>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1846</v>
      </c>
      <c r="B112" s="379" t="s">
        <v>465</v>
      </c>
      <c r="C112" s="408">
        <f>ROUND(C108*D112,0)</f>
        <v>0</v>
      </c>
      <c r="D112" s="409">
        <v>0.2</v>
      </c>
      <c r="E112" s="3295" t="s">
        <v>2459</v>
      </c>
      <c r="F112" s="3293"/>
      <c r="G112" s="3293"/>
      <c r="H112" s="3294"/>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1840</v>
      </c>
      <c r="B113" s="385" t="s">
        <v>451</v>
      </c>
      <c r="C113" s="388">
        <f ca="1">ROUND(C103-C104,0)</f>
        <v>5006</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1841</v>
      </c>
      <c r="B114" s="385" t="s">
        <v>452</v>
      </c>
      <c r="C114" s="410">
        <f ca="1">IF(C113&lt;=0,0,C113/C104)</f>
        <v>6.9624478442280946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1842</v>
      </c>
      <c r="B115" s="390" t="s">
        <v>453</v>
      </c>
      <c r="C115" s="411">
        <f ca="1">ROUND(IF(C113&lt;=0,0,IF(C114&gt;=200%,C113*60%-C104*35%,IF(C114&gt;=100%,C113*50%-C104*15%,IF(C114&gt;=50%,C113*40%-C104*5%,IF(C114&lt;50%,C113*30%,0))))),0)</f>
        <v>2752</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5">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B76:C76"/>
    <mergeCell ref="B70:C70"/>
    <mergeCell ref="B71:C71"/>
    <mergeCell ref="B72:C72"/>
    <mergeCell ref="A24:A25"/>
    <mergeCell ref="A42:B42"/>
    <mergeCell ref="A44:B44"/>
    <mergeCell ref="A46:B46"/>
    <mergeCell ref="A66:C66"/>
    <mergeCell ref="A45:B45"/>
    <mergeCell ref="A64:G64"/>
    <mergeCell ref="A43:B43"/>
    <mergeCell ref="Q35:Q37"/>
    <mergeCell ref="R35:R37"/>
    <mergeCell ref="T35:T37"/>
    <mergeCell ref="U35:U37"/>
    <mergeCell ref="A12:A13"/>
    <mergeCell ref="O35:O37"/>
    <mergeCell ref="C12:C13"/>
    <mergeCell ref="B14:B16"/>
    <mergeCell ref="C14:C16"/>
    <mergeCell ref="D14:D16"/>
    <mergeCell ref="D12:D13"/>
    <mergeCell ref="B12:B13"/>
    <mergeCell ref="N35:N37"/>
    <mergeCell ref="K35:K37"/>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F16" sqref="F16"/>
    </sheetView>
  </sheetViews>
  <sheetFormatPr defaultColWidth="12" defaultRowHeight="12"/>
  <cols>
    <col min="1" max="1" width="9.75" style="1409" customWidth="1"/>
    <col min="2" max="2" width="19.25" style="1532"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2432</v>
      </c>
      <c r="D1" s="1525">
        <f>SUM(D29:D30,D33:D39)</f>
        <v>41016</v>
      </c>
      <c r="E1" s="1411" t="s">
        <v>2433</v>
      </c>
      <c r="F1" s="2486">
        <f>'数据-汇总表'!D19</f>
        <v>41016.61</v>
      </c>
      <c r="G1" s="1406"/>
      <c r="H1" s="1406"/>
      <c r="I1" s="1406"/>
      <c r="J1" s="1406"/>
      <c r="K1" s="1406"/>
      <c r="L1" s="1887" t="s">
        <v>2244</v>
      </c>
      <c r="M1" s="1888">
        <f>SUMPRODUCT((区片价!B5:B9=I2)*(区片价!C3:F3=E2)*(区片价!C5:F9))</f>
        <v>0</v>
      </c>
      <c r="N1" s="1889">
        <f>SUMPRODUCT((因素修正幅度!B5:B9=I2)*(因素修正幅度!C3:F3=E2)*(因素修正幅度!C5:F9))</f>
        <v>0</v>
      </c>
      <c r="O1" s="2198"/>
      <c r="P1" s="2198"/>
      <c r="Q1" s="2198"/>
      <c r="R1" s="2974" t="s">
        <v>2772</v>
      </c>
      <c r="S1" s="2974" t="s">
        <v>2773</v>
      </c>
      <c r="T1" s="2974" t="s">
        <v>2794</v>
      </c>
      <c r="U1" s="2974" t="s">
        <v>2795</v>
      </c>
      <c r="V1" s="2974" t="s">
        <v>2796</v>
      </c>
      <c r="W1" s="2198"/>
      <c r="X1" s="2198"/>
      <c r="Y1" s="2198"/>
      <c r="Z1" s="2198"/>
      <c r="AA1" s="2198"/>
      <c r="AB1" s="2198"/>
      <c r="AC1" s="2199"/>
    </row>
    <row r="2" spans="1:39" ht="15.75">
      <c r="A2" s="1411" t="s">
        <v>923</v>
      </c>
      <c r="B2" s="1041">
        <f ca="1">C26</f>
        <v>3195</v>
      </c>
      <c r="C2" s="1412" t="s">
        <v>924</v>
      </c>
      <c r="D2" s="1413" t="s">
        <v>925</v>
      </c>
      <c r="E2" s="1414" t="s">
        <v>985</v>
      </c>
      <c r="F2" s="1413" t="s">
        <v>927</v>
      </c>
      <c r="G2" s="1656" t="str">
        <f>IF(E2="商业",项目基本情况!B43,IF(E2="办公",项目基本情况!C43,IF(E2="住宅",项目基本情况!D43,项目基本情况!E43)))</f>
        <v>十级</v>
      </c>
      <c r="H2" s="1413" t="s">
        <v>929</v>
      </c>
      <c r="I2" s="1657" t="str">
        <f>IF(E2="商业",项目基本情况!B44,IF(E2="办公",项目基本情况!C44,IF(E2="住宅",项目基本情况!D44,项目基本情况!E44)))</f>
        <v>Ⅹ-平1</v>
      </c>
      <c r="J2" s="1415"/>
      <c r="K2" s="1406"/>
      <c r="L2" s="1890" t="s">
        <v>2245</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1.9419999999999999</v>
      </c>
      <c r="T2" s="2975">
        <f ca="1">ROUND($C$5*$C$18*$C$19*$C$20*S2*$C$24,0)</f>
        <v>1513</v>
      </c>
      <c r="U2" s="2964"/>
      <c r="V2" s="2975">
        <f ca="1">ROUND(T2*U2/10000,0)</f>
        <v>0</v>
      </c>
      <c r="W2" s="2198"/>
      <c r="X2" s="2198"/>
      <c r="Y2" s="2198"/>
      <c r="Z2" s="2198"/>
      <c r="AA2" s="2198"/>
      <c r="AB2" s="2198"/>
      <c r="AC2" s="2199"/>
    </row>
    <row r="3" spans="1:39" ht="15.75">
      <c r="A3" s="1416" t="s">
        <v>1691</v>
      </c>
      <c r="B3" s="1041">
        <f ca="1">ROUND(B2*10000/D1,0)</f>
        <v>779</v>
      </c>
      <c r="C3" s="1412" t="s">
        <v>930</v>
      </c>
      <c r="D3" s="1413" t="s">
        <v>931</v>
      </c>
      <c r="E3" s="1417" t="s">
        <v>2980</v>
      </c>
      <c r="F3" s="1418" t="s">
        <v>2945</v>
      </c>
      <c r="G3" s="1042">
        <f>IF(F3="宗地容积率",'数据-汇总表'!I4,IF(F3="估价对象容积率",'数据-汇总表'!I6,'数据-汇总表'!I7))</f>
        <v>1</v>
      </c>
      <c r="H3" s="1419" t="s">
        <v>932</v>
      </c>
      <c r="I3" s="1043"/>
      <c r="J3" s="1415" t="s">
        <v>933</v>
      </c>
      <c r="K3" s="1406"/>
      <c r="L3" s="1890" t="s">
        <v>2246</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1.2799</v>
      </c>
      <c r="T3" s="2975">
        <f t="shared" ref="T3:T16" ca="1" si="0">ROUND($C$5*$C$18*$C$19*$C$20*S3*$C$24,0)</f>
        <v>997</v>
      </c>
      <c r="U3" s="2964"/>
      <c r="V3" s="2975">
        <f t="shared" ref="V3:V16" ca="1" si="1">ROUND(T3*U3/10000,0)</f>
        <v>0</v>
      </c>
      <c r="W3" s="2198"/>
      <c r="X3" s="2198"/>
      <c r="Y3" s="2198"/>
      <c r="Z3" s="2198"/>
      <c r="AA3" s="2198"/>
      <c r="AB3" s="2198"/>
      <c r="AC3" s="2199"/>
    </row>
    <row r="4" spans="1:39" ht="28.5">
      <c r="A4" s="1896" t="s">
        <v>2286</v>
      </c>
      <c r="B4" s="2487">
        <f ca="1">ROUND(B2*10000/F1,0)</f>
        <v>779</v>
      </c>
      <c r="C4" s="1899" t="s">
        <v>2260</v>
      </c>
      <c r="D4" s="1899">
        <f ca="1">ROUND(B2/(F1/666.67),0)</f>
        <v>52</v>
      </c>
      <c r="E4" s="1899" t="s">
        <v>2261</v>
      </c>
      <c r="F4" s="1897"/>
      <c r="G4" s="1897"/>
      <c r="H4" s="1897"/>
      <c r="I4" s="1897"/>
      <c r="J4" s="1898"/>
      <c r="K4" s="1406"/>
      <c r="L4" s="1890" t="s">
        <v>2247</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1.0072000000000001</v>
      </c>
      <c r="T4" s="2975">
        <f t="shared" ca="1" si="0"/>
        <v>785</v>
      </c>
      <c r="U4" s="2964"/>
      <c r="V4" s="2975">
        <f t="shared" ca="1" si="1"/>
        <v>0</v>
      </c>
      <c r="W4" s="2198"/>
      <c r="X4" s="2198"/>
      <c r="Y4" s="2198"/>
      <c r="Z4" s="2198"/>
      <c r="AA4" s="2198"/>
      <c r="AB4" s="2198"/>
      <c r="AC4" s="2199"/>
    </row>
    <row r="5" spans="1:39" s="1426" customFormat="1" ht="15.75" thickBot="1">
      <c r="A5" s="1642" t="s">
        <v>1828</v>
      </c>
      <c r="B5" s="1420" t="s">
        <v>934</v>
      </c>
      <c r="C5" s="1044">
        <f>ROUND(IF(E2="商业",IF(F16="增加",C6*C7+C16,C6*C7-C16),IF(E2="住宅",IF(F16="增加",C6*C12+C16,C6*C12-C16),IF(F16="增加",C6+C16,C6-C16))),0)</f>
        <v>630</v>
      </c>
      <c r="D5" s="3161">
        <f>ROUND(IF(E2="商业",IF(F16="增加",C6+C16,C6-C16)),0)</f>
        <v>0</v>
      </c>
      <c r="E5" s="1421"/>
      <c r="F5" s="1421"/>
      <c r="G5" s="1422"/>
      <c r="H5" s="1422"/>
      <c r="I5" s="1422"/>
      <c r="J5" s="1423"/>
      <c r="K5" s="1598"/>
      <c r="L5" s="1890" t="s">
        <v>2248</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0.75249999999999995</v>
      </c>
      <c r="T5" s="2975">
        <f t="shared" ca="1" si="0"/>
        <v>586</v>
      </c>
      <c r="U5" s="2964"/>
      <c r="V5" s="2975">
        <f t="shared" ca="1" si="1"/>
        <v>0</v>
      </c>
      <c r="W5" s="2198"/>
      <c r="X5" s="2198"/>
      <c r="Y5" s="2198"/>
      <c r="Z5" s="2198"/>
      <c r="AA5" s="2198"/>
      <c r="AB5" s="2198"/>
      <c r="AC5" s="2200"/>
      <c r="AD5" s="1424"/>
      <c r="AE5" s="1424"/>
      <c r="AF5" s="1424"/>
      <c r="AG5" s="1424"/>
      <c r="AH5" s="1424"/>
      <c r="AI5" s="1424"/>
      <c r="AJ5" s="1425"/>
      <c r="AK5" s="1425"/>
      <c r="AL5" s="1425"/>
      <c r="AM5" s="1425"/>
    </row>
    <row r="6" spans="1:39" ht="15.75" thickBot="1">
      <c r="A6" s="1643" t="s">
        <v>1875</v>
      </c>
      <c r="B6" s="1427" t="s">
        <v>934</v>
      </c>
      <c r="C6" s="1045">
        <f>SUMIF(L1:L12,基准地价!G2,M1:M12)</f>
        <v>560</v>
      </c>
      <c r="D6" s="1428" t="s">
        <v>1699</v>
      </c>
      <c r="E6" s="1429"/>
      <c r="F6" s="1429"/>
      <c r="G6" s="1430"/>
      <c r="H6" s="1430"/>
      <c r="I6" s="1430"/>
      <c r="J6" s="1431"/>
      <c r="K6" s="1599"/>
      <c r="L6" s="1890" t="s">
        <v>2249</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0.56589999999999996</v>
      </c>
      <c r="T6" s="2975">
        <f t="shared" ca="1" si="0"/>
        <v>441</v>
      </c>
      <c r="U6" s="2964"/>
      <c r="V6" s="2975">
        <f t="shared" ca="1" si="1"/>
        <v>0</v>
      </c>
      <c r="W6" s="2198"/>
      <c r="X6" s="2198"/>
      <c r="Y6" s="2198"/>
      <c r="Z6" s="2198"/>
      <c r="AA6" s="2198"/>
      <c r="AB6" s="2198"/>
      <c r="AC6" s="2200"/>
      <c r="AD6" s="1424"/>
      <c r="AE6" s="1424"/>
      <c r="AF6" s="1424"/>
      <c r="AG6" s="1424"/>
      <c r="AH6" s="1424"/>
      <c r="AI6" s="1424"/>
      <c r="AJ6" s="1425"/>
    </row>
    <row r="7" spans="1:39" ht="24">
      <c r="A7" s="3346" t="str">
        <f>IF(E2="商业",IF(C8="不临58条商业街","",2),"")</f>
        <v/>
      </c>
      <c r="B7" s="1432" t="s">
        <v>935</v>
      </c>
      <c r="C7" s="1046">
        <f>IF(C8="不临58条商业街",1,ROUND(1+(1.6*E8+1.2*E9+0.8*E10+0.4*E11)*C9,4))</f>
        <v>1</v>
      </c>
      <c r="D7" s="1433" t="s">
        <v>936</v>
      </c>
      <c r="E7" s="1047"/>
      <c r="F7" s="1434"/>
      <c r="G7" s="1435"/>
      <c r="H7" s="1435"/>
      <c r="I7" s="1435"/>
      <c r="J7" s="1436"/>
      <c r="K7" s="1599"/>
      <c r="L7" s="1890" t="s">
        <v>2250</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0.45250000000000001</v>
      </c>
      <c r="T7" s="2975">
        <f t="shared" ca="1" si="0"/>
        <v>353</v>
      </c>
      <c r="U7" s="2964"/>
      <c r="V7" s="2975">
        <f t="shared" ca="1" si="1"/>
        <v>0</v>
      </c>
      <c r="W7" s="2973" t="s">
        <v>2775</v>
      </c>
      <c r="X7" s="2965" t="str">
        <f>G2</f>
        <v>十级</v>
      </c>
      <c r="Y7" s="2965" t="s">
        <v>2776</v>
      </c>
      <c r="Z7" s="2966">
        <f>G3</f>
        <v>1</v>
      </c>
      <c r="AA7" s="2201"/>
      <c r="AB7" s="2201"/>
      <c r="AC7" s="2202"/>
      <c r="AD7" s="2967"/>
      <c r="AE7" s="2967"/>
      <c r="AF7" s="2967"/>
      <c r="AG7" s="2967"/>
      <c r="AH7" s="2967"/>
      <c r="AI7" s="2967"/>
      <c r="AJ7" s="2968"/>
    </row>
    <row r="8" spans="1:39" ht="25.5">
      <c r="A8" s="3347"/>
      <c r="B8" s="1419" t="s">
        <v>937</v>
      </c>
      <c r="C8" s="1533" t="s">
        <v>2981</v>
      </c>
      <c r="D8" s="1048" t="s">
        <v>938</v>
      </c>
      <c r="E8" s="1049" t="e">
        <f>ROUND(C11/E7,4)</f>
        <v>#DIV/0!</v>
      </c>
      <c r="F8" s="1437" t="s">
        <v>939</v>
      </c>
      <c r="G8" s="1438"/>
      <c r="H8" s="1438"/>
      <c r="I8" s="1438"/>
      <c r="J8" s="1439"/>
      <c r="K8" s="1406"/>
      <c r="L8" s="1890" t="s">
        <v>2251</v>
      </c>
      <c r="M8" s="1891">
        <f>SUMPRODUCT((区片价!B206:B244=I2)*(区片价!C3:F3=E2)*(区片价!C206:F244))</f>
        <v>0</v>
      </c>
      <c r="N8" s="1892">
        <f>SUMPRODUCT((因素修正幅度!B206:B244=I2)*(因素修正幅度!C3:F3=E2)*(因素修正幅度!C206:F244))</f>
        <v>0</v>
      </c>
      <c r="O8" s="2198"/>
      <c r="P8" s="2198"/>
      <c r="Q8" s="2198"/>
      <c r="R8" s="2975">
        <v>7</v>
      </c>
      <c r="S8" s="2964"/>
      <c r="T8" s="2975">
        <f t="shared" ca="1" si="0"/>
        <v>0</v>
      </c>
      <c r="U8" s="2964"/>
      <c r="V8" s="2975">
        <f t="shared" ca="1" si="1"/>
        <v>0</v>
      </c>
      <c r="W8" s="3338" t="s">
        <v>2793</v>
      </c>
      <c r="X8" s="3339"/>
      <c r="Y8" s="1854" t="s">
        <v>2777</v>
      </c>
      <c r="Z8" s="1854" t="s">
        <v>2778</v>
      </c>
      <c r="AA8" s="1854" t="s">
        <v>2779</v>
      </c>
      <c r="AB8" s="1854" t="s">
        <v>2780</v>
      </c>
      <c r="AC8" s="1854" t="s">
        <v>2781</v>
      </c>
      <c r="AD8" s="1854" t="s">
        <v>2782</v>
      </c>
      <c r="AE8" s="1854" t="s">
        <v>2783</v>
      </c>
      <c r="AF8" s="1854" t="s">
        <v>2784</v>
      </c>
      <c r="AG8" s="1854" t="s">
        <v>2785</v>
      </c>
      <c r="AH8" s="1854" t="s">
        <v>2786</v>
      </c>
      <c r="AI8" s="1854" t="s">
        <v>2787</v>
      </c>
      <c r="AJ8" s="1854" t="s">
        <v>2788</v>
      </c>
    </row>
    <row r="9" spans="1:39" ht="15">
      <c r="A9" s="3347"/>
      <c r="B9" s="1419" t="s">
        <v>940</v>
      </c>
      <c r="C9" s="1050">
        <f>SUMIF(修正!C59:C119,C8,修正!E59:E119)</f>
        <v>0</v>
      </c>
      <c r="D9" s="1051" t="s">
        <v>941</v>
      </c>
      <c r="E9" s="1051" t="e">
        <f>ROUND(C11/E7,4)</f>
        <v>#DIV/0!</v>
      </c>
      <c r="F9" s="1437" t="s">
        <v>942</v>
      </c>
      <c r="G9" s="1438"/>
      <c r="H9" s="1438"/>
      <c r="I9" s="1438"/>
      <c r="J9" s="1439"/>
      <c r="K9" s="1406"/>
      <c r="L9" s="1890" t="s">
        <v>2252</v>
      </c>
      <c r="M9" s="1891">
        <f>SUMPRODUCT((区片价!B245:B289=I2)*(区片价!C3:F3=E2)*(区片价!C245:F289))</f>
        <v>0</v>
      </c>
      <c r="N9" s="1892">
        <f>SUMPRODUCT((因素修正幅度!B245:B289=I2)*(因素修正幅度!C3:F3=E2)*(因素修正幅度!C245:F289))</f>
        <v>0</v>
      </c>
      <c r="O9" s="2198"/>
      <c r="P9" s="2198"/>
      <c r="Q9" s="2198"/>
      <c r="R9" s="2975">
        <v>8</v>
      </c>
      <c r="S9" s="2964"/>
      <c r="T9" s="2975">
        <f t="shared" ca="1" si="0"/>
        <v>0</v>
      </c>
      <c r="U9" s="2964"/>
      <c r="V9" s="2975">
        <f t="shared" ca="1" si="1"/>
        <v>0</v>
      </c>
      <c r="W9" s="3337" t="s">
        <v>2789</v>
      </c>
      <c r="X9" s="2969" t="s">
        <v>2790</v>
      </c>
      <c r="Y9" s="3135"/>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347"/>
      <c r="B10" s="1419" t="s">
        <v>943</v>
      </c>
      <c r="C10" s="1051">
        <f>SUMIF(修正!C59:C119,C8,修正!F59:F119)</f>
        <v>0</v>
      </c>
      <c r="D10" s="1051" t="s">
        <v>944</v>
      </c>
      <c r="E10" s="1051" t="e">
        <f>ROUND(C11/E7,4)</f>
        <v>#DIV/0!</v>
      </c>
      <c r="F10" s="1437" t="s">
        <v>945</v>
      </c>
      <c r="G10" s="1438"/>
      <c r="H10" s="1438"/>
      <c r="I10" s="1438"/>
      <c r="J10" s="1439"/>
      <c r="K10" s="1406"/>
      <c r="L10" s="1890" t="s">
        <v>2253</v>
      </c>
      <c r="M10" s="1891">
        <f>SUMPRODUCT((区片价!B290:B316=I2)*(区片价!C3:F3=E2)*(区片价!C290:F316))</f>
        <v>560</v>
      </c>
      <c r="N10" s="1892">
        <f>SUMPRODUCT((因素修正幅度!B290:B316=I2)*(因素修正幅度!C3:F3=E2)*(因素修正幅度!C290:F316))</f>
        <v>0.14000000000000001</v>
      </c>
      <c r="O10" s="2198"/>
      <c r="P10" s="2198"/>
      <c r="Q10" s="2198"/>
      <c r="R10" s="2975">
        <v>9</v>
      </c>
      <c r="S10" s="2964"/>
      <c r="T10" s="2975">
        <f t="shared" ca="1" si="0"/>
        <v>0</v>
      </c>
      <c r="U10" s="2964"/>
      <c r="V10" s="2975">
        <f t="shared" ca="1" si="1"/>
        <v>0</v>
      </c>
      <c r="W10" s="3337"/>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347"/>
      <c r="B11" s="1440" t="s">
        <v>946</v>
      </c>
      <c r="C11" s="1052">
        <f>C10/4</f>
        <v>0</v>
      </c>
      <c r="D11" s="1052" t="s">
        <v>947</v>
      </c>
      <c r="E11" s="1052" t="e">
        <f>ROUND(C11/E7,4)</f>
        <v>#DIV/0!</v>
      </c>
      <c r="F11" s="1441" t="s">
        <v>948</v>
      </c>
      <c r="G11" s="1442"/>
      <c r="H11" s="1442"/>
      <c r="I11" s="1442"/>
      <c r="J11" s="1443"/>
      <c r="K11" s="1406"/>
      <c r="L11" s="1890" t="s">
        <v>2254</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f t="shared" ca="1" si="0"/>
        <v>0</v>
      </c>
      <c r="U11" s="2964"/>
      <c r="V11" s="2975">
        <f t="shared" ca="1" si="1"/>
        <v>0</v>
      </c>
      <c r="W11" s="3337" t="s">
        <v>2791</v>
      </c>
      <c r="X11" s="1051" t="s">
        <v>2776</v>
      </c>
      <c r="Y11" s="1657">
        <f>$G$3</f>
        <v>1</v>
      </c>
      <c r="Z11" s="1657">
        <f t="shared" ref="Z11:AJ11" si="3">$G$3</f>
        <v>1</v>
      </c>
      <c r="AA11" s="1657">
        <f t="shared" si="3"/>
        <v>1</v>
      </c>
      <c r="AB11" s="1657">
        <f t="shared" si="3"/>
        <v>1</v>
      </c>
      <c r="AC11" s="1657">
        <f t="shared" si="3"/>
        <v>1</v>
      </c>
      <c r="AD11" s="1657">
        <f t="shared" si="3"/>
        <v>1</v>
      </c>
      <c r="AE11" s="1657">
        <f t="shared" si="3"/>
        <v>1</v>
      </c>
      <c r="AF11" s="1657">
        <f t="shared" si="3"/>
        <v>1</v>
      </c>
      <c r="AG11" s="1657">
        <f t="shared" si="3"/>
        <v>1</v>
      </c>
      <c r="AH11" s="1657">
        <f t="shared" si="3"/>
        <v>1</v>
      </c>
      <c r="AI11" s="1657">
        <f t="shared" si="3"/>
        <v>1</v>
      </c>
      <c r="AJ11" s="1657">
        <f t="shared" si="3"/>
        <v>1</v>
      </c>
    </row>
    <row r="12" spans="1:39" ht="25.5" thickBot="1">
      <c r="A12" s="3346" t="s">
        <v>1876</v>
      </c>
      <c r="B12" s="1444" t="s">
        <v>949</v>
      </c>
      <c r="C12" s="1046">
        <f>ROUND(C15*D15*E15*F15*G15*H15*I15*J15,4)</f>
        <v>1</v>
      </c>
      <c r="D12" s="1445" t="s">
        <v>950</v>
      </c>
      <c r="E12" s="1446"/>
      <c r="F12" s="1446"/>
      <c r="G12" s="1447"/>
      <c r="H12" s="1447"/>
      <c r="I12" s="1447"/>
      <c r="J12" s="1448"/>
      <c r="K12" s="1406"/>
      <c r="L12" s="1893" t="s">
        <v>2255</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f t="shared" ca="1" si="0"/>
        <v>0</v>
      </c>
      <c r="U12" s="2964"/>
      <c r="V12" s="2975">
        <f t="shared" ca="1" si="1"/>
        <v>0</v>
      </c>
      <c r="W12" s="3337"/>
      <c r="X12" s="2972" t="s">
        <v>2792</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348"/>
      <c r="B13" s="1449" t="s">
        <v>1700</v>
      </c>
      <c r="C13" s="1450" t="s">
        <v>1701</v>
      </c>
      <c r="D13" s="1092" t="s">
        <v>1702</v>
      </c>
      <c r="E13" s="1092" t="s">
        <v>1703</v>
      </c>
      <c r="F13" s="1451" t="s">
        <v>951</v>
      </c>
      <c r="G13" s="1452" t="s">
        <v>1646</v>
      </c>
      <c r="H13" s="1453" t="s">
        <v>1646</v>
      </c>
      <c r="I13" s="1454" t="s">
        <v>1646</v>
      </c>
      <c r="J13" s="1455" t="s">
        <v>1646</v>
      </c>
      <c r="K13" s="1406"/>
      <c r="L13" s="2198"/>
      <c r="M13" s="2198"/>
      <c r="N13" s="2198"/>
      <c r="O13" s="2198"/>
      <c r="P13" s="2198"/>
      <c r="Q13" s="2198"/>
      <c r="R13" s="2975">
        <v>12</v>
      </c>
      <c r="S13" s="2964"/>
      <c r="T13" s="2975">
        <f t="shared" ca="1" si="0"/>
        <v>0</v>
      </c>
      <c r="U13" s="2964"/>
      <c r="V13" s="2975">
        <f t="shared" ca="1" si="1"/>
        <v>0</v>
      </c>
      <c r="W13" s="3337"/>
      <c r="X13" s="2972"/>
      <c r="Y13" s="2971">
        <f>(-0.163*(Y12^2)-0.59*Y12+7617)*(10^(-4))/Y11</f>
        <v>0.76170000000000004</v>
      </c>
      <c r="Z13" s="2971">
        <f t="shared" ref="Z13:AJ13" si="5">(-0.163*(Z12^2)-0.59*Z12+7617)*(10^(-4))/Z11</f>
        <v>0.76170000000000004</v>
      </c>
      <c r="AA13" s="2971">
        <f t="shared" si="5"/>
        <v>0.76170000000000004</v>
      </c>
      <c r="AB13" s="2971">
        <f t="shared" si="5"/>
        <v>0.76170000000000004</v>
      </c>
      <c r="AC13" s="2971">
        <f t="shared" si="5"/>
        <v>0.76170000000000004</v>
      </c>
      <c r="AD13" s="2971">
        <f t="shared" si="5"/>
        <v>0.76170000000000004</v>
      </c>
      <c r="AE13" s="2971">
        <f t="shared" si="5"/>
        <v>0.76170000000000004</v>
      </c>
      <c r="AF13" s="2971">
        <f t="shared" si="5"/>
        <v>0.76170000000000004</v>
      </c>
      <c r="AG13" s="2971">
        <f t="shared" si="5"/>
        <v>0.76170000000000004</v>
      </c>
      <c r="AH13" s="2971">
        <f t="shared" si="5"/>
        <v>0.76170000000000004</v>
      </c>
      <c r="AI13" s="2971">
        <f t="shared" si="5"/>
        <v>0.76170000000000004</v>
      </c>
      <c r="AJ13" s="2971">
        <f t="shared" si="5"/>
        <v>0.76170000000000004</v>
      </c>
    </row>
    <row r="14" spans="1:39" ht="12.75" customHeight="1" thickBot="1">
      <c r="A14" s="3348"/>
      <c r="B14" s="1456"/>
      <c r="C14" s="1457"/>
      <c r="D14" s="1458"/>
      <c r="E14" s="1458"/>
      <c r="F14" s="1459"/>
      <c r="G14" s="1460" t="s">
        <v>952</v>
      </c>
      <c r="H14" s="1461"/>
      <c r="I14" s="1462"/>
      <c r="J14" s="1463"/>
      <c r="K14" s="1406"/>
      <c r="L14" s="2198"/>
      <c r="M14" s="2198"/>
      <c r="N14" s="2198"/>
      <c r="O14" s="2198"/>
      <c r="P14" s="2198"/>
      <c r="Q14" s="2198"/>
      <c r="R14" s="2975">
        <v>13</v>
      </c>
      <c r="S14" s="2964"/>
      <c r="T14" s="2975">
        <f t="shared" ca="1" si="0"/>
        <v>0</v>
      </c>
      <c r="U14" s="2964"/>
      <c r="V14" s="2975">
        <f t="shared" ca="1" si="1"/>
        <v>0</v>
      </c>
      <c r="W14" s="2198"/>
      <c r="X14" s="2198"/>
      <c r="Y14" s="2198"/>
      <c r="Z14" s="2198"/>
      <c r="AA14" s="2198"/>
      <c r="AB14" s="2198"/>
      <c r="AC14" s="2199"/>
    </row>
    <row r="15" spans="1:39" ht="13.5" customHeight="1" thickBot="1">
      <c r="A15" s="3349"/>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2" t="s">
        <v>901</v>
      </c>
      <c r="M15" s="1433" t="s">
        <v>987</v>
      </c>
      <c r="N15" s="1433" t="s">
        <v>988</v>
      </c>
      <c r="O15" s="1433" t="s">
        <v>905</v>
      </c>
      <c r="P15" s="1480" t="s">
        <v>989</v>
      </c>
      <c r="Q15" s="2198"/>
      <c r="R15" s="2975">
        <v>14</v>
      </c>
      <c r="S15" s="2964"/>
      <c r="T15" s="2975">
        <f t="shared" ca="1" si="0"/>
        <v>0</v>
      </c>
      <c r="U15" s="2964"/>
      <c r="V15" s="2975">
        <f t="shared" ca="1" si="1"/>
        <v>0</v>
      </c>
      <c r="W15" s="2198"/>
      <c r="X15" s="2198"/>
      <c r="Y15" s="2198"/>
      <c r="Z15" s="2198"/>
      <c r="AA15" s="2198"/>
      <c r="AB15" s="2198"/>
      <c r="AC15" s="2199"/>
    </row>
    <row r="16" spans="1:39" ht="24">
      <c r="A16" s="3346" t="s">
        <v>1843</v>
      </c>
      <c r="B16" s="1432" t="s">
        <v>953</v>
      </c>
      <c r="C16" s="1057">
        <f>ROUND(SUM(G17:J17)/C17,0)</f>
        <v>70</v>
      </c>
      <c r="D16" s="1465" t="s">
        <v>954</v>
      </c>
      <c r="E16" s="3464" t="s">
        <v>3021</v>
      </c>
      <c r="F16" s="1466" t="s">
        <v>3022</v>
      </c>
      <c r="G16" s="1467" t="s">
        <v>2982</v>
      </c>
      <c r="H16" s="1467" t="s">
        <v>2983</v>
      </c>
      <c r="I16" s="1467"/>
      <c r="J16" s="1467"/>
      <c r="K16" s="1406"/>
      <c r="L16" s="1468" t="s">
        <v>991</v>
      </c>
      <c r="M16" s="1050">
        <v>0.25</v>
      </c>
      <c r="N16" s="1050">
        <v>0.2</v>
      </c>
      <c r="O16" s="1050">
        <v>0.15</v>
      </c>
      <c r="P16" s="1543">
        <v>0.1</v>
      </c>
      <c r="Q16" s="2201"/>
      <c r="R16" s="2975">
        <v>15</v>
      </c>
      <c r="S16" s="2964"/>
      <c r="T16" s="2975">
        <f t="shared" ca="1" si="0"/>
        <v>0</v>
      </c>
      <c r="U16" s="2964"/>
      <c r="V16" s="2975">
        <f t="shared" ca="1" si="1"/>
        <v>0</v>
      </c>
      <c r="W16" s="2201"/>
      <c r="X16" s="2201"/>
      <c r="Y16" s="2201"/>
      <c r="Z16" s="2201"/>
      <c r="AA16" s="2201"/>
      <c r="AB16" s="2201"/>
      <c r="AC16" s="2202"/>
    </row>
    <row r="17" spans="1:40" ht="13.5" thickBot="1">
      <c r="A17" s="3347"/>
      <c r="B17" s="1469" t="s">
        <v>956</v>
      </c>
      <c r="C17" s="1058">
        <f>SUMPRODUCT((修正!A2:A5=E2)*(修正!B1:M1=G2)*(修正!B2:M5))</f>
        <v>1</v>
      </c>
      <c r="D17" s="1471" t="s">
        <v>957</v>
      </c>
      <c r="E17" s="1472" t="str">
        <f>IF(OR(G2="八级",G2="九级",G2="十级",G2="十一级",G2="十二级"),"五通一平","七通一平")</f>
        <v>五通一平</v>
      </c>
      <c r="F17" s="1470" t="s">
        <v>958</v>
      </c>
      <c r="G17" s="1058">
        <f>SUMPRODUCT((七通一平=G16)*(修正!B1:M1=G2)*(修正!B6:M14))</f>
        <v>40</v>
      </c>
      <c r="H17" s="1058">
        <f>SUMPRODUCT((七通一平=H16)*(修正!B1:M1=G2)*(修正!B6:M14))</f>
        <v>30</v>
      </c>
      <c r="I17" s="1058">
        <f>SUMPRODUCT((七通一平=I16)*(修正!B1:M1=G2)*(修正!B6:M14))</f>
        <v>0</v>
      </c>
      <c r="J17" s="1059">
        <f>SUMPRODUCT((七通一平=J16)*(修正!B1:M1=G2)*(修正!B6:M14))</f>
        <v>0</v>
      </c>
      <c r="K17" s="1406"/>
      <c r="L17" s="1473" t="s">
        <v>977</v>
      </c>
      <c r="M17" s="1544">
        <f ca="1">ROUND($E$20*(1+M16),3)</f>
        <v>5.3999999999999999E-2</v>
      </c>
      <c r="N17" s="1544">
        <f ca="1">ROUND($E$20*(1+N16),3)</f>
        <v>5.1999999999999998E-2</v>
      </c>
      <c r="O17" s="1544">
        <f ca="1">ROUND($E$20*(1+O16),3)</f>
        <v>0.05</v>
      </c>
      <c r="P17" s="1545">
        <f ca="1">ROUND($E$20*(1+P16),3)</f>
        <v>4.8000000000000001E-2</v>
      </c>
      <c r="Q17" s="2201"/>
      <c r="R17" s="2202"/>
      <c r="S17" s="2202"/>
      <c r="T17" s="2202"/>
      <c r="U17" s="2202"/>
      <c r="V17" s="2202"/>
      <c r="W17" s="2201"/>
      <c r="X17" s="2201"/>
      <c r="Y17" s="2201"/>
      <c r="Z17" s="2201"/>
      <c r="AA17" s="2201"/>
      <c r="AB17" s="2201"/>
      <c r="AC17" s="2202"/>
      <c r="AH17" s="1407"/>
      <c r="AI17" s="1407"/>
      <c r="AJ17" s="1410"/>
      <c r="AK17" s="1410"/>
      <c r="AL17" s="1410"/>
      <c r="AM17" s="1410"/>
    </row>
    <row r="18" spans="1:40" s="1426" customFormat="1" ht="15.75" thickBot="1">
      <c r="A18" s="1645" t="s">
        <v>1834</v>
      </c>
      <c r="B18" s="2810" t="s">
        <v>959</v>
      </c>
      <c r="C18" s="2811">
        <f>SUMIF(修正!C18:C39,E3,修正!E18:E39)</f>
        <v>1</v>
      </c>
      <c r="D18" s="2812"/>
      <c r="E18" s="2813"/>
      <c r="F18" s="2814"/>
      <c r="G18" s="2808"/>
      <c r="H18" s="2808"/>
      <c r="I18" s="2808"/>
      <c r="J18" s="2815"/>
      <c r="K18" s="1485"/>
      <c r="L18" s="1485"/>
      <c r="M18" s="1485"/>
      <c r="N18" s="1485"/>
      <c r="O18" s="1601"/>
      <c r="P18" s="1601"/>
      <c r="Q18" s="2203"/>
      <c r="R18" s="2203"/>
      <c r="S18" s="2203"/>
      <c r="T18" s="2203"/>
      <c r="U18" s="2203"/>
      <c r="V18" s="2203"/>
      <c r="W18" s="2202"/>
      <c r="X18" s="2202"/>
      <c r="Y18" s="2202"/>
      <c r="Z18" s="2202"/>
      <c r="AA18" s="2201"/>
      <c r="AB18" s="2201"/>
      <c r="AC18" s="2204"/>
      <c r="AD18" s="1476"/>
      <c r="AE18" s="1476"/>
      <c r="AF18" s="1476"/>
      <c r="AG18" s="1476"/>
      <c r="AH18" s="1408"/>
      <c r="AI18" s="1408"/>
      <c r="AJ18" s="1409"/>
      <c r="AK18" s="1409"/>
      <c r="AL18" s="1409"/>
    </row>
    <row r="19" spans="1:40" s="1426" customFormat="1" ht="27.75" thickBot="1">
      <c r="A19" s="1644" t="s">
        <v>1840</v>
      </c>
      <c r="B19" s="1474" t="s">
        <v>960</v>
      </c>
      <c r="C19" s="1060">
        <f>ROUND(IF(H19="按公示增长率计算",SUMPRODUCT((地价!A3:A19=YEAR(G19)&amp;"-"&amp;ROUNDUP(MONTH(G19)/3,0))*(地价!X2:AB2=E2)*(地价!X3:AB19)),IF(H19="地价指数",M20/M19,(1+I19)^O19)),4)</f>
        <v>1.2130000000000001</v>
      </c>
      <c r="D19" s="1478" t="s">
        <v>961</v>
      </c>
      <c r="E19" s="1061">
        <v>41640</v>
      </c>
      <c r="F19" s="1478" t="s">
        <v>962</v>
      </c>
      <c r="G19" s="1062">
        <f>'数据-取费表'!B2</f>
        <v>43005</v>
      </c>
      <c r="H19" s="1479" t="s">
        <v>2946</v>
      </c>
      <c r="I19" s="2822" t="str">
        <f>IF(H19="季度增幅（自定义）",SUMIF(N21:N24,E2,O21:O24),"")</f>
        <v/>
      </c>
      <c r="J19" s="1475"/>
      <c r="K19" s="1485"/>
      <c r="L19" s="3078" t="s">
        <v>2851</v>
      </c>
      <c r="M19" s="3079">
        <f>ROUND(SUMIF(地价!B2:F2,E2,地价!B19:F19),0)</f>
        <v>230</v>
      </c>
      <c r="N19" s="2824" t="s">
        <v>1680</v>
      </c>
      <c r="O19" s="2823">
        <f>ROUNDDOWN(DATEDIF(E19,G19,"M")/3,0)</f>
        <v>14</v>
      </c>
      <c r="P19" s="1600"/>
      <c r="R19" s="2963"/>
      <c r="S19" s="2963"/>
      <c r="T19" s="2963"/>
      <c r="U19" s="2963"/>
      <c r="V19" s="2963"/>
      <c r="W19" s="2204"/>
      <c r="X19" s="2204"/>
      <c r="Y19" s="2204"/>
      <c r="Z19" s="2204"/>
      <c r="AA19" s="2204"/>
      <c r="AB19" s="2204"/>
      <c r="AC19" s="2204"/>
      <c r="AD19" s="1408"/>
      <c r="AE19" s="1408"/>
      <c r="AF19" s="1408"/>
      <c r="AG19" s="1408"/>
      <c r="AH19" s="1476"/>
      <c r="AI19" s="1477"/>
      <c r="AJ19" s="1481"/>
      <c r="AK19" s="1409"/>
      <c r="AL19" s="1425"/>
      <c r="AM19" s="1425"/>
      <c r="AN19" s="1425"/>
    </row>
    <row r="20" spans="1:40" s="1426" customFormat="1" ht="27.75" thickBot="1">
      <c r="A20" s="2816" t="s">
        <v>1841</v>
      </c>
      <c r="B20" s="2817" t="s">
        <v>975</v>
      </c>
      <c r="C20" s="2818">
        <f ca="1">ROUND(POWER(1+G20,J20-I20)*(POWER(1+G20,I20)-1)/(POWER(1+G20,J20)-1),4)</f>
        <v>0.99390000000000001</v>
      </c>
      <c r="D20" s="2819" t="s">
        <v>976</v>
      </c>
      <c r="E20" s="3132">
        <f ca="1">存贷款利率!I4/100</f>
        <v>4.3499999999999997E-2</v>
      </c>
      <c r="F20" s="2819" t="s">
        <v>977</v>
      </c>
      <c r="G20" s="2820">
        <f ca="1">SUMIF(M15:P15,E2,M17:P17)</f>
        <v>4.8000000000000001E-2</v>
      </c>
      <c r="H20" s="2819" t="s">
        <v>978</v>
      </c>
      <c r="I20" s="2809">
        <f>SUMIF('数据-取费表'!C6:C15,E2,'数据-取费表'!F6:F15)/COUNTIF('数据-取费表'!C6:C15,E2)</f>
        <v>48.8</v>
      </c>
      <c r="J20" s="2821">
        <f>IF(E2="住宅",70,IF(E2="商业",40,50))</f>
        <v>50</v>
      </c>
      <c r="K20" s="1485"/>
      <c r="L20" s="3080" t="s">
        <v>2852</v>
      </c>
      <c r="M20" s="3081">
        <f>ROUND(SUMPRODUCT((地价!A4:A19=YEAR(G19)&amp;"-"&amp;ROUNDUP(MONTH(G19)/3,0))*(地价!B2:F2=E2)*(地价!B4:F19)),0)</f>
        <v>279</v>
      </c>
      <c r="N20" s="2827" t="s">
        <v>2656</v>
      </c>
      <c r="O20" s="2825" t="s">
        <v>2655</v>
      </c>
      <c r="P20" s="2826" t="s">
        <v>2661</v>
      </c>
      <c r="R20" s="2963"/>
      <c r="S20" s="2963"/>
      <c r="T20" s="2963"/>
      <c r="U20" s="2963"/>
      <c r="V20" s="2963"/>
      <c r="W20" s="2204"/>
      <c r="X20" s="2204"/>
      <c r="Y20" s="2204"/>
      <c r="Z20" s="2204"/>
      <c r="AA20" s="2204"/>
      <c r="AB20" s="2204"/>
      <c r="AC20" s="2204"/>
      <c r="AD20" s="1476"/>
      <c r="AE20" s="1476"/>
      <c r="AF20" s="1476"/>
      <c r="AG20" s="1476"/>
      <c r="AH20" s="1476"/>
      <c r="AI20" s="1476"/>
    </row>
    <row r="21" spans="1:40" s="1426" customFormat="1" ht="14.25">
      <c r="A21" s="1646" t="s">
        <v>1842</v>
      </c>
      <c r="B21" s="1484" t="s">
        <v>2984</v>
      </c>
      <c r="C21" s="1161">
        <f>IF(B21="容积率修正",IF(G3&lt;=10,D22,J22),C23)</f>
        <v>1</v>
      </c>
      <c r="D21" s="1485"/>
      <c r="E21" s="1485"/>
      <c r="F21" s="1485"/>
      <c r="G21" s="1485"/>
      <c r="H21" s="1485"/>
      <c r="I21" s="1485"/>
      <c r="J21" s="1486"/>
      <c r="K21" s="1485"/>
      <c r="L21" s="1485"/>
      <c r="M21" s="1485"/>
      <c r="N21" s="1482" t="s">
        <v>979</v>
      </c>
      <c r="O21" s="1546"/>
      <c r="P21" s="2807">
        <f>SUMPRODUCT((地价!A3:A19=YEAR(G19)&amp;"-"&amp;ROUNDUP(MONTH(G19)/3,0))*(地价!AD2:AH2=N21)*(地价!AD3:AH19))</f>
        <v>1.6E-2</v>
      </c>
      <c r="R21" s="2963"/>
      <c r="S21" s="2963"/>
      <c r="T21" s="2963"/>
      <c r="U21" s="2963"/>
      <c r="V21" s="2963"/>
      <c r="W21" s="2204"/>
      <c r="X21" s="2204"/>
      <c r="Y21" s="2204"/>
      <c r="Z21" s="2204"/>
      <c r="AA21" s="2204"/>
      <c r="AB21" s="2204"/>
      <c r="AC21" s="2204"/>
      <c r="AD21" s="1408"/>
      <c r="AE21" s="1408"/>
      <c r="AF21" s="1408"/>
      <c r="AG21" s="1408"/>
      <c r="AH21" s="1476"/>
      <c r="AI21" s="1476"/>
    </row>
    <row r="22" spans="1:40" s="1426" customFormat="1" ht="14.25">
      <c r="A22" s="1647" t="s">
        <v>1875</v>
      </c>
      <c r="B22" s="1487" t="s">
        <v>980</v>
      </c>
      <c r="C22" s="1063" t="s">
        <v>1706</v>
      </c>
      <c r="D22" s="1063">
        <f>IF(E22=G22,F22,IF(G3&lt;=10,ROUND(F22+(H22-F22)*(G3-E22)/(G22-E22),4),"——"))</f>
        <v>1</v>
      </c>
      <c r="E22" s="1042">
        <f>ROUNDDOWN(G3,1)</f>
        <v>1</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42">
        <f>ROUNDUP(G3,1)</f>
        <v>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3" t="s">
        <v>981</v>
      </c>
      <c r="J22" s="1063" t="str">
        <f>IF(G3&gt;10,D113,"——")</f>
        <v>——</v>
      </c>
      <c r="K22" s="1485"/>
      <c r="L22" s="1485"/>
      <c r="M22" s="1485"/>
      <c r="N22" s="1482" t="s">
        <v>982</v>
      </c>
      <c r="O22" s="1546"/>
      <c r="P22" s="2807">
        <f>SUMPRODUCT((地价!A3:A19=YEAR(G19)&amp;"-"&amp;ROUNDUP(MONTH(G19)/3,0))*(地价!AD2:AH2=N22)*(地价!AD3:AH19))</f>
        <v>1.6E-2</v>
      </c>
      <c r="R22" s="2963"/>
      <c r="S22" s="2963"/>
      <c r="T22" s="2963"/>
      <c r="U22" s="2963"/>
      <c r="V22" s="2963"/>
      <c r="W22" s="2204"/>
      <c r="X22" s="2204"/>
      <c r="Y22" s="2204"/>
      <c r="Z22" s="2204"/>
      <c r="AA22" s="2204"/>
      <c r="AB22" s="2204"/>
      <c r="AC22" s="2204"/>
      <c r="AD22" s="1476"/>
      <c r="AE22" s="1476"/>
      <c r="AF22" s="1476"/>
      <c r="AG22" s="1476"/>
      <c r="AH22" s="1476"/>
      <c r="AI22" s="1476"/>
    </row>
    <row r="23" spans="1:40" ht="27.75" thickBot="1">
      <c r="A23" s="1647" t="s">
        <v>1876</v>
      </c>
      <c r="B23" s="1487" t="s">
        <v>983</v>
      </c>
      <c r="C23" s="1064">
        <f>ROUND(IF(G3&gt;1,IF(I3&lt;7,SUMPRODUCT((B93:B98=I3)*(C92:N92=G2)*(C93:N98)),SUMIF(C92:N92,G2,C100:N100)),IF(I3&lt;7,SUMPRODUCT((B102:B107=I3)*(C92:N92=G2)*(C102:N107)),SUMIF(C92:N92,G2,C109:N109))),4)</f>
        <v>0</v>
      </c>
      <c r="D23" s="1534"/>
      <c r="E23" s="1534"/>
      <c r="F23" s="1535"/>
      <c r="G23" s="1536"/>
      <c r="H23" s="1537"/>
      <c r="I23" s="1538"/>
      <c r="J23" s="1538"/>
      <c r="K23" s="1406"/>
      <c r="L23" s="1406"/>
      <c r="M23" s="1406"/>
      <c r="N23" s="1482" t="s">
        <v>926</v>
      </c>
      <c r="O23" s="1546"/>
      <c r="P23" s="2807">
        <f>SUMPRODUCT((地价!A3:A19=YEAR(G19)&amp;"-"&amp;ROUNDUP(MONTH(G19)/3,0))*(地价!AD2:AH2=N23)*(地价!AD3:AH19))</f>
        <v>2.75E-2</v>
      </c>
      <c r="R23" s="2963"/>
      <c r="S23" s="2963"/>
      <c r="T23" s="2963"/>
      <c r="U23" s="2963"/>
      <c r="V23" s="2963"/>
      <c r="W23" s="2204"/>
      <c r="X23" s="2204"/>
      <c r="Y23" s="2204"/>
      <c r="Z23" s="2204"/>
      <c r="AA23" s="2204"/>
      <c r="AB23" s="2204"/>
      <c r="AC23" s="2204"/>
      <c r="AN23" s="1409"/>
    </row>
    <row r="24" spans="1:40" s="1426" customFormat="1" ht="15.75" thickBot="1">
      <c r="A24" s="1645" t="s">
        <v>1877</v>
      </c>
      <c r="B24" s="1420" t="s">
        <v>984</v>
      </c>
      <c r="C24" s="1065">
        <f>SUMIF(A44:A87,E2,B44:B87)</f>
        <v>1.0258</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3"/>
      <c r="S24" s="2963"/>
      <c r="T24" s="2963"/>
      <c r="U24" s="2963"/>
      <c r="V24" s="2963"/>
      <c r="W24" s="2204"/>
      <c r="X24" s="2204"/>
      <c r="Y24" s="2204"/>
      <c r="Z24" s="2204"/>
      <c r="AA24" s="2204"/>
      <c r="AB24" s="2204"/>
      <c r="AC24" s="2204"/>
      <c r="AD24" s="1476"/>
      <c r="AE24" s="1476"/>
      <c r="AF24" s="1476"/>
      <c r="AG24" s="1476"/>
      <c r="AH24" s="1476"/>
      <c r="AI24" s="1476"/>
    </row>
    <row r="25" spans="1:40" ht="15" thickBot="1">
      <c r="A25" s="1645" t="s">
        <v>1878</v>
      </c>
      <c r="B25" s="1490" t="s">
        <v>986</v>
      </c>
      <c r="C25" s="1491"/>
      <c r="D25" s="1435"/>
      <c r="E25" s="1435"/>
      <c r="F25" s="1492"/>
      <c r="G25" s="1435"/>
      <c r="H25" s="1435"/>
      <c r="I25" s="1435"/>
      <c r="J25" s="1436"/>
      <c r="K25" s="1406"/>
      <c r="L25" s="2204"/>
      <c r="M25" s="2204"/>
      <c r="N25" s="2835" t="s">
        <v>2659</v>
      </c>
      <c r="O25" s="2204"/>
      <c r="P25" s="1545">
        <f>SUMPRODUCT((地价!A3:A19=YEAR(G19)&amp;"-"&amp;ROUNDUP(MONTH(G19)/3,0))*(地价!AD2:AH2=N25)*(地价!AD3:AH19))</f>
        <v>2.46E-2</v>
      </c>
      <c r="R25" s="2963"/>
      <c r="S25" s="2963"/>
      <c r="T25" s="2963"/>
      <c r="U25" s="2963"/>
      <c r="V25" s="2963"/>
      <c r="W25" s="2204"/>
      <c r="X25" s="2204"/>
      <c r="Y25" s="2204"/>
      <c r="Z25" s="2204"/>
      <c r="AA25" s="2204"/>
      <c r="AB25" s="2204"/>
      <c r="AC25" s="2204"/>
    </row>
    <row r="26" spans="1:40" ht="14.25">
      <c r="A26" s="1493"/>
      <c r="B26" s="1487" t="s">
        <v>990</v>
      </c>
      <c r="C26" s="1066">
        <f ca="1">E29+SUM(E33:E39)</f>
        <v>3195</v>
      </c>
      <c r="D26" s="1494"/>
      <c r="E26" s="1461"/>
      <c r="F26" s="1495"/>
      <c r="G26" s="1461"/>
      <c r="H26" s="1461"/>
      <c r="I26" s="1461"/>
      <c r="J26" s="1496"/>
      <c r="K26" s="1406"/>
      <c r="L26" s="2204"/>
      <c r="M26" s="2204"/>
      <c r="N26" s="2204"/>
      <c r="O26" s="2204"/>
      <c r="P26" s="2204"/>
      <c r="Q26" s="2204"/>
      <c r="R26" s="2963"/>
      <c r="S26" s="2963"/>
      <c r="T26" s="2963"/>
      <c r="U26" s="2963"/>
      <c r="V26" s="2963"/>
      <c r="W26" s="2204"/>
      <c r="X26" s="2204"/>
      <c r="Y26" s="2204"/>
      <c r="Z26" s="2204"/>
      <c r="AA26" s="2204"/>
      <c r="AB26" s="2204"/>
      <c r="AC26" s="2204"/>
      <c r="AD26" s="1476"/>
      <c r="AE26" s="1476"/>
      <c r="AF26" s="1476"/>
      <c r="AG26" s="1476"/>
    </row>
    <row r="27" spans="1:40" ht="15" thickBot="1">
      <c r="A27" s="1493"/>
      <c r="B27" s="1497" t="s">
        <v>992</v>
      </c>
      <c r="C27" s="1067" t="e">
        <f ca="1">E30+SUM(I33:I39)</f>
        <v>#DIV/0!</v>
      </c>
      <c r="D27" s="1498"/>
      <c r="E27" s="1499"/>
      <c r="F27" s="1500"/>
      <c r="G27" s="1499"/>
      <c r="H27" s="1499"/>
      <c r="I27" s="1499"/>
      <c r="J27" s="1501"/>
      <c r="K27" s="1406"/>
      <c r="L27" s="2204"/>
      <c r="M27" s="2204"/>
      <c r="N27" s="2204"/>
      <c r="O27" s="2204"/>
      <c r="P27" s="2204"/>
      <c r="Q27" s="2204"/>
      <c r="R27" s="2963"/>
      <c r="S27" s="2963"/>
      <c r="T27" s="2963"/>
      <c r="U27" s="2963"/>
      <c r="V27" s="2963"/>
      <c r="W27" s="2204"/>
      <c r="X27" s="2204"/>
      <c r="Y27" s="2204"/>
      <c r="Z27" s="2204"/>
      <c r="AA27" s="2204"/>
      <c r="AB27" s="2204"/>
      <c r="AC27" s="2204"/>
    </row>
    <row r="28" spans="1:40" ht="14.25">
      <c r="A28" s="1489"/>
      <c r="B28" s="1502" t="s">
        <v>993</v>
      </c>
      <c r="C28" s="1503" t="s">
        <v>994</v>
      </c>
      <c r="D28" s="1503" t="s">
        <v>995</v>
      </c>
      <c r="E28" s="1504" t="s">
        <v>996</v>
      </c>
      <c r="F28" s="1505"/>
      <c r="G28" s="1447"/>
      <c r="H28" s="1447"/>
      <c r="I28" s="1447"/>
      <c r="J28" s="1448"/>
      <c r="K28" s="1406"/>
      <c r="L28" s="2204"/>
      <c r="M28" s="2204"/>
      <c r="N28" s="2204"/>
      <c r="O28" s="2204"/>
      <c r="P28" s="2204"/>
      <c r="Q28" s="2204"/>
      <c r="R28" s="2963"/>
      <c r="S28" s="2963"/>
      <c r="T28" s="2963"/>
      <c r="U28" s="2963"/>
      <c r="V28" s="2963"/>
      <c r="W28" s="2204"/>
      <c r="X28" s="2204"/>
      <c r="Y28" s="2204"/>
      <c r="Z28" s="2204"/>
      <c r="AA28" s="2204"/>
      <c r="AB28" s="2204"/>
      <c r="AC28" s="2204"/>
      <c r="AD28" s="1476"/>
      <c r="AE28" s="1476"/>
      <c r="AF28" s="1476"/>
      <c r="AG28" s="1476"/>
    </row>
    <row r="29" spans="1:40" ht="24">
      <c r="A29" s="1506"/>
      <c r="B29" s="1507" t="s">
        <v>997</v>
      </c>
      <c r="C29" s="1066">
        <f ca="1">ROUND(C5*C18*C19*C20*C21*C24,0)</f>
        <v>779</v>
      </c>
      <c r="D29" s="1508">
        <f>'数据-汇总表'!F19</f>
        <v>41016</v>
      </c>
      <c r="E29" s="1854">
        <f ca="1">ROUND(C29*D29/10000,0)</f>
        <v>3195</v>
      </c>
      <c r="F29" s="1509" t="s">
        <v>1705</v>
      </c>
      <c r="G29" s="1510"/>
      <c r="H29" s="1510"/>
      <c r="I29" s="1510"/>
      <c r="J29" s="1511"/>
      <c r="K29" s="1406"/>
      <c r="L29" s="2204"/>
      <c r="M29" s="2204"/>
      <c r="N29" s="2204"/>
      <c r="O29" s="2204"/>
      <c r="P29" s="2204"/>
      <c r="Q29" s="2204"/>
      <c r="R29" s="2963"/>
      <c r="S29" s="2963"/>
      <c r="T29" s="2963"/>
      <c r="U29" s="2963"/>
      <c r="V29" s="2963"/>
      <c r="W29" s="2204"/>
      <c r="X29" s="2204"/>
      <c r="Y29" s="2204"/>
      <c r="Z29" s="2204"/>
      <c r="AA29" s="2204"/>
      <c r="AB29" s="2204"/>
      <c r="AC29" s="2204"/>
      <c r="AH29" s="1407"/>
      <c r="AI29" s="1407"/>
      <c r="AJ29" s="1410"/>
      <c r="AK29" s="1410"/>
      <c r="AL29" s="1410"/>
      <c r="AM29" s="1410"/>
    </row>
    <row r="30" spans="1:40" ht="24.75" thickBot="1">
      <c r="A30" s="1512"/>
      <c r="B30" s="1513" t="s">
        <v>998</v>
      </c>
      <c r="C30" s="1054">
        <f ca="1">ROUND(IF(E2="工业",C29*M39,C29*M38),0)</f>
        <v>117</v>
      </c>
      <c r="D30" s="1514"/>
      <c r="E30" s="1854">
        <f ca="1">ROUND(C30*D30/10000,0)</f>
        <v>0</v>
      </c>
      <c r="F30" s="1515" t="s">
        <v>999</v>
      </c>
      <c r="G30" s="1516"/>
      <c r="H30" s="1516"/>
      <c r="I30" s="1516"/>
      <c r="J30" s="1517"/>
      <c r="K30" s="1406"/>
      <c r="L30" s="2198"/>
      <c r="M30" s="2198"/>
      <c r="N30" s="2198"/>
      <c r="O30" s="2198"/>
      <c r="P30" s="2198"/>
      <c r="Q30" s="2198"/>
      <c r="R30" s="2199"/>
      <c r="S30" s="2199"/>
      <c r="T30" s="2199"/>
      <c r="U30" s="2199"/>
      <c r="V30" s="2199"/>
      <c r="W30" s="2198"/>
      <c r="X30" s="2198"/>
      <c r="Y30" s="2198"/>
      <c r="Z30" s="2198"/>
      <c r="AA30" s="2198"/>
      <c r="AB30" s="2198"/>
      <c r="AC30" s="2198"/>
      <c r="AD30" s="1476"/>
      <c r="AE30" s="1476"/>
      <c r="AF30" s="1476"/>
      <c r="AG30" s="1476"/>
      <c r="AH30" s="1407"/>
      <c r="AI30" s="1407"/>
      <c r="AJ30" s="1410"/>
      <c r="AK30" s="1410"/>
      <c r="AL30" s="1410"/>
      <c r="AM30" s="1410"/>
    </row>
    <row r="31" spans="1:40">
      <c r="A31" s="1518"/>
      <c r="B31" s="1519" t="s">
        <v>1000</v>
      </c>
      <c r="C31" s="1520" t="s">
        <v>1001</v>
      </c>
      <c r="D31" s="1447"/>
      <c r="E31" s="1520"/>
      <c r="F31" s="1520"/>
      <c r="G31" s="1445" t="s">
        <v>999</v>
      </c>
      <c r="H31" s="1447"/>
      <c r="I31" s="1521"/>
      <c r="J31" s="1448"/>
      <c r="K31" s="1406"/>
      <c r="L31" s="2198"/>
      <c r="M31" s="2198"/>
      <c r="N31" s="2198"/>
      <c r="O31" s="2198"/>
      <c r="P31" s="2198"/>
      <c r="Q31" s="2198"/>
      <c r="R31" s="2199"/>
      <c r="S31" s="2199"/>
      <c r="T31" s="2199"/>
      <c r="U31" s="2199"/>
      <c r="V31" s="2199"/>
      <c r="W31" s="2198"/>
      <c r="X31" s="2198"/>
      <c r="Y31" s="2198"/>
      <c r="Z31" s="2198"/>
      <c r="AA31" s="2198"/>
      <c r="AB31" s="2198"/>
      <c r="AC31" s="2198"/>
      <c r="AH31" s="1407"/>
      <c r="AI31" s="1407"/>
      <c r="AJ31" s="1410"/>
      <c r="AK31" s="1410"/>
      <c r="AL31" s="1410"/>
      <c r="AM31" s="1410"/>
    </row>
    <row r="32" spans="1:40" ht="24">
      <c r="A32" s="1506"/>
      <c r="B32" s="1522"/>
      <c r="C32" s="1523" t="s">
        <v>994</v>
      </c>
      <c r="D32" s="1524" t="s">
        <v>995</v>
      </c>
      <c r="E32" s="1524" t="s">
        <v>996</v>
      </c>
      <c r="F32" s="1525" t="s">
        <v>1002</v>
      </c>
      <c r="G32" s="1483" t="s">
        <v>994</v>
      </c>
      <c r="H32" s="1483" t="s">
        <v>995</v>
      </c>
      <c r="I32" s="1483" t="s">
        <v>996</v>
      </c>
      <c r="J32" s="1526"/>
      <c r="K32" s="1406"/>
      <c r="L32" s="2198"/>
      <c r="M32" s="2198"/>
      <c r="N32" s="2198"/>
      <c r="O32" s="2198"/>
      <c r="P32" s="2198"/>
      <c r="Q32" s="2198"/>
      <c r="R32" s="2199"/>
      <c r="S32" s="2199"/>
      <c r="T32" s="2199"/>
      <c r="U32" s="2199"/>
      <c r="V32" s="2199"/>
      <c r="W32" s="2198"/>
      <c r="X32" s="2198"/>
      <c r="Y32" s="2198"/>
      <c r="Z32" s="2198"/>
      <c r="AA32" s="2198"/>
      <c r="AB32" s="2198"/>
      <c r="AC32" s="2198"/>
      <c r="AD32" s="1407"/>
      <c r="AE32" s="1407"/>
      <c r="AF32" s="1407"/>
      <c r="AG32" s="1407"/>
      <c r="AH32" s="1407"/>
      <c r="AI32" s="1407"/>
      <c r="AJ32" s="1410"/>
      <c r="AK32" s="1410"/>
      <c r="AL32" s="1410"/>
      <c r="AM32" s="1410"/>
    </row>
    <row r="33" spans="1:40" ht="12.75">
      <c r="A33" s="3352" t="s">
        <v>2973</v>
      </c>
      <c r="B33" s="1528" t="s">
        <v>1003</v>
      </c>
      <c r="C33" s="1066">
        <f ca="1">ROUND(D5*C19*C20*C24*F33,0)</f>
        <v>0</v>
      </c>
      <c r="D33" s="1541"/>
      <c r="E33" s="1051">
        <f ca="1">ROUND(C33*D33/10000,0)</f>
        <v>0</v>
      </c>
      <c r="F33" s="1051">
        <f>SUMIF(修正!A45:A56,G2,修正!B45:B56)</f>
        <v>0.6</v>
      </c>
      <c r="G33" s="1051">
        <f t="shared" ref="G33:G39" ca="1" si="6">ROUND(IF(E2="工业",C33*$M$39,C33*$M$38),0)</f>
        <v>0</v>
      </c>
      <c r="H33" s="1051">
        <f>D33</f>
        <v>0</v>
      </c>
      <c r="I33" s="1051">
        <f ca="1">ROUND(G33*H33/10000,0)</f>
        <v>0</v>
      </c>
      <c r="J33" s="1529"/>
      <c r="K33" s="1406"/>
      <c r="L33" s="2198"/>
      <c r="M33" s="2198"/>
      <c r="N33" s="2198"/>
      <c r="O33" s="2198"/>
      <c r="P33" s="2198"/>
      <c r="Q33" s="2198"/>
      <c r="R33" s="2199"/>
      <c r="S33" s="2199"/>
      <c r="T33" s="2199"/>
      <c r="U33" s="2199"/>
      <c r="V33" s="2199"/>
      <c r="W33" s="2198"/>
      <c r="X33" s="2198"/>
      <c r="Y33" s="2198"/>
      <c r="Z33" s="2198"/>
      <c r="AA33" s="2198"/>
      <c r="AB33" s="2198"/>
      <c r="AC33" s="2199"/>
    </row>
    <row r="34" spans="1:40" ht="12.75">
      <c r="A34" s="3353"/>
      <c r="B34" s="1450" t="s">
        <v>1004</v>
      </c>
      <c r="C34" s="1066">
        <f ca="1">ROUND(D5*C19*C20*C24*F34,0)</f>
        <v>0</v>
      </c>
      <c r="D34" s="1541"/>
      <c r="E34" s="1051">
        <f t="shared" ref="E34:E39" ca="1" si="7">ROUND(C34*D34/10000,0)</f>
        <v>0</v>
      </c>
      <c r="F34" s="1051">
        <f>SUMIF(修正!A45:A56,G2,修正!C45:C56)</f>
        <v>0.3</v>
      </c>
      <c r="G34" s="1051">
        <f t="shared" ca="1" si="6"/>
        <v>0</v>
      </c>
      <c r="H34" s="1051">
        <f t="shared" ref="H34:H39" si="8">D34</f>
        <v>0</v>
      </c>
      <c r="I34" s="1051">
        <f t="shared" ref="I34:I39" ca="1" si="9">ROUND(G34*H34/10000,0)</f>
        <v>0</v>
      </c>
      <c r="J34" s="1529"/>
      <c r="K34" s="1406"/>
      <c r="L34" s="2198"/>
      <c r="M34" s="2198"/>
      <c r="N34" s="2198"/>
      <c r="O34" s="2198"/>
      <c r="P34" s="2198"/>
      <c r="Q34" s="2198"/>
      <c r="R34" s="2199"/>
      <c r="S34" s="2199"/>
      <c r="T34" s="2199"/>
      <c r="U34" s="2199"/>
      <c r="V34" s="2199"/>
      <c r="W34" s="2198"/>
      <c r="X34" s="2198"/>
      <c r="Y34" s="2198"/>
      <c r="Z34" s="2198"/>
      <c r="AA34" s="2198"/>
      <c r="AB34" s="2198"/>
      <c r="AC34" s="2199"/>
    </row>
    <row r="35" spans="1:40" ht="12.75">
      <c r="A35" s="3353"/>
      <c r="B35" s="1450" t="s">
        <v>1005</v>
      </c>
      <c r="C35" s="1066">
        <f ca="1">ROUND(D5*C19*C20*C24*F35,0)</f>
        <v>0</v>
      </c>
      <c r="D35" s="1541"/>
      <c r="E35" s="1051">
        <f t="shared" ca="1" si="7"/>
        <v>0</v>
      </c>
      <c r="F35" s="1051">
        <f>SUMIF(修正!A45:A56,G2,修正!D45:D56)</f>
        <v>0.2</v>
      </c>
      <c r="G35" s="1051">
        <f t="shared" ca="1" si="6"/>
        <v>0</v>
      </c>
      <c r="H35" s="1051">
        <f t="shared" si="8"/>
        <v>0</v>
      </c>
      <c r="I35" s="1051">
        <f t="shared" ca="1" si="9"/>
        <v>0</v>
      </c>
      <c r="J35" s="1529"/>
      <c r="K35" s="1406"/>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354"/>
      <c r="B36" s="1450" t="s">
        <v>1006</v>
      </c>
      <c r="C36" s="1066">
        <f ca="1">ROUND(D5*C19*C20*C24*F36,0)</f>
        <v>0</v>
      </c>
      <c r="D36" s="1541"/>
      <c r="E36" s="1051">
        <f t="shared" ca="1" si="7"/>
        <v>0</v>
      </c>
      <c r="F36" s="1051">
        <f>SUMIF(修正!A45:A56,G2,修正!E45:E56)</f>
        <v>0.2</v>
      </c>
      <c r="G36" s="1051">
        <f t="shared" ca="1" si="6"/>
        <v>0</v>
      </c>
      <c r="H36" s="1051">
        <f t="shared" si="8"/>
        <v>0</v>
      </c>
      <c r="I36" s="1051">
        <f t="shared" ca="1" si="9"/>
        <v>0</v>
      </c>
      <c r="J36" s="1529"/>
      <c r="K36" s="1406"/>
      <c r="L36" s="2198"/>
      <c r="M36" s="2198"/>
      <c r="N36" s="2198"/>
      <c r="O36" s="2198"/>
      <c r="P36" s="2198"/>
      <c r="Q36" s="2198"/>
      <c r="R36" s="2199"/>
      <c r="S36" s="2199"/>
      <c r="T36" s="2199"/>
      <c r="U36" s="2199"/>
      <c r="V36" s="2199"/>
      <c r="W36" s="2198"/>
      <c r="X36" s="2198"/>
      <c r="Y36" s="2198"/>
      <c r="Z36" s="2198"/>
      <c r="AA36" s="2198"/>
      <c r="AB36" s="2198"/>
      <c r="AC36" s="2199"/>
    </row>
    <row r="37" spans="1:40" ht="12.75">
      <c r="A37" s="1527"/>
      <c r="B37" s="1450" t="s">
        <v>1007</v>
      </c>
      <c r="C37" s="1051">
        <f ca="1">ROUND(C5*C19*C20*C24*F37,0)</f>
        <v>156</v>
      </c>
      <c r="D37" s="1541"/>
      <c r="E37" s="1051">
        <f t="shared" ca="1" si="7"/>
        <v>0</v>
      </c>
      <c r="F37" s="1066">
        <f>SUMIF(修正!A45:A56,G2,修正!F45:F56)</f>
        <v>0.2</v>
      </c>
      <c r="G37" s="1051">
        <f t="shared" ca="1" si="6"/>
        <v>39</v>
      </c>
      <c r="H37" s="1051">
        <f t="shared" si="8"/>
        <v>0</v>
      </c>
      <c r="I37" s="1051">
        <f t="shared" ca="1" si="9"/>
        <v>0</v>
      </c>
      <c r="J37" s="1529"/>
      <c r="K37" s="1406"/>
      <c r="L37" s="1548" t="s">
        <v>1707</v>
      </c>
      <c r="M37" s="1549"/>
      <c r="N37" s="2198"/>
      <c r="O37" s="2198"/>
      <c r="P37" s="2198"/>
      <c r="Q37" s="2198"/>
      <c r="R37" s="2199"/>
      <c r="S37" s="2199"/>
      <c r="T37" s="2199"/>
      <c r="U37" s="2199"/>
      <c r="V37" s="2199"/>
      <c r="W37" s="2198"/>
      <c r="X37" s="2198"/>
      <c r="Y37" s="2198"/>
      <c r="Z37" s="2198"/>
      <c r="AA37" s="2198"/>
      <c r="AB37" s="2198"/>
      <c r="AC37" s="2199"/>
    </row>
    <row r="38" spans="1:40" ht="12.75">
      <c r="A38" s="1527"/>
      <c r="B38" s="1450" t="s">
        <v>1008</v>
      </c>
      <c r="C38" s="1051">
        <f ca="1">ROUND(C5*C19*C20*C24*F38,0)</f>
        <v>156</v>
      </c>
      <c r="D38" s="1541"/>
      <c r="E38" s="1051">
        <f t="shared" ca="1" si="7"/>
        <v>0</v>
      </c>
      <c r="F38" s="1066">
        <f>SUMIF(修正!A45:A56,G2,修正!G45:G56)</f>
        <v>0.2</v>
      </c>
      <c r="G38" s="1051">
        <f t="shared" ca="1" si="6"/>
        <v>39</v>
      </c>
      <c r="H38" s="1051">
        <f t="shared" si="8"/>
        <v>0</v>
      </c>
      <c r="I38" s="1051">
        <f t="shared" ca="1" si="9"/>
        <v>0</v>
      </c>
      <c r="J38" s="1529"/>
      <c r="K38" s="1406"/>
      <c r="L38" s="1550" t="s">
        <v>1709</v>
      </c>
      <c r="M38" s="1551">
        <v>0.25</v>
      </c>
      <c r="N38" s="2198"/>
      <c r="O38" s="2198"/>
      <c r="P38" s="2198"/>
      <c r="Q38" s="2198"/>
      <c r="R38" s="2199"/>
      <c r="S38" s="2199"/>
      <c r="T38" s="2199"/>
      <c r="U38" s="2199"/>
      <c r="V38" s="2199"/>
      <c r="W38" s="2198"/>
      <c r="X38" s="2198"/>
      <c r="Y38" s="2198"/>
      <c r="Z38" s="2198"/>
      <c r="AA38" s="2198"/>
      <c r="AB38" s="2198"/>
      <c r="AC38" s="2199"/>
    </row>
    <row r="39" spans="1:40" ht="13.5" thickBot="1">
      <c r="A39" s="1512"/>
      <c r="B39" s="1530" t="s">
        <v>1009</v>
      </c>
      <c r="C39" s="1054">
        <f ca="1">ROUND(C5*C19*C20*C24*F39,0)</f>
        <v>117</v>
      </c>
      <c r="D39" s="1542"/>
      <c r="E39" s="1054">
        <f t="shared" ca="1" si="7"/>
        <v>0</v>
      </c>
      <c r="F39" s="1068">
        <f>SUMIF(修正!A45:A56,G2,修正!H45:H56)</f>
        <v>0.15</v>
      </c>
      <c r="G39" s="1054" t="e">
        <f t="shared" si="6"/>
        <v>#DIV/0!</v>
      </c>
      <c r="H39" s="1054">
        <f t="shared" si="8"/>
        <v>0</v>
      </c>
      <c r="I39" s="1054" t="e">
        <f t="shared" si="9"/>
        <v>#DIV/0!</v>
      </c>
      <c r="J39" s="1531"/>
      <c r="K39" s="1406"/>
      <c r="L39" s="1552" t="s">
        <v>1708</v>
      </c>
      <c r="M39" s="1553">
        <v>0.15</v>
      </c>
      <c r="N39" s="2198"/>
      <c r="O39" s="2198"/>
      <c r="P39" s="2198"/>
      <c r="Q39" s="2198"/>
      <c r="R39" s="2199"/>
      <c r="S39" s="2199"/>
      <c r="T39" s="2199"/>
      <c r="U39" s="2199"/>
      <c r="V39" s="2199"/>
      <c r="W39" s="2198"/>
      <c r="X39" s="2198"/>
      <c r="Y39" s="2198"/>
      <c r="Z39" s="2198"/>
      <c r="AA39" s="2198"/>
      <c r="AB39" s="2198"/>
      <c r="AC39" s="2199"/>
    </row>
    <row r="40" spans="1:40" s="1407"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8"/>
      <c r="AE40" s="1408"/>
      <c r="AF40" s="1408"/>
      <c r="AG40" s="1408"/>
      <c r="AH40" s="1408"/>
      <c r="AI40" s="1408"/>
      <c r="AJ40" s="1408"/>
      <c r="AK40" s="1408"/>
      <c r="AL40" s="1408"/>
      <c r="AM40" s="1408"/>
    </row>
    <row r="41" spans="1:40" s="1407" customFormat="1">
      <c r="A41" s="1408"/>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8"/>
      <c r="AE41" s="1408"/>
      <c r="AF41" s="1408"/>
      <c r="AG41" s="1408"/>
      <c r="AH41" s="1408"/>
      <c r="AI41" s="1408"/>
      <c r="AJ41" s="1408"/>
      <c r="AK41" s="1408"/>
      <c r="AL41" s="1408"/>
      <c r="AM41" s="1408"/>
    </row>
    <row r="42" spans="1:40" s="1407" customFormat="1">
      <c r="A42" s="1408"/>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8"/>
      <c r="AE42" s="1408"/>
      <c r="AF42" s="1408"/>
      <c r="AG42" s="1408"/>
      <c r="AH42" s="1408"/>
      <c r="AI42" s="1408"/>
      <c r="AJ42" s="1408"/>
      <c r="AK42" s="1408"/>
      <c r="AL42" s="1408"/>
      <c r="AM42" s="1408"/>
    </row>
    <row r="43" spans="1:40" s="1407" customFormat="1">
      <c r="A43" s="1408"/>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8"/>
      <c r="AE43" s="1408"/>
      <c r="AF43" s="1408"/>
      <c r="AG43" s="1408"/>
      <c r="AH43" s="1408"/>
      <c r="AI43" s="1408"/>
      <c r="AJ43" s="1408"/>
      <c r="AK43" s="1408"/>
      <c r="AL43" s="1408"/>
      <c r="AM43" s="1408"/>
    </row>
    <row r="44" spans="1:40" s="1407" customFormat="1" ht="15" thickBot="1">
      <c r="A44" s="2453" t="s">
        <v>1010</v>
      </c>
      <c r="B44" s="2454"/>
      <c r="C44" s="2455"/>
      <c r="D44" s="2456"/>
      <c r="E44" s="2456"/>
      <c r="F44" s="2457"/>
      <c r="G44" s="1069"/>
      <c r="H44" s="2457"/>
      <c r="I44" s="1069"/>
      <c r="J44" s="1069"/>
      <c r="K44" s="1069"/>
      <c r="L44" s="1069"/>
      <c r="M44" s="1069"/>
      <c r="O44" s="2205"/>
      <c r="P44" s="2205"/>
      <c r="Q44" s="2205"/>
      <c r="R44" s="2206"/>
      <c r="S44" s="2206"/>
      <c r="T44" s="2206"/>
      <c r="U44" s="2206"/>
      <c r="V44" s="2206"/>
      <c r="W44" s="2205"/>
      <c r="X44" s="2205"/>
      <c r="Y44" s="2205"/>
      <c r="Z44" s="2205"/>
      <c r="AA44" s="2205"/>
      <c r="AB44" s="2205"/>
      <c r="AC44" s="2206"/>
      <c r="AD44" s="1408"/>
      <c r="AE44" s="1408"/>
      <c r="AF44" s="1408"/>
      <c r="AG44" s="1408"/>
      <c r="AH44" s="1408"/>
      <c r="AI44" s="1408"/>
      <c r="AJ44" s="1408"/>
      <c r="AK44" s="1408"/>
      <c r="AL44" s="1408"/>
      <c r="AM44" s="1408"/>
    </row>
    <row r="45" spans="1:40" s="1407" customFormat="1" ht="15" hidden="1">
      <c r="A45" s="2458" t="s">
        <v>1011</v>
      </c>
      <c r="B45" s="2459">
        <f>1+E47</f>
        <v>1</v>
      </c>
      <c r="C45" s="2460"/>
      <c r="D45" s="2461"/>
      <c r="E45" s="2462"/>
      <c r="F45" s="2463"/>
      <c r="G45" s="2457"/>
      <c r="H45" s="2457"/>
      <c r="I45" s="1069"/>
      <c r="J45" s="1069"/>
      <c r="K45" s="1069"/>
      <c r="L45" s="1069"/>
      <c r="M45" s="1069"/>
      <c r="O45" s="2205"/>
      <c r="P45" s="2205"/>
      <c r="Q45" s="2205"/>
      <c r="R45" s="2206"/>
      <c r="S45" s="2206"/>
      <c r="T45" s="2206"/>
      <c r="U45" s="2206"/>
      <c r="V45" s="2206"/>
      <c r="W45" s="2205"/>
      <c r="X45" s="2205"/>
      <c r="Y45" s="2205"/>
      <c r="Z45" s="2205"/>
      <c r="AA45" s="2205"/>
      <c r="AB45" s="2205"/>
      <c r="AC45" s="2206"/>
      <c r="AD45" s="1408"/>
      <c r="AE45" s="1408"/>
      <c r="AF45" s="1408"/>
      <c r="AG45" s="1408"/>
      <c r="AH45" s="1408"/>
      <c r="AI45" s="1408"/>
      <c r="AJ45" s="1408"/>
      <c r="AK45" s="1408"/>
      <c r="AL45" s="1408"/>
      <c r="AM45" s="1408"/>
    </row>
    <row r="46" spans="1:40" s="1407" customFormat="1" ht="24" hidden="1">
      <c r="A46" s="1070" t="s">
        <v>1012</v>
      </c>
      <c r="B46" s="2442" t="s">
        <v>1013</v>
      </c>
      <c r="C46" s="2464" t="s">
        <v>1014</v>
      </c>
      <c r="D46" s="2465" t="s">
        <v>1015</v>
      </c>
      <c r="E46" s="2466" t="s">
        <v>1017</v>
      </c>
      <c r="F46" s="2467" t="s">
        <v>2256</v>
      </c>
      <c r="G46" s="2465" t="s">
        <v>1018</v>
      </c>
      <c r="H46" s="2448" t="s">
        <v>2424</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8"/>
      <c r="AF46" s="1408"/>
      <c r="AG46" s="1408"/>
      <c r="AH46" s="1408"/>
      <c r="AI46" s="1408"/>
      <c r="AJ46" s="1408"/>
      <c r="AK46" s="1408"/>
      <c r="AL46" s="1408"/>
      <c r="AM46" s="1408"/>
      <c r="AN46" s="1408"/>
    </row>
    <row r="47" spans="1:40" s="1407" customFormat="1" ht="36" hidden="1">
      <c r="A47" s="1070" t="s">
        <v>1024</v>
      </c>
      <c r="B47" s="2445" t="str">
        <f>估价对象房地状况!C16</f>
        <v>估价对象位于XX商圈，周边商业氛围成熟，人流量大，商业繁华度好</v>
      </c>
      <c r="C47" s="1053"/>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8"/>
      <c r="AF47" s="1408"/>
      <c r="AG47" s="1408"/>
      <c r="AH47" s="1408"/>
      <c r="AI47" s="1408"/>
      <c r="AJ47" s="1408"/>
      <c r="AK47" s="1408"/>
      <c r="AL47" s="1408"/>
      <c r="AM47" s="1408"/>
      <c r="AN47" s="1408"/>
    </row>
    <row r="48" spans="1:40" s="1407" customFormat="1" ht="48" hidden="1">
      <c r="A48" s="1070" t="s">
        <v>1025</v>
      </c>
      <c r="B48" s="2442" t="str">
        <f>估价对象房地状况!C18</f>
        <v>估价对象周边道路状况、公共交通通达情况、停车便捷程度，综合评价交通便捷度较好</v>
      </c>
      <c r="C48" s="1053"/>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8"/>
      <c r="AF48" s="1408"/>
      <c r="AG48" s="1408"/>
      <c r="AH48" s="1408"/>
      <c r="AI48" s="1408"/>
      <c r="AJ48" s="1408"/>
      <c r="AK48" s="1408"/>
      <c r="AL48" s="1408"/>
      <c r="AM48" s="1408"/>
      <c r="AN48" s="1408"/>
    </row>
    <row r="49" spans="1:40" s="1407" customFormat="1" ht="24" hidden="1">
      <c r="A49" s="1070" t="s">
        <v>1026</v>
      </c>
      <c r="B49" s="2442">
        <f>估价对象房地状况!C19</f>
        <v>0</v>
      </c>
      <c r="C49" s="1053"/>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8"/>
      <c r="AF49" s="1408"/>
      <c r="AG49" s="1408"/>
      <c r="AH49" s="1408"/>
      <c r="AI49" s="1408"/>
      <c r="AJ49" s="1408"/>
      <c r="AK49" s="1408"/>
      <c r="AL49" s="1408"/>
      <c r="AM49" s="1408"/>
      <c r="AN49" s="1408"/>
    </row>
    <row r="50" spans="1:40" s="1407" customFormat="1" ht="36" hidden="1">
      <c r="A50" s="1070" t="s">
        <v>1027</v>
      </c>
      <c r="B50" s="3134" t="s">
        <v>2948</v>
      </c>
      <c r="C50" s="1053"/>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8"/>
      <c r="AF50" s="1408"/>
      <c r="AG50" s="1408"/>
      <c r="AH50" s="1408"/>
      <c r="AI50" s="1408"/>
      <c r="AJ50" s="1408"/>
      <c r="AK50" s="1408"/>
      <c r="AL50" s="1408"/>
      <c r="AM50" s="1408"/>
      <c r="AN50" s="1408"/>
    </row>
    <row r="51" spans="1:40" s="1407" customFormat="1" ht="24" hidden="1">
      <c r="A51" s="1070" t="s">
        <v>1028</v>
      </c>
      <c r="B51" s="2442">
        <f>估价对象房地状况!C24</f>
        <v>0</v>
      </c>
      <c r="C51" s="1053"/>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8"/>
      <c r="AF51" s="1408"/>
      <c r="AG51" s="1408"/>
      <c r="AH51" s="1408"/>
      <c r="AI51" s="1408"/>
      <c r="AJ51" s="1408"/>
      <c r="AK51" s="1408"/>
      <c r="AL51" s="1408"/>
      <c r="AM51" s="1408"/>
      <c r="AN51" s="1408"/>
    </row>
    <row r="52" spans="1:40" s="1407" customFormat="1" ht="24" hidden="1">
      <c r="A52" s="1070" t="s">
        <v>1029</v>
      </c>
      <c r="B52" s="3133" t="s">
        <v>2947</v>
      </c>
      <c r="C52" s="1053"/>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8"/>
      <c r="AF52" s="1408"/>
      <c r="AG52" s="1408"/>
      <c r="AH52" s="1408"/>
      <c r="AI52" s="1408"/>
      <c r="AJ52" s="1408"/>
      <c r="AK52" s="1408"/>
      <c r="AL52" s="1408"/>
      <c r="AM52" s="1408"/>
      <c r="AN52" s="1408"/>
    </row>
    <row r="53" spans="1:40" s="1407" customFormat="1" ht="24" hidden="1">
      <c r="A53" s="2474" t="s">
        <v>1030</v>
      </c>
      <c r="B53" s="2443" t="str">
        <f>估价对象房地状况!C21</f>
        <v>估价对象所在区域公共配套设施齐备情况</v>
      </c>
      <c r="C53" s="1053"/>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8"/>
      <c r="AF53" s="1408"/>
      <c r="AG53" s="1408"/>
      <c r="AH53" s="1408"/>
      <c r="AI53" s="1408"/>
      <c r="AJ53" s="1408"/>
      <c r="AK53" s="1408"/>
      <c r="AL53" s="1408"/>
      <c r="AM53" s="1408"/>
      <c r="AN53" s="1408"/>
    </row>
    <row r="54" spans="1:40" s="1407" customFormat="1" ht="24" hidden="1">
      <c r="A54" s="2474" t="s">
        <v>1031</v>
      </c>
      <c r="B54" s="2442" t="str">
        <f>估价对象房地状况!C22</f>
        <v>估价对象所在区域基础设施水平</v>
      </c>
      <c r="C54" s="1053"/>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8"/>
      <c r="AF54" s="1408"/>
      <c r="AG54" s="1408"/>
      <c r="AH54" s="1408"/>
      <c r="AI54" s="1408"/>
      <c r="AJ54" s="1408"/>
      <c r="AK54" s="1408"/>
      <c r="AL54" s="1408"/>
      <c r="AM54" s="1408"/>
      <c r="AN54" s="1408"/>
    </row>
    <row r="55" spans="1:40" s="1407" customFormat="1" ht="36.75" hidden="1" thickBot="1">
      <c r="A55" s="2475" t="s">
        <v>1032</v>
      </c>
      <c r="B55" s="2446" t="str">
        <f>估价对象房地状况!C20</f>
        <v>区域自然环境：；人文环境；综合评价环境状况一般</v>
      </c>
      <c r="C55" s="1053"/>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8"/>
      <c r="AF55" s="1408"/>
      <c r="AG55" s="1408"/>
      <c r="AH55" s="1408"/>
      <c r="AI55" s="1408"/>
      <c r="AJ55" s="1408"/>
      <c r="AK55" s="1408"/>
      <c r="AL55" s="1408"/>
      <c r="AM55" s="1408"/>
      <c r="AN55" s="1408"/>
    </row>
    <row r="56" spans="1:40" s="1407" customFormat="1" ht="15" hidden="1">
      <c r="A56" s="2458" t="s">
        <v>1033</v>
      </c>
      <c r="B56" s="2459">
        <f>1+E58</f>
        <v>1</v>
      </c>
      <c r="C56" s="2478"/>
      <c r="D56" s="2461"/>
      <c r="E56" s="2462"/>
      <c r="F56" s="2463"/>
      <c r="G56" s="2457"/>
      <c r="H56" s="2457"/>
      <c r="I56" s="2457"/>
      <c r="J56" s="1069"/>
      <c r="K56" s="1069"/>
      <c r="L56" s="1069"/>
      <c r="M56" s="1069"/>
      <c r="N56" s="1069"/>
      <c r="P56" s="2205"/>
      <c r="Q56" s="2205"/>
      <c r="R56" s="2206"/>
      <c r="S56" s="2206"/>
      <c r="T56" s="2206"/>
      <c r="U56" s="2206"/>
      <c r="V56" s="2206"/>
      <c r="W56" s="2205"/>
      <c r="X56" s="2205"/>
      <c r="Y56" s="2205"/>
      <c r="Z56" s="2205"/>
      <c r="AA56" s="2205"/>
      <c r="AB56" s="2205"/>
      <c r="AC56" s="2205"/>
      <c r="AD56" s="2206"/>
      <c r="AE56" s="1408"/>
      <c r="AF56" s="1408"/>
      <c r="AG56" s="1408"/>
      <c r="AH56" s="1408"/>
      <c r="AI56" s="1408"/>
      <c r="AJ56" s="1408"/>
      <c r="AK56" s="1408"/>
      <c r="AL56" s="1408"/>
      <c r="AM56" s="1408"/>
      <c r="AN56" s="1408"/>
    </row>
    <row r="57" spans="1:40" s="1407" customFormat="1" ht="24" hidden="1">
      <c r="A57" s="1070" t="s">
        <v>1012</v>
      </c>
      <c r="B57" s="2442"/>
      <c r="C57" s="2464" t="s">
        <v>1014</v>
      </c>
      <c r="D57" s="2465" t="s">
        <v>1015</v>
      </c>
      <c r="E57" s="2466" t="s">
        <v>1017</v>
      </c>
      <c r="F57" s="2467" t="s">
        <v>2257</v>
      </c>
      <c r="G57" s="2465" t="s">
        <v>1018</v>
      </c>
      <c r="H57" s="2448" t="s">
        <v>2424</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8"/>
      <c r="AF57" s="1408"/>
      <c r="AG57" s="1408"/>
      <c r="AH57" s="1408"/>
      <c r="AI57" s="1408"/>
      <c r="AJ57" s="1408"/>
      <c r="AK57" s="1408"/>
      <c r="AL57" s="1408"/>
      <c r="AM57" s="1408"/>
      <c r="AN57" s="1408"/>
    </row>
    <row r="58" spans="1:40" s="1407" customFormat="1" ht="36" hidden="1">
      <c r="A58" s="1070" t="s">
        <v>1034</v>
      </c>
      <c r="B58" s="2445" t="str">
        <f>估价对象房地状况!C17</f>
        <v>估价对象位于XX商圈，周边办公楼项目较多，入驻率高，办公集聚程度较好</v>
      </c>
      <c r="C58" s="1053"/>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8"/>
      <c r="AF58" s="1408"/>
      <c r="AG58" s="1408"/>
      <c r="AH58" s="1408"/>
      <c r="AI58" s="1408"/>
      <c r="AJ58" s="1408"/>
      <c r="AK58" s="1408"/>
      <c r="AL58" s="1408"/>
      <c r="AM58" s="1408"/>
      <c r="AN58" s="1408"/>
    </row>
    <row r="59" spans="1:40" s="1407" customFormat="1" ht="48" hidden="1">
      <c r="A59" s="1070" t="s">
        <v>1025</v>
      </c>
      <c r="B59" s="2442" t="str">
        <f>估价对象房地状况!C18</f>
        <v>估价对象周边道路状况、公共交通通达情况、停车便捷程度，综合评价交通便捷度较好</v>
      </c>
      <c r="C59" s="1053"/>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8"/>
      <c r="AF59" s="1408"/>
      <c r="AG59" s="1408"/>
      <c r="AH59" s="1408"/>
      <c r="AI59" s="1408"/>
      <c r="AJ59" s="1408"/>
      <c r="AK59" s="1408"/>
      <c r="AL59" s="1408"/>
      <c r="AM59" s="1408"/>
      <c r="AN59" s="1408"/>
    </row>
    <row r="60" spans="1:40" s="1407" customFormat="1" ht="24" hidden="1">
      <c r="A60" s="1070" t="s">
        <v>1026</v>
      </c>
      <c r="B60" s="2442">
        <f>估价对象房地状况!C19</f>
        <v>0</v>
      </c>
      <c r="C60" s="1053"/>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8"/>
      <c r="AF60" s="1408"/>
      <c r="AG60" s="1408"/>
      <c r="AH60" s="1408"/>
      <c r="AI60" s="1408"/>
      <c r="AJ60" s="1408"/>
      <c r="AK60" s="1408"/>
      <c r="AL60" s="1408"/>
      <c r="AM60" s="1408"/>
      <c r="AN60" s="1408"/>
    </row>
    <row r="61" spans="1:40" s="1407" customFormat="1" ht="36" hidden="1">
      <c r="A61" s="1070" t="s">
        <v>1027</v>
      </c>
      <c r="B61" s="3134" t="s">
        <v>2949</v>
      </c>
      <c r="C61" s="1053"/>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8"/>
      <c r="AF61" s="1408"/>
      <c r="AG61" s="1408"/>
      <c r="AH61" s="1408"/>
      <c r="AI61" s="1408"/>
      <c r="AJ61" s="1408"/>
      <c r="AK61" s="1408"/>
      <c r="AL61" s="1408"/>
      <c r="AM61" s="1408"/>
      <c r="AN61" s="1408"/>
    </row>
    <row r="62" spans="1:40" s="1407" customFormat="1" ht="24" hidden="1">
      <c r="A62" s="1070" t="s">
        <v>1028</v>
      </c>
      <c r="B62" s="2442">
        <f>估价对象房地状况!C24</f>
        <v>0</v>
      </c>
      <c r="C62" s="1053"/>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8"/>
      <c r="AF62" s="1408"/>
      <c r="AG62" s="1408"/>
      <c r="AH62" s="1408"/>
      <c r="AI62" s="1408"/>
      <c r="AJ62" s="1408"/>
      <c r="AK62" s="1408"/>
      <c r="AL62" s="1408"/>
      <c r="AM62" s="1408"/>
      <c r="AN62" s="1408"/>
    </row>
    <row r="63" spans="1:40" s="1407" customFormat="1" ht="24" hidden="1">
      <c r="A63" s="1070" t="s">
        <v>1029</v>
      </c>
      <c r="B63" s="3133" t="s">
        <v>2947</v>
      </c>
      <c r="C63" s="1053"/>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8"/>
      <c r="AF63" s="1408"/>
      <c r="AG63" s="1408"/>
      <c r="AH63" s="1408"/>
      <c r="AI63" s="1408"/>
      <c r="AJ63" s="1408"/>
      <c r="AK63" s="1408"/>
      <c r="AL63" s="1408"/>
      <c r="AM63" s="1408"/>
      <c r="AN63" s="1408"/>
    </row>
    <row r="64" spans="1:40" s="1407" customFormat="1" ht="24" hidden="1">
      <c r="A64" s="1070" t="s">
        <v>1030</v>
      </c>
      <c r="B64" s="2443" t="str">
        <f>估价对象房地状况!C21</f>
        <v>估价对象所在区域公共配套设施齐备情况</v>
      </c>
      <c r="C64" s="1053"/>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8"/>
      <c r="AF64" s="1408"/>
      <c r="AG64" s="1408"/>
      <c r="AH64" s="1408"/>
      <c r="AI64" s="1408"/>
      <c r="AJ64" s="1408"/>
      <c r="AK64" s="1408"/>
      <c r="AL64" s="1408"/>
      <c r="AM64" s="1408"/>
      <c r="AN64" s="1408"/>
    </row>
    <row r="65" spans="1:40" s="1407" customFormat="1" ht="24" hidden="1">
      <c r="A65" s="1070" t="s">
        <v>1031</v>
      </c>
      <c r="B65" s="2443" t="str">
        <f>估价对象房地状况!C22</f>
        <v>估价对象所在区域基础设施水平</v>
      </c>
      <c r="C65" s="1053"/>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8"/>
      <c r="AF65" s="1408"/>
      <c r="AG65" s="1408"/>
      <c r="AH65" s="1408"/>
      <c r="AI65" s="1408"/>
      <c r="AJ65" s="1408"/>
      <c r="AK65" s="1408"/>
      <c r="AL65" s="1408"/>
      <c r="AM65" s="1408"/>
      <c r="AN65" s="1408"/>
    </row>
    <row r="66" spans="1:40" s="1407" customFormat="1" ht="36.75" hidden="1" thickBot="1">
      <c r="A66" s="2475" t="s">
        <v>1032</v>
      </c>
      <c r="B66" s="2447" t="str">
        <f>估价对象房地状况!C20</f>
        <v>区域自然环境：；人文环境；综合评价环境状况一般</v>
      </c>
      <c r="C66" s="1053"/>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8"/>
      <c r="AF66" s="1408"/>
      <c r="AG66" s="1408"/>
      <c r="AH66" s="1408"/>
      <c r="AI66" s="1408"/>
      <c r="AJ66" s="1408"/>
      <c r="AK66" s="1408"/>
      <c r="AL66" s="1408"/>
      <c r="AM66" s="1408"/>
      <c r="AN66" s="1408"/>
    </row>
    <row r="67" spans="1:40" s="1407" customFormat="1" ht="15" hidden="1">
      <c r="A67" s="2458" t="s">
        <v>1035</v>
      </c>
      <c r="B67" s="2459">
        <f>1+E69</f>
        <v>1</v>
      </c>
      <c r="C67" s="2478"/>
      <c r="D67" s="2461"/>
      <c r="E67" s="2462"/>
      <c r="F67" s="2463"/>
      <c r="G67" s="2457"/>
      <c r="H67" s="2457"/>
      <c r="I67" s="2457"/>
      <c r="J67" s="1069"/>
      <c r="K67" s="1069"/>
      <c r="L67" s="1069"/>
      <c r="M67" s="1069"/>
      <c r="N67" s="1069"/>
      <c r="P67" s="2205"/>
      <c r="Q67" s="2205"/>
      <c r="R67" s="2206"/>
      <c r="S67" s="2206"/>
      <c r="T67" s="2206"/>
      <c r="U67" s="2206"/>
      <c r="V67" s="2206"/>
      <c r="W67" s="2205"/>
      <c r="X67" s="2205"/>
      <c r="Y67" s="2205"/>
      <c r="Z67" s="2205"/>
      <c r="AA67" s="2205"/>
      <c r="AB67" s="2205"/>
      <c r="AC67" s="2205"/>
      <c r="AD67" s="2206"/>
      <c r="AE67" s="1408"/>
      <c r="AF67" s="1408"/>
      <c r="AG67" s="1408"/>
      <c r="AH67" s="1408"/>
      <c r="AI67" s="1408"/>
      <c r="AJ67" s="1408"/>
      <c r="AK67" s="1408"/>
      <c r="AL67" s="1408"/>
      <c r="AM67" s="1408"/>
      <c r="AN67" s="1408"/>
    </row>
    <row r="68" spans="1:40" s="1407" customFormat="1" ht="24" hidden="1">
      <c r="A68" s="1070" t="s">
        <v>1012</v>
      </c>
      <c r="B68" s="2442"/>
      <c r="C68" s="2464" t="s">
        <v>1014</v>
      </c>
      <c r="D68" s="2465" t="s">
        <v>1015</v>
      </c>
      <c r="E68" s="2466" t="s">
        <v>1017</v>
      </c>
      <c r="F68" s="2467" t="s">
        <v>2258</v>
      </c>
      <c r="G68" s="2465" t="s">
        <v>1018</v>
      </c>
      <c r="H68" s="2448" t="s">
        <v>2424</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8"/>
      <c r="AF68" s="1408"/>
      <c r="AG68" s="1408"/>
      <c r="AH68" s="1408"/>
      <c r="AI68" s="1408"/>
      <c r="AJ68" s="1408"/>
      <c r="AK68" s="1408"/>
      <c r="AL68" s="1408"/>
      <c r="AM68" s="1408"/>
      <c r="AN68" s="1408"/>
    </row>
    <row r="69" spans="1:40" s="1407" customFormat="1" ht="48" hidden="1">
      <c r="A69" s="1070" t="s">
        <v>1036</v>
      </c>
      <c r="B69" s="2445" t="str">
        <f>估价对象房地状况!C15</f>
        <v>估价对象周边居住用地比例、居住小区规模和社区发展完善程度，综合评价居住社区成熟度一般</v>
      </c>
      <c r="C69" s="1162"/>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8"/>
      <c r="AF69" s="1408"/>
      <c r="AG69" s="1408"/>
      <c r="AH69" s="1408"/>
      <c r="AI69" s="1408"/>
      <c r="AJ69" s="1408"/>
      <c r="AK69" s="1408"/>
      <c r="AL69" s="1408"/>
      <c r="AM69" s="1408"/>
      <c r="AN69" s="1408"/>
    </row>
    <row r="70" spans="1:40" s="1407" customFormat="1" ht="48" hidden="1">
      <c r="A70" s="1070" t="s">
        <v>1037</v>
      </c>
      <c r="B70" s="2442" t="str">
        <f>估价对象房地状况!C18</f>
        <v>估价对象周边道路状况、公共交通通达情况、停车便捷程度，综合评价交通便捷度较好</v>
      </c>
      <c r="C70" s="1162"/>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8"/>
      <c r="AF70" s="1408"/>
      <c r="AG70" s="1408"/>
      <c r="AH70" s="1408"/>
      <c r="AI70" s="1408"/>
      <c r="AJ70" s="1408"/>
      <c r="AK70" s="1408"/>
      <c r="AL70" s="1408"/>
      <c r="AM70" s="1408"/>
      <c r="AN70" s="1408"/>
    </row>
    <row r="71" spans="1:40" s="1407" customFormat="1" ht="24" hidden="1">
      <c r="A71" s="1070" t="s">
        <v>1026</v>
      </c>
      <c r="B71" s="2442">
        <f>估价对象房地状况!C19</f>
        <v>0</v>
      </c>
      <c r="C71" s="1162"/>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8"/>
      <c r="AF71" s="1408"/>
      <c r="AG71" s="1408"/>
      <c r="AH71" s="1408"/>
      <c r="AI71" s="1408"/>
      <c r="AJ71" s="1408"/>
      <c r="AK71" s="1408"/>
      <c r="AL71" s="1408"/>
      <c r="AM71" s="1408"/>
      <c r="AN71" s="1408"/>
    </row>
    <row r="72" spans="1:40" s="1407" customFormat="1" ht="14.25" hidden="1">
      <c r="A72" s="1070" t="s">
        <v>1038</v>
      </c>
      <c r="B72" s="2442">
        <f>估价对象房地状况!C24</f>
        <v>0</v>
      </c>
      <c r="C72" s="1162"/>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8"/>
      <c r="AF72" s="1408"/>
      <c r="AG72" s="1408"/>
      <c r="AH72" s="1408"/>
      <c r="AI72" s="1408"/>
      <c r="AJ72" s="1408"/>
      <c r="AK72" s="1408"/>
      <c r="AL72" s="1408"/>
      <c r="AM72" s="1408"/>
      <c r="AN72" s="1408"/>
    </row>
    <row r="73" spans="1:40" s="1407" customFormat="1" ht="24" hidden="1">
      <c r="A73" s="1070" t="s">
        <v>1030</v>
      </c>
      <c r="B73" s="2443" t="str">
        <f>估价对象房地状况!C21</f>
        <v>估价对象所在区域公共配套设施齐备情况</v>
      </c>
      <c r="C73" s="1162"/>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8"/>
      <c r="AF73" s="1408"/>
      <c r="AG73" s="1408"/>
      <c r="AH73" s="1408"/>
      <c r="AI73" s="1408"/>
      <c r="AJ73" s="1408"/>
      <c r="AK73" s="1408"/>
      <c r="AL73" s="1408"/>
      <c r="AM73" s="1408"/>
      <c r="AN73" s="1408"/>
    </row>
    <row r="74" spans="1:40" s="1407" customFormat="1" ht="24" hidden="1">
      <c r="A74" s="1070" t="s">
        <v>1031</v>
      </c>
      <c r="B74" s="2443" t="str">
        <f>估价对象房地状况!C22</f>
        <v>估价对象所在区域基础设施水平</v>
      </c>
      <c r="C74" s="1162"/>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8"/>
      <c r="AF74" s="1408"/>
      <c r="AG74" s="1408"/>
      <c r="AH74" s="1408"/>
      <c r="AI74" s="1408"/>
      <c r="AJ74" s="1408"/>
      <c r="AK74" s="1408"/>
      <c r="AL74" s="1408"/>
      <c r="AM74" s="1408"/>
      <c r="AN74" s="1408"/>
    </row>
    <row r="75" spans="1:40" s="1407" customFormat="1" ht="24" hidden="1">
      <c r="A75" s="1070" t="s">
        <v>1029</v>
      </c>
      <c r="B75" s="3133" t="s">
        <v>2947</v>
      </c>
      <c r="C75" s="1162"/>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8"/>
      <c r="AF75" s="1408"/>
      <c r="AG75" s="1408"/>
      <c r="AH75" s="1408"/>
      <c r="AI75" s="1408"/>
      <c r="AJ75" s="1408"/>
      <c r="AK75" s="1408"/>
      <c r="AL75" s="1408"/>
      <c r="AM75" s="1408"/>
      <c r="AN75" s="1408"/>
    </row>
    <row r="76" spans="1:40" ht="36" hidden="1">
      <c r="A76" s="1070" t="s">
        <v>1032</v>
      </c>
      <c r="B76" s="2445" t="str">
        <f>估价对象房地状况!C20</f>
        <v>区域自然环境：；人文环境；综合评价环境状况一般</v>
      </c>
      <c r="C76" s="1162"/>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8"/>
      <c r="AN76" s="1409"/>
    </row>
    <row r="77" spans="1:40" ht="24.75" hidden="1" thickBot="1">
      <c r="A77" s="2475" t="s">
        <v>1039</v>
      </c>
      <c r="B77" s="1855"/>
      <c r="C77" s="1162"/>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10"/>
      <c r="AD77" s="1409"/>
      <c r="AJ77" s="1408"/>
      <c r="AN77" s="1409"/>
    </row>
    <row r="78" spans="1:40" ht="15">
      <c r="A78" s="2458" t="s">
        <v>1040</v>
      </c>
      <c r="B78" s="2459">
        <f>1+E80</f>
        <v>1.0258</v>
      </c>
      <c r="C78" s="2478"/>
      <c r="D78" s="2461"/>
      <c r="E78" s="2462"/>
      <c r="F78" s="2463"/>
      <c r="G78" s="2457"/>
      <c r="H78" s="2457"/>
      <c r="I78" s="2457"/>
      <c r="J78" s="1069"/>
      <c r="K78" s="1069"/>
      <c r="L78" s="1069"/>
      <c r="M78" s="1069"/>
      <c r="N78" s="1069"/>
      <c r="AC78" s="1410"/>
      <c r="AD78" s="1409"/>
      <c r="AJ78" s="1408"/>
      <c r="AN78" s="1409"/>
    </row>
    <row r="79" spans="1:40" ht="24">
      <c r="A79" s="1070" t="s">
        <v>1012</v>
      </c>
      <c r="B79" s="2442"/>
      <c r="C79" s="2464" t="s">
        <v>1014</v>
      </c>
      <c r="D79" s="2465" t="s">
        <v>1015</v>
      </c>
      <c r="E79" s="2466" t="s">
        <v>1017</v>
      </c>
      <c r="F79" s="2467" t="s">
        <v>2259</v>
      </c>
      <c r="G79" s="2465" t="s">
        <v>1018</v>
      </c>
      <c r="H79" s="2448" t="s">
        <v>2424</v>
      </c>
      <c r="I79" s="2465" t="s">
        <v>1016</v>
      </c>
      <c r="J79" s="2468" t="s">
        <v>1019</v>
      </c>
      <c r="K79" s="2468" t="s">
        <v>1020</v>
      </c>
      <c r="L79" s="2468" t="s">
        <v>1021</v>
      </c>
      <c r="M79" s="2468" t="s">
        <v>1022</v>
      </c>
      <c r="N79" s="2468" t="s">
        <v>1023</v>
      </c>
      <c r="AC79" s="1410"/>
      <c r="AD79" s="1409"/>
      <c r="AJ79" s="1408"/>
      <c r="AN79" s="1409"/>
    </row>
    <row r="80" spans="1:40" ht="36">
      <c r="A80" s="1070" t="s">
        <v>1041</v>
      </c>
      <c r="B80" s="2442" t="str">
        <f>估价对象房地状况!G15</f>
        <v>估价对象位于兴谷开发区，园区建设较成熟，产业集聚程度较好</v>
      </c>
      <c r="C80" s="1053" t="s">
        <v>2985</v>
      </c>
      <c r="D80" s="2451">
        <f t="shared" ref="D80:D87" si="25">SUMIF($J$79:$N$79,C80,J80:N80)</f>
        <v>6.0000000000000001E-3</v>
      </c>
      <c r="E80" s="2470">
        <f>ROUND(SUM(D80:D87),4)</f>
        <v>2.58E-2</v>
      </c>
      <c r="F80" s="2471">
        <f>IF(E2="工业",SUMIF(L1:L12,G2,N1:N12),"——")</f>
        <v>0.14000000000000001</v>
      </c>
      <c r="G80" s="2449">
        <v>6.0000000000000001E-3</v>
      </c>
      <c r="H80" s="2495">
        <f t="shared" ref="H80:H87" si="26">IFERROR(ROUNDDOWN($F$80*I80/2,4),"——")</f>
        <v>1.8200000000000001E-2</v>
      </c>
      <c r="I80" s="2469">
        <v>0.26</v>
      </c>
      <c r="J80" s="2472">
        <f t="shared" ref="J80:J87" si="27">K80+$G80</f>
        <v>1.2E-2</v>
      </c>
      <c r="K80" s="2472">
        <f t="shared" ref="K80:K87" si="28">$L80+$G80</f>
        <v>6.0000000000000001E-3</v>
      </c>
      <c r="L80" s="2472">
        <v>0</v>
      </c>
      <c r="M80" s="2472">
        <f t="shared" ref="M80:N87" si="29">L80-$G80</f>
        <v>-6.0000000000000001E-3</v>
      </c>
      <c r="N80" s="2472">
        <f t="shared" si="29"/>
        <v>-1.2E-2</v>
      </c>
      <c r="AC80" s="1410"/>
      <c r="AD80" s="1409"/>
      <c r="AJ80" s="1408"/>
      <c r="AN80" s="1409"/>
    </row>
    <row r="81" spans="1:40" ht="60">
      <c r="A81" s="1070" t="s">
        <v>1037</v>
      </c>
      <c r="B81" s="2442" t="str">
        <f>估价对象房地状况!G16</f>
        <v>估价对象周边2公里范围内有平3、平4、平30，路网密集程度较好，停车便捷程度较好，综合评价交通便捷度较好</v>
      </c>
      <c r="C81" s="1053" t="s">
        <v>2985</v>
      </c>
      <c r="D81" s="2451">
        <f t="shared" si="25"/>
        <v>8.0000000000000002E-3</v>
      </c>
      <c r="E81" s="2479"/>
      <c r="F81" s="2480"/>
      <c r="G81" s="2449">
        <v>8.0000000000000002E-3</v>
      </c>
      <c r="H81" s="2495">
        <f t="shared" si="26"/>
        <v>2.3099999999999999E-2</v>
      </c>
      <c r="I81" s="2469">
        <v>0.33</v>
      </c>
      <c r="J81" s="2472">
        <f t="shared" si="27"/>
        <v>1.6E-2</v>
      </c>
      <c r="K81" s="2472">
        <f t="shared" si="28"/>
        <v>8.0000000000000002E-3</v>
      </c>
      <c r="L81" s="2472">
        <v>0</v>
      </c>
      <c r="M81" s="2472">
        <f t="shared" si="29"/>
        <v>-8.0000000000000002E-3</v>
      </c>
      <c r="N81" s="2472">
        <f t="shared" si="29"/>
        <v>-1.6E-2</v>
      </c>
      <c r="AC81" s="1410"/>
      <c r="AD81" s="1409"/>
      <c r="AJ81" s="1408"/>
      <c r="AN81" s="1409"/>
    </row>
    <row r="82" spans="1:40" ht="24">
      <c r="A82" s="1070" t="s">
        <v>1026</v>
      </c>
      <c r="B82" s="2442" t="str">
        <f>估价对象房地状况!G17</f>
        <v>较一致，工业</v>
      </c>
      <c r="C82" s="1053" t="s">
        <v>2985</v>
      </c>
      <c r="D82" s="2451">
        <f t="shared" si="25"/>
        <v>1E-3</v>
      </c>
      <c r="E82" s="2479"/>
      <c r="F82" s="2480"/>
      <c r="G82" s="2449">
        <v>1E-3</v>
      </c>
      <c r="H82" s="2495">
        <f t="shared" si="26"/>
        <v>3.5000000000000001E-3</v>
      </c>
      <c r="I82" s="2469">
        <v>0.05</v>
      </c>
      <c r="J82" s="2472">
        <f t="shared" si="27"/>
        <v>2E-3</v>
      </c>
      <c r="K82" s="2472">
        <f t="shared" si="28"/>
        <v>1E-3</v>
      </c>
      <c r="L82" s="2472">
        <v>0</v>
      </c>
      <c r="M82" s="2472">
        <f t="shared" si="29"/>
        <v>-1E-3</v>
      </c>
      <c r="N82" s="2472">
        <f t="shared" si="29"/>
        <v>-2E-3</v>
      </c>
      <c r="AC82" s="1410"/>
      <c r="AD82" s="1409"/>
      <c r="AJ82" s="1408"/>
      <c r="AN82" s="1409"/>
    </row>
    <row r="83" spans="1:40" ht="14.25">
      <c r="A83" s="1070" t="s">
        <v>1038</v>
      </c>
      <c r="B83" s="2442" t="str">
        <f>估价对象房地状况!G22</f>
        <v>次干道－平瑞路</v>
      </c>
      <c r="C83" s="1053" t="s">
        <v>2985</v>
      </c>
      <c r="D83" s="2451">
        <f t="shared" si="25"/>
        <v>2.8E-3</v>
      </c>
      <c r="E83" s="2479"/>
      <c r="F83" s="2480"/>
      <c r="G83" s="2449">
        <f t="shared" ref="G83" si="30">H83</f>
        <v>2.8E-3</v>
      </c>
      <c r="H83" s="2495">
        <f t="shared" si="26"/>
        <v>2.8E-3</v>
      </c>
      <c r="I83" s="2469">
        <v>0.04</v>
      </c>
      <c r="J83" s="2472">
        <f t="shared" si="27"/>
        <v>5.5999999999999999E-3</v>
      </c>
      <c r="K83" s="2472">
        <f t="shared" si="28"/>
        <v>2.8E-3</v>
      </c>
      <c r="L83" s="2472">
        <v>0</v>
      </c>
      <c r="M83" s="2472">
        <f t="shared" si="29"/>
        <v>-2.8E-3</v>
      </c>
      <c r="N83" s="2472">
        <f t="shared" si="29"/>
        <v>-5.5999999999999999E-3</v>
      </c>
      <c r="AC83" s="1410"/>
      <c r="AD83" s="1409"/>
      <c r="AJ83" s="1408"/>
      <c r="AN83" s="1409"/>
    </row>
    <row r="84" spans="1:40" ht="24">
      <c r="A84" s="1070" t="s">
        <v>1030</v>
      </c>
      <c r="B84" s="2443" t="str">
        <f>估价对象房地状况!G19</f>
        <v>估价对象所在区域公共配套设施齐备情况一般</v>
      </c>
      <c r="C84" s="1053" t="s">
        <v>2986</v>
      </c>
      <c r="D84" s="2451">
        <f t="shared" si="25"/>
        <v>0</v>
      </c>
      <c r="E84" s="2479"/>
      <c r="F84" s="2480"/>
      <c r="G84" s="2449">
        <v>1E-3</v>
      </c>
      <c r="H84" s="2495">
        <f t="shared" si="26"/>
        <v>4.1999999999999997E-3</v>
      </c>
      <c r="I84" s="2469">
        <v>0.06</v>
      </c>
      <c r="J84" s="2472">
        <f t="shared" si="27"/>
        <v>2E-3</v>
      </c>
      <c r="K84" s="2472">
        <f t="shared" si="28"/>
        <v>1E-3</v>
      </c>
      <c r="L84" s="2472">
        <v>0</v>
      </c>
      <c r="M84" s="2472">
        <f t="shared" si="29"/>
        <v>-1E-3</v>
      </c>
      <c r="N84" s="2472">
        <f t="shared" si="29"/>
        <v>-2E-3</v>
      </c>
      <c r="AC84" s="1410"/>
      <c r="AD84" s="1409"/>
      <c r="AJ84" s="1408"/>
      <c r="AN84" s="1409"/>
    </row>
    <row r="85" spans="1:40" ht="24">
      <c r="A85" s="1070" t="s">
        <v>1031</v>
      </c>
      <c r="B85" s="2443" t="str">
        <f>估价对象房地状况!G20</f>
        <v>估价对象所在区域基础设施水平：七通</v>
      </c>
      <c r="C85" s="1053" t="s">
        <v>2999</v>
      </c>
      <c r="D85" s="2451">
        <f t="shared" si="25"/>
        <v>6.0000000000000001E-3</v>
      </c>
      <c r="E85" s="2479"/>
      <c r="F85" s="2480"/>
      <c r="G85" s="2449">
        <v>3.0000000000000001E-3</v>
      </c>
      <c r="H85" s="2495">
        <f t="shared" si="26"/>
        <v>1.0500000000000001E-2</v>
      </c>
      <c r="I85" s="2469">
        <v>0.15</v>
      </c>
      <c r="J85" s="2472">
        <f t="shared" si="27"/>
        <v>6.0000000000000001E-3</v>
      </c>
      <c r="K85" s="2472">
        <f t="shared" si="28"/>
        <v>3.0000000000000001E-3</v>
      </c>
      <c r="L85" s="2472">
        <v>0</v>
      </c>
      <c r="M85" s="2472">
        <f t="shared" si="29"/>
        <v>-3.0000000000000001E-3</v>
      </c>
      <c r="N85" s="2472">
        <f t="shared" si="29"/>
        <v>-6.0000000000000001E-3</v>
      </c>
      <c r="AC85" s="1410"/>
      <c r="AD85" s="1409"/>
      <c r="AJ85" s="1408"/>
      <c r="AN85" s="1409"/>
    </row>
    <row r="86" spans="1:40" ht="24">
      <c r="A86" s="1070" t="s">
        <v>1029</v>
      </c>
      <c r="B86" s="3133" t="s">
        <v>2998</v>
      </c>
      <c r="C86" s="1053" t="s">
        <v>2985</v>
      </c>
      <c r="D86" s="2451">
        <f t="shared" si="25"/>
        <v>1E-3</v>
      </c>
      <c r="E86" s="2479"/>
      <c r="F86" s="2480"/>
      <c r="G86" s="2449">
        <v>1E-3</v>
      </c>
      <c r="H86" s="2495">
        <f t="shared" si="26"/>
        <v>3.5000000000000001E-3</v>
      </c>
      <c r="I86" s="2469">
        <v>0.05</v>
      </c>
      <c r="J86" s="2472">
        <f t="shared" si="27"/>
        <v>2E-3</v>
      </c>
      <c r="K86" s="2472">
        <f t="shared" si="28"/>
        <v>1E-3</v>
      </c>
      <c r="L86" s="2472">
        <v>0</v>
      </c>
      <c r="M86" s="2472">
        <f t="shared" si="29"/>
        <v>-1E-3</v>
      </c>
      <c r="N86" s="2472">
        <f t="shared" si="29"/>
        <v>-2E-3</v>
      </c>
      <c r="AC86" s="1410"/>
      <c r="AD86" s="1409"/>
      <c r="AJ86" s="1408"/>
      <c r="AN86" s="1409"/>
    </row>
    <row r="87" spans="1:40" ht="48.75" thickBot="1">
      <c r="A87" s="2475" t="s">
        <v>1042</v>
      </c>
      <c r="B87" s="2444" t="str">
        <f>估价对象房地状况!G18</f>
        <v>该园区内是否有污染型企业，绿化情况，卫生条件，整体环境状况判断：较好</v>
      </c>
      <c r="C87" s="1053" t="s">
        <v>2985</v>
      </c>
      <c r="D87" s="2451">
        <f t="shared" si="25"/>
        <v>1E-3</v>
      </c>
      <c r="E87" s="2481"/>
      <c r="F87" s="2480"/>
      <c r="G87" s="2449">
        <v>1E-3</v>
      </c>
      <c r="H87" s="2495">
        <f t="shared" si="26"/>
        <v>4.1999999999999997E-3</v>
      </c>
      <c r="I87" s="2476">
        <v>0.06</v>
      </c>
      <c r="J87" s="2472">
        <f t="shared" si="27"/>
        <v>2E-3</v>
      </c>
      <c r="K87" s="2472">
        <f t="shared" si="28"/>
        <v>1E-3</v>
      </c>
      <c r="L87" s="2472">
        <v>0</v>
      </c>
      <c r="M87" s="2472">
        <f t="shared" si="29"/>
        <v>-1E-3</v>
      </c>
      <c r="N87" s="2472">
        <f t="shared" si="29"/>
        <v>-2E-3</v>
      </c>
      <c r="AC87" s="1410"/>
      <c r="AD87" s="1409"/>
      <c r="AJ87" s="1408"/>
      <c r="AN87" s="1409"/>
    </row>
    <row r="90" spans="1:40">
      <c r="A90" s="3350" t="s">
        <v>1637</v>
      </c>
      <c r="B90" s="3350"/>
      <c r="C90" s="3350"/>
      <c r="D90" s="3350"/>
      <c r="E90" s="3350"/>
      <c r="F90" s="3350"/>
      <c r="G90" s="3350"/>
      <c r="H90" s="3350"/>
      <c r="I90" s="3350"/>
      <c r="J90" s="3350"/>
      <c r="K90" s="2484"/>
      <c r="L90" s="2484"/>
      <c r="M90" s="2484"/>
      <c r="N90" s="2484"/>
    </row>
    <row r="91" spans="1:40">
      <c r="A91" s="3351" t="s">
        <v>1447</v>
      </c>
      <c r="B91" s="3351" t="s">
        <v>1638</v>
      </c>
      <c r="C91" s="1143" t="s">
        <v>1639</v>
      </c>
      <c r="D91" s="1144"/>
      <c r="E91" s="1144"/>
      <c r="F91" s="1144"/>
      <c r="G91" s="1144"/>
      <c r="H91" s="1144"/>
      <c r="I91" s="1144"/>
      <c r="J91" s="1145"/>
      <c r="K91" s="1137"/>
      <c r="L91" s="1137"/>
      <c r="M91" s="1137"/>
      <c r="N91" s="1137"/>
    </row>
    <row r="92" spans="1:40">
      <c r="A92" s="3351"/>
      <c r="B92" s="3351"/>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340"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4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4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4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4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4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41"/>
      <c r="B99" s="1146" t="s">
        <v>1640</v>
      </c>
      <c r="C99" s="1148">
        <f>$I$3</f>
        <v>0</v>
      </c>
      <c r="D99" s="1148">
        <f t="shared" ref="D99:N99" si="31">$I$3</f>
        <v>0</v>
      </c>
      <c r="E99" s="1148">
        <f t="shared" si="31"/>
        <v>0</v>
      </c>
      <c r="F99" s="1148">
        <f t="shared" si="31"/>
        <v>0</v>
      </c>
      <c r="G99" s="1148">
        <f t="shared" si="31"/>
        <v>0</v>
      </c>
      <c r="H99" s="1148">
        <f t="shared" si="31"/>
        <v>0</v>
      </c>
      <c r="I99" s="1148">
        <f t="shared" si="31"/>
        <v>0</v>
      </c>
      <c r="J99" s="1148">
        <f t="shared" si="31"/>
        <v>0</v>
      </c>
      <c r="K99" s="1148">
        <f t="shared" si="31"/>
        <v>0</v>
      </c>
      <c r="L99" s="1148">
        <f t="shared" si="31"/>
        <v>0</v>
      </c>
      <c r="M99" s="1148">
        <f t="shared" si="31"/>
        <v>0</v>
      </c>
      <c r="N99" s="1148">
        <f t="shared" si="31"/>
        <v>0</v>
      </c>
    </row>
    <row r="100" spans="1:14">
      <c r="A100" s="3342"/>
      <c r="B100" s="1146">
        <v>7</v>
      </c>
      <c r="C100" s="1149">
        <f>(-0.163*(C99^2)-0.59*C99+7617)*(10^(-4))</f>
        <v>0.76170000000000004</v>
      </c>
      <c r="D100" s="1149">
        <f>(-0.163*(D99^2)-0.59*D99+7617)*(10^(-4))</f>
        <v>0.76170000000000004</v>
      </c>
      <c r="E100" s="1149">
        <f>(-0.161*(E99^2)-7.509*E99+6533)*(10^(-4))</f>
        <v>0.65329999999999999</v>
      </c>
      <c r="F100" s="1149">
        <f>(-0.161*(F99^2)-7.509*F99+6533)*(10^(-4))</f>
        <v>0.65329999999999999</v>
      </c>
      <c r="G100" s="1149">
        <f>(-0.161*(G99^2)-7.509*G99+6533)*(10^(-4))</f>
        <v>0.65329999999999999</v>
      </c>
      <c r="H100" s="1149">
        <f>(-0.161*(H99^2)-7.509*H99+6533)*(10^(-4))</f>
        <v>0.65329999999999999</v>
      </c>
      <c r="I100" s="1149">
        <f>(-0.161*(I99^2)-7.509*I99+6533)*(10^(-4))</f>
        <v>0.65329999999999999</v>
      </c>
      <c r="J100" s="1149">
        <f>(-0.214*(J99^2)-21.991*J99+4665)*(10^(-4))</f>
        <v>0.46650000000000003</v>
      </c>
      <c r="K100" s="1149">
        <f>(-0.214*(K99^2)-21.991*K99+4665)*(10^(-4))</f>
        <v>0.46650000000000003</v>
      </c>
      <c r="L100" s="1149">
        <f>(-0.214*(L99^2)-21.991*L99+4665)*(10^(-4))</f>
        <v>0.46650000000000003</v>
      </c>
      <c r="M100" s="1149">
        <f>(-0.214*(M99^2)-21.991*M99+4665)*(10^(-4))</f>
        <v>0.46650000000000003</v>
      </c>
      <c r="N100" s="1149">
        <f>(-0.214*(N99^2)-21.991*N99+4665)*(10^(-4))</f>
        <v>0.46650000000000003</v>
      </c>
    </row>
    <row r="101" spans="1:14">
      <c r="A101" s="3340" t="s">
        <v>1641</v>
      </c>
      <c r="B101" s="1150" t="s">
        <v>909</v>
      </c>
      <c r="C101" s="1151">
        <f>$G$3</f>
        <v>1</v>
      </c>
      <c r="D101" s="1151">
        <f t="shared" ref="D101:N101" si="32">$G$3</f>
        <v>1</v>
      </c>
      <c r="E101" s="1151">
        <f t="shared" si="32"/>
        <v>1</v>
      </c>
      <c r="F101" s="1151">
        <f t="shared" si="32"/>
        <v>1</v>
      </c>
      <c r="G101" s="1151">
        <f t="shared" si="32"/>
        <v>1</v>
      </c>
      <c r="H101" s="1151">
        <f t="shared" si="32"/>
        <v>1</v>
      </c>
      <c r="I101" s="1151">
        <f t="shared" si="32"/>
        <v>1</v>
      </c>
      <c r="J101" s="1151">
        <f t="shared" si="32"/>
        <v>1</v>
      </c>
      <c r="K101" s="1151">
        <f t="shared" si="32"/>
        <v>1</v>
      </c>
      <c r="L101" s="1151">
        <f t="shared" si="32"/>
        <v>1</v>
      </c>
      <c r="M101" s="1151">
        <f t="shared" si="32"/>
        <v>1</v>
      </c>
      <c r="N101" s="1151">
        <f t="shared" si="32"/>
        <v>1</v>
      </c>
    </row>
    <row r="102" spans="1:14">
      <c r="A102" s="3341"/>
      <c r="B102" s="1146">
        <v>1</v>
      </c>
      <c r="C102" s="1147">
        <f>1.9362/C101</f>
        <v>1.9361999999999999</v>
      </c>
      <c r="D102" s="1147">
        <f>1.9362/D101</f>
        <v>1.9361999999999999</v>
      </c>
      <c r="E102" s="1147">
        <f>1.8629/E101</f>
        <v>1.8629</v>
      </c>
      <c r="F102" s="1147">
        <f>1.8629/F101</f>
        <v>1.8629</v>
      </c>
      <c r="G102" s="1147">
        <f>1.8629/G101</f>
        <v>1.8629</v>
      </c>
      <c r="H102" s="1147">
        <f>1.8629/H101</f>
        <v>1.8629</v>
      </c>
      <c r="I102" s="1147">
        <f>1.8629/I101</f>
        <v>1.8629</v>
      </c>
      <c r="J102" s="1147">
        <f>1.942/J101</f>
        <v>1.9419999999999999</v>
      </c>
      <c r="K102" s="1147">
        <f>1.942/K101</f>
        <v>1.9419999999999999</v>
      </c>
      <c r="L102" s="1147">
        <f>1.942/L101</f>
        <v>1.9419999999999999</v>
      </c>
      <c r="M102" s="1147">
        <f>1.942/M101</f>
        <v>1.9419999999999999</v>
      </c>
      <c r="N102" s="1147">
        <f>1.942/N101</f>
        <v>1.9419999999999999</v>
      </c>
    </row>
    <row r="103" spans="1:14">
      <c r="A103" s="3341"/>
      <c r="B103" s="1146">
        <v>2</v>
      </c>
      <c r="C103" s="1147">
        <f>1.4198/C101</f>
        <v>1.4198</v>
      </c>
      <c r="D103" s="1147">
        <f>1.4198/D101</f>
        <v>1.4198</v>
      </c>
      <c r="E103" s="1147">
        <f>1.3372/E101</f>
        <v>1.3371999999999999</v>
      </c>
      <c r="F103" s="1147">
        <f>1.3372/F101</f>
        <v>1.3371999999999999</v>
      </c>
      <c r="G103" s="1147">
        <f>1.3372/G101</f>
        <v>1.3371999999999999</v>
      </c>
      <c r="H103" s="1147">
        <f>1.3372/H101</f>
        <v>1.3371999999999999</v>
      </c>
      <c r="I103" s="1147">
        <f>1.3372/I101</f>
        <v>1.3371999999999999</v>
      </c>
      <c r="J103" s="1147">
        <f>1.2799/J101</f>
        <v>1.2799</v>
      </c>
      <c r="K103" s="1147">
        <f>1.2799/K101</f>
        <v>1.2799</v>
      </c>
      <c r="L103" s="1147">
        <f>1.2799/L101</f>
        <v>1.2799</v>
      </c>
      <c r="M103" s="1147">
        <f>1.2799/M101</f>
        <v>1.2799</v>
      </c>
      <c r="N103" s="1147">
        <f>1.2799/N101</f>
        <v>1.2799</v>
      </c>
    </row>
    <row r="104" spans="1:14">
      <c r="A104" s="3341"/>
      <c r="B104" s="1146">
        <v>3</v>
      </c>
      <c r="C104" s="1147">
        <f>1.1594/C101</f>
        <v>1.1594</v>
      </c>
      <c r="D104" s="1147">
        <f>1.1594/D101</f>
        <v>1.1594</v>
      </c>
      <c r="E104" s="1147">
        <f>1.0788/E101</f>
        <v>1.0788</v>
      </c>
      <c r="F104" s="1147">
        <f>1.0788/F101</f>
        <v>1.0788</v>
      </c>
      <c r="G104" s="1147">
        <f>1.0788/G101</f>
        <v>1.0788</v>
      </c>
      <c r="H104" s="1147">
        <f>1.0788/H101</f>
        <v>1.0788</v>
      </c>
      <c r="I104" s="1147">
        <f>1.0788/I101</f>
        <v>1.0788</v>
      </c>
      <c r="J104" s="1147">
        <f>1.0072/J101</f>
        <v>1.0072000000000001</v>
      </c>
      <c r="K104" s="1147">
        <f>1.0072/K101</f>
        <v>1.0072000000000001</v>
      </c>
      <c r="L104" s="1147">
        <f>1.0072/L101</f>
        <v>1.0072000000000001</v>
      </c>
      <c r="M104" s="1147">
        <f>1.0072/M101</f>
        <v>1.0072000000000001</v>
      </c>
      <c r="N104" s="1147">
        <f>1.0072/N101</f>
        <v>1.0072000000000001</v>
      </c>
    </row>
    <row r="105" spans="1:14">
      <c r="A105" s="3341"/>
      <c r="B105" s="1146">
        <v>4</v>
      </c>
      <c r="C105" s="1147">
        <f>0.9622/C101</f>
        <v>0.96220000000000006</v>
      </c>
      <c r="D105" s="1147">
        <f>0.9622/D101</f>
        <v>0.96220000000000006</v>
      </c>
      <c r="E105" s="1147">
        <f>0.8656/E101</f>
        <v>0.86560000000000004</v>
      </c>
      <c r="F105" s="1147">
        <f>0.8656/F101</f>
        <v>0.86560000000000004</v>
      </c>
      <c r="G105" s="1147">
        <f>0.8656/G101</f>
        <v>0.86560000000000004</v>
      </c>
      <c r="H105" s="1147">
        <f>0.8656/H101</f>
        <v>0.86560000000000004</v>
      </c>
      <c r="I105" s="1147">
        <f>0.8656/I101</f>
        <v>0.86560000000000004</v>
      </c>
      <c r="J105" s="1147">
        <f>0.7525/J101</f>
        <v>0.75249999999999995</v>
      </c>
      <c r="K105" s="1147">
        <f>0.7525/K101</f>
        <v>0.75249999999999995</v>
      </c>
      <c r="L105" s="1147">
        <f>0.7525/L101</f>
        <v>0.75249999999999995</v>
      </c>
      <c r="M105" s="1147">
        <f>0.7525/M101</f>
        <v>0.75249999999999995</v>
      </c>
      <c r="N105" s="1147">
        <f>0.7525/N101</f>
        <v>0.75249999999999995</v>
      </c>
    </row>
    <row r="106" spans="1:14">
      <c r="A106" s="3341"/>
      <c r="B106" s="1146">
        <v>5</v>
      </c>
      <c r="C106" s="1147">
        <f>0.8417/C101</f>
        <v>0.8417</v>
      </c>
      <c r="D106" s="1147">
        <f>0.8417/D101</f>
        <v>0.8417</v>
      </c>
      <c r="E106" s="1147">
        <f>0.7371/E101</f>
        <v>0.73709999999999998</v>
      </c>
      <c r="F106" s="1147">
        <f>0.7371/F101</f>
        <v>0.73709999999999998</v>
      </c>
      <c r="G106" s="1147">
        <f>0.7371/G101</f>
        <v>0.73709999999999998</v>
      </c>
      <c r="H106" s="1147">
        <f>0.7371/H101</f>
        <v>0.73709999999999998</v>
      </c>
      <c r="I106" s="1147">
        <f>0.7371/I101</f>
        <v>0.73709999999999998</v>
      </c>
      <c r="J106" s="1147">
        <f>0.5659/J101</f>
        <v>0.56589999999999996</v>
      </c>
      <c r="K106" s="1147">
        <f>0.5659/K101</f>
        <v>0.56589999999999996</v>
      </c>
      <c r="L106" s="1147">
        <f>0.5659/L101</f>
        <v>0.56589999999999996</v>
      </c>
      <c r="M106" s="1147">
        <f>0.5659/M101</f>
        <v>0.56589999999999996</v>
      </c>
      <c r="N106" s="1147">
        <f>0.5659/N101</f>
        <v>0.56589999999999996</v>
      </c>
    </row>
    <row r="107" spans="1:14">
      <c r="A107" s="3341"/>
      <c r="B107" s="1146">
        <v>6</v>
      </c>
      <c r="C107" s="1147">
        <f>0.7608/C101</f>
        <v>0.76080000000000003</v>
      </c>
      <c r="D107" s="1147">
        <f>0.7608/D101</f>
        <v>0.76080000000000003</v>
      </c>
      <c r="E107" s="1147">
        <f>0.6482/E101</f>
        <v>0.6482</v>
      </c>
      <c r="F107" s="1147">
        <f>0.6482/F101</f>
        <v>0.6482</v>
      </c>
      <c r="G107" s="1147">
        <f>0.6482/G101</f>
        <v>0.6482</v>
      </c>
      <c r="H107" s="1147">
        <f>0.6482/H101</f>
        <v>0.6482</v>
      </c>
      <c r="I107" s="1147">
        <f>0.6482/I101</f>
        <v>0.6482</v>
      </c>
      <c r="J107" s="1147">
        <f>0.4525/J101</f>
        <v>0.45250000000000001</v>
      </c>
      <c r="K107" s="1147">
        <f>0.4525/K101</f>
        <v>0.45250000000000001</v>
      </c>
      <c r="L107" s="1147">
        <f>0.4525/L101</f>
        <v>0.45250000000000001</v>
      </c>
      <c r="M107" s="1147">
        <f>0.4525/M101</f>
        <v>0.45250000000000001</v>
      </c>
      <c r="N107" s="1147">
        <f>0.4525/N101</f>
        <v>0.45250000000000001</v>
      </c>
    </row>
    <row r="108" spans="1:14">
      <c r="A108" s="3341"/>
      <c r="B108" s="3343" t="s">
        <v>1642</v>
      </c>
      <c r="C108" s="1148">
        <f>C99</f>
        <v>0</v>
      </c>
      <c r="D108" s="1148">
        <f t="shared" ref="D108:N108" si="33">D99</f>
        <v>0</v>
      </c>
      <c r="E108" s="1148">
        <f t="shared" si="33"/>
        <v>0</v>
      </c>
      <c r="F108" s="1148">
        <f t="shared" si="33"/>
        <v>0</v>
      </c>
      <c r="G108" s="1148">
        <f t="shared" si="33"/>
        <v>0</v>
      </c>
      <c r="H108" s="1148">
        <f t="shared" si="33"/>
        <v>0</v>
      </c>
      <c r="I108" s="1148">
        <f t="shared" si="33"/>
        <v>0</v>
      </c>
      <c r="J108" s="1148">
        <f t="shared" si="33"/>
        <v>0</v>
      </c>
      <c r="K108" s="1148">
        <f t="shared" si="33"/>
        <v>0</v>
      </c>
      <c r="L108" s="1148">
        <f t="shared" si="33"/>
        <v>0</v>
      </c>
      <c r="M108" s="1148">
        <f t="shared" si="33"/>
        <v>0</v>
      </c>
      <c r="N108" s="1148">
        <f t="shared" si="33"/>
        <v>0</v>
      </c>
    </row>
    <row r="109" spans="1:14">
      <c r="A109" s="3342"/>
      <c r="B109" s="3344"/>
      <c r="C109" s="1149">
        <f>(-0.163*(C108^2)-0.59*C108+7617)*(10^(-4))/C101</f>
        <v>0.76170000000000004</v>
      </c>
      <c r="D109" s="1149">
        <f>(-0.163*(D108^2)-0.59*D108+7617)*(10^(-4))/D101</f>
        <v>0.76170000000000004</v>
      </c>
      <c r="E109" s="1149">
        <f>(-0.161*(E108^2)-7.509*E108+6533)*(10^(-4))/E101</f>
        <v>0.65329999999999999</v>
      </c>
      <c r="F109" s="1149">
        <f>(-0.161*(F108^2)-7.509*F108+6533)*(10^(-4))/F101</f>
        <v>0.65329999999999999</v>
      </c>
      <c r="G109" s="1149">
        <f>(-0.161*(G108^2)-7.509*G108+6533)*(10^(-4))/G101</f>
        <v>0.65329999999999999</v>
      </c>
      <c r="H109" s="1149">
        <f>(-0.161*(H108^2)-7.509*H108+6533)*(10^(-4))/H101</f>
        <v>0.65329999999999999</v>
      </c>
      <c r="I109" s="1149">
        <f>(-0.161*(I108^2)-7.509*I108+6533)*(10^(-4))/I101</f>
        <v>0.65329999999999999</v>
      </c>
      <c r="J109" s="1149">
        <f>(-0.214*(J108^2)-21.991*J108+4665)*(10^(-4))/J101</f>
        <v>0.46650000000000003</v>
      </c>
      <c r="K109" s="1149">
        <f>(-0.214*(K108^2)-21.991*K108+4665)*(10^(-4))/K101</f>
        <v>0.46650000000000003</v>
      </c>
      <c r="L109" s="1149">
        <f>(-0.214*(L108^2)-21.991*L108+4665)*(10^(-4))/L101</f>
        <v>0.46650000000000003</v>
      </c>
      <c r="M109" s="1149">
        <f>(-0.214*(M108^2)-21.991*M108+4665)*(10^(-4))/M101</f>
        <v>0.46650000000000003</v>
      </c>
      <c r="N109" s="1149">
        <f>(-0.214*(N108^2)-21.991*N108+4665)*(10^(-4))/N101</f>
        <v>0.46650000000000003</v>
      </c>
    </row>
    <row r="110" spans="1:14">
      <c r="A110" s="3345" t="s">
        <v>1643</v>
      </c>
      <c r="B110" s="3345"/>
      <c r="C110" s="3345"/>
      <c r="D110" s="3345"/>
      <c r="E110" s="3345"/>
      <c r="F110" s="3345"/>
      <c r="G110" s="3345"/>
      <c r="H110" s="3345"/>
      <c r="I110" s="3345"/>
      <c r="J110" s="3345"/>
      <c r="K110" s="2482"/>
      <c r="L110" s="2482"/>
      <c r="M110" s="2482"/>
      <c r="N110" s="2482"/>
    </row>
    <row r="112" spans="1:14" ht="12.75" thickBot="1"/>
    <row r="113" spans="1:13" ht="25.5" thickBot="1">
      <c r="A113" s="1019" t="s">
        <v>899</v>
      </c>
      <c r="B113" s="2485">
        <f>G3</f>
        <v>1</v>
      </c>
      <c r="C113" s="1020" t="s">
        <v>900</v>
      </c>
      <c r="D113" s="1021">
        <f>SUMPRODUCT((A115:A118=F113)*(B114:M114=H113)*B115:M118)</f>
        <v>0.55310000000000004</v>
      </c>
      <c r="E113" s="1022" t="s">
        <v>901</v>
      </c>
      <c r="F113" s="1023" t="str">
        <f>E2</f>
        <v>工业</v>
      </c>
      <c r="G113" s="1022" t="s">
        <v>902</v>
      </c>
      <c r="H113" s="1023" t="str">
        <f>G2</f>
        <v>十级</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0.92410000000000003</v>
      </c>
      <c r="C115" s="1033">
        <f>B115</f>
        <v>0.92410000000000003</v>
      </c>
      <c r="D115" s="1033">
        <f>ROUND(0.8331-0.0109*B113,4)</f>
        <v>0.82220000000000004</v>
      </c>
      <c r="E115" s="1033">
        <f>D115</f>
        <v>0.82220000000000004</v>
      </c>
      <c r="F115" s="1033">
        <f>E115</f>
        <v>0.82220000000000004</v>
      </c>
      <c r="G115" s="1033">
        <f>F115</f>
        <v>0.82220000000000004</v>
      </c>
      <c r="H115" s="1033">
        <f>G115</f>
        <v>0.82220000000000004</v>
      </c>
      <c r="I115" s="1033">
        <f>ROUND(0.689-0.0155*B113,4)</f>
        <v>0.67349999999999999</v>
      </c>
      <c r="J115" s="1033">
        <f t="shared" ref="J115:M118" si="34">I115</f>
        <v>0.67349999999999999</v>
      </c>
      <c r="K115" s="1033">
        <f t="shared" si="34"/>
        <v>0.67349999999999999</v>
      </c>
      <c r="L115" s="1033">
        <f t="shared" si="34"/>
        <v>0.67349999999999999</v>
      </c>
      <c r="M115" s="1034">
        <f t="shared" si="34"/>
        <v>0.67349999999999999</v>
      </c>
    </row>
    <row r="116" spans="1:13" ht="12.75">
      <c r="A116" s="1032" t="s">
        <v>904</v>
      </c>
      <c r="B116" s="1033">
        <f>ROUND(0.949-0.012*B113,4)</f>
        <v>0.93700000000000006</v>
      </c>
      <c r="C116" s="1033">
        <f>B116</f>
        <v>0.93700000000000006</v>
      </c>
      <c r="D116" s="1033">
        <f>ROUND(0.8567-0.013*B113,4)</f>
        <v>0.84370000000000001</v>
      </c>
      <c r="E116" s="1033">
        <f t="shared" ref="E116:H117" si="35">D116</f>
        <v>0.84370000000000001</v>
      </c>
      <c r="F116" s="1033">
        <f t="shared" si="35"/>
        <v>0.84370000000000001</v>
      </c>
      <c r="G116" s="1033">
        <f t="shared" si="35"/>
        <v>0.84370000000000001</v>
      </c>
      <c r="H116" s="1033">
        <f t="shared" si="35"/>
        <v>0.84370000000000001</v>
      </c>
      <c r="I116" s="1033">
        <f>ROUND(0.7694-0.014*B113,4)</f>
        <v>0.75539999999999996</v>
      </c>
      <c r="J116" s="1033">
        <f t="shared" si="34"/>
        <v>0.75539999999999996</v>
      </c>
      <c r="K116" s="1033">
        <f t="shared" si="34"/>
        <v>0.75539999999999996</v>
      </c>
      <c r="L116" s="1033">
        <f t="shared" si="34"/>
        <v>0.75539999999999996</v>
      </c>
      <c r="M116" s="1034">
        <f t="shared" si="34"/>
        <v>0.75539999999999996</v>
      </c>
    </row>
    <row r="117" spans="1:13" ht="12.75">
      <c r="A117" s="1035" t="s">
        <v>905</v>
      </c>
      <c r="B117" s="1033">
        <f>ROUND(0.8808-0.006*B113,4)</f>
        <v>0.87480000000000002</v>
      </c>
      <c r="C117" s="1033">
        <f>B117</f>
        <v>0.87480000000000002</v>
      </c>
      <c r="D117" s="1033">
        <f>ROUND(0.8748-0.008*B113,4)</f>
        <v>0.86680000000000001</v>
      </c>
      <c r="E117" s="1033">
        <f t="shared" si="35"/>
        <v>0.86680000000000001</v>
      </c>
      <c r="F117" s="1033">
        <f t="shared" si="35"/>
        <v>0.86680000000000001</v>
      </c>
      <c r="G117" s="1033">
        <f t="shared" si="35"/>
        <v>0.86680000000000001</v>
      </c>
      <c r="H117" s="1033">
        <f t="shared" si="35"/>
        <v>0.86680000000000001</v>
      </c>
      <c r="I117" s="1033">
        <f>ROUND(0.7412-0.0095*B113,4)</f>
        <v>0.73170000000000002</v>
      </c>
      <c r="J117" s="1033">
        <f t="shared" si="34"/>
        <v>0.73170000000000002</v>
      </c>
      <c r="K117" s="1033">
        <f t="shared" si="34"/>
        <v>0.73170000000000002</v>
      </c>
      <c r="L117" s="1033">
        <f t="shared" si="34"/>
        <v>0.73170000000000002</v>
      </c>
      <c r="M117" s="1034">
        <f t="shared" si="34"/>
        <v>0.73170000000000002</v>
      </c>
    </row>
    <row r="118" spans="1:13" ht="13.5" thickBot="1">
      <c r="A118" s="1036" t="s">
        <v>906</v>
      </c>
      <c r="B118" s="1037">
        <f>ROUND(0.7275-0.01*B113,4)</f>
        <v>0.71750000000000003</v>
      </c>
      <c r="C118" s="1037">
        <f>B118</f>
        <v>0.71750000000000003</v>
      </c>
      <c r="D118" s="1037">
        <f>ROUND(0.7043-0.012*B113,4)</f>
        <v>0.69230000000000003</v>
      </c>
      <c r="E118" s="1037">
        <f>D118</f>
        <v>0.69230000000000003</v>
      </c>
      <c r="F118" s="1037">
        <f>E118</f>
        <v>0.69230000000000003</v>
      </c>
      <c r="G118" s="1037">
        <f>ROUND(0.6299-0.0122*B113,4)</f>
        <v>0.61770000000000003</v>
      </c>
      <c r="H118" s="1037">
        <f>G118</f>
        <v>0.61770000000000003</v>
      </c>
      <c r="I118" s="1037">
        <f>ROUND(0.5667-0.0136*B113,4)</f>
        <v>0.55310000000000004</v>
      </c>
      <c r="J118" s="1037">
        <f t="shared" si="34"/>
        <v>0.55310000000000004</v>
      </c>
      <c r="K118" s="1037">
        <f t="shared" si="34"/>
        <v>0.55310000000000004</v>
      </c>
      <c r="L118" s="1037">
        <f t="shared" si="34"/>
        <v>0.55310000000000004</v>
      </c>
      <c r="M118" s="1038">
        <f t="shared" si="34"/>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8" sqref="C8"/>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5">
        <f>MATCH(B1,'数据-取费表'!A6:A16,0)+5</f>
        <v>7</v>
      </c>
    </row>
    <row r="2" spans="1:31" s="2046" customFormat="1" ht="18" customHeight="1">
      <c r="A2" s="2110" t="s">
        <v>467</v>
      </c>
      <c r="B2" s="2114">
        <f ca="1">C36</f>
        <v>14569</v>
      </c>
      <c r="C2" s="2113"/>
      <c r="D2" s="2113"/>
      <c r="E2" s="2113"/>
      <c r="F2" s="2113"/>
      <c r="G2" s="2113"/>
      <c r="H2" s="2113"/>
      <c r="I2" s="2113"/>
      <c r="J2" s="2113"/>
      <c r="K2" s="2113"/>
    </row>
    <row r="3" spans="1:31" s="2046" customFormat="1" ht="18" customHeight="1">
      <c r="A3" s="2115" t="s">
        <v>1688</v>
      </c>
      <c r="B3" s="2116">
        <f ca="1">ROUND(B2*10000/IF(B1="",'数据-汇总表'!E3,INDIRECT("'数据-取费表'!K"&amp;$K$1)),0)</f>
        <v>3552</v>
      </c>
      <c r="C3" s="2113"/>
      <c r="D3" s="2113"/>
      <c r="E3" s="2113"/>
      <c r="F3" s="2113"/>
      <c r="G3" s="2113"/>
      <c r="H3" s="2113"/>
      <c r="I3" s="2113"/>
      <c r="J3" s="2113"/>
      <c r="K3" s="2113"/>
    </row>
    <row r="4" spans="1:31" s="2046" customFormat="1" ht="18" customHeight="1">
      <c r="A4" s="429" t="s">
        <v>468</v>
      </c>
      <c r="B4" s="430">
        <f ca="1">ROUND(B2*10000/IF(B1="",'数据-汇总表'!D3,INDIRECT("'数据-取费表'!R"&amp;$K$1)),0)</f>
        <v>3552</v>
      </c>
      <c r="C4" s="431"/>
      <c r="D4" s="425"/>
      <c r="E4" s="425"/>
      <c r="F4" s="425"/>
      <c r="G4" s="425"/>
      <c r="H4" s="425"/>
      <c r="I4" s="425"/>
      <c r="J4" s="425"/>
      <c r="K4" s="425"/>
    </row>
    <row r="5" spans="1:31" s="2046" customFormat="1" ht="18" customHeight="1" thickBot="1">
      <c r="A5" s="432"/>
      <c r="B5" s="433">
        <f ca="1">ROUND(B2/(IF(B1="",'数据-汇总表'!D3,INDIRECT("'数据-取费表'!R"&amp;$K$1))/666.67),0)</f>
        <v>237</v>
      </c>
      <c r="C5" s="434" t="s">
        <v>469</v>
      </c>
      <c r="D5" s="425"/>
      <c r="E5" s="425"/>
      <c r="F5" s="425"/>
      <c r="G5" s="425"/>
      <c r="H5" s="425"/>
      <c r="I5" s="425"/>
      <c r="J5" s="425"/>
      <c r="K5" s="425"/>
    </row>
    <row r="6" spans="1:31" s="2120" customFormat="1" ht="16.5" customHeight="1">
      <c r="A6" s="2866" t="s">
        <v>1847</v>
      </c>
      <c r="B6" s="2867"/>
      <c r="C6" s="2868">
        <f ca="1">SUM(C10:K10)</f>
        <v>32802</v>
      </c>
      <c r="D6" s="2867"/>
      <c r="E6" s="2867"/>
      <c r="F6" s="2867"/>
      <c r="G6" s="2867"/>
      <c r="H6" s="2867"/>
      <c r="I6" s="2867"/>
      <c r="J6" s="2867"/>
      <c r="K6" s="2869"/>
    </row>
    <row r="7" spans="1:31" s="2122" customFormat="1" ht="15">
      <c r="A7" s="2870" t="s">
        <v>470</v>
      </c>
      <c r="B7" s="2871" t="s">
        <v>471</v>
      </c>
      <c r="C7" s="439" t="s">
        <v>985</v>
      </c>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72">
        <f ca="1">不动产收益法!B3</f>
        <v>7997</v>
      </c>
      <c r="D8" s="2872"/>
      <c r="E8" s="2872"/>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41016</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7">
        <f ca="1">不动产收益法!B2</f>
        <v>32802</v>
      </c>
      <c r="D10" s="3067"/>
      <c r="E10" s="3067"/>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3">
        <f ca="1">IF(B1="",'数据-取费表'!P16,INDIRECT("'数据-取费表'!p"&amp;$K$1)+INDIRECT("'数据-取费表'!t"&amp;$K$1))</f>
        <v>9024</v>
      </c>
      <c r="D13" s="2882"/>
      <c r="E13" s="2883"/>
      <c r="F13" s="2884"/>
      <c r="G13" s="2850"/>
      <c r="H13" s="2851"/>
      <c r="I13" s="2851"/>
      <c r="J13" s="2851"/>
      <c r="K13" s="2852"/>
    </row>
    <row r="14" spans="1:31" s="2125" customFormat="1" ht="13.5" customHeight="1">
      <c r="A14" s="2880" t="s">
        <v>1854</v>
      </c>
      <c r="B14" s="2881" t="s">
        <v>480</v>
      </c>
      <c r="C14" s="53">
        <f ca="1">ROUND(C13*F14,0)</f>
        <v>271</v>
      </c>
      <c r="D14" s="2882"/>
      <c r="E14" s="2883"/>
      <c r="F14" s="2885">
        <f>'数据-取费表'!B33</f>
        <v>0.03</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0</v>
      </c>
      <c r="D15" s="2882"/>
      <c r="E15" s="2883"/>
      <c r="F15" s="2885">
        <f>'数据-取费表'!B34</f>
        <v>0.05</v>
      </c>
      <c r="G15" s="2850" t="s">
        <v>483</v>
      </c>
      <c r="H15" s="2851"/>
      <c r="I15" s="2851"/>
      <c r="J15" s="2851"/>
      <c r="K15" s="2852"/>
    </row>
    <row r="16" spans="1:31" s="2126" customFormat="1" ht="13.5" customHeight="1">
      <c r="A16" s="2880" t="s">
        <v>1856</v>
      </c>
      <c r="B16" s="2881" t="s">
        <v>484</v>
      </c>
      <c r="C16" s="53">
        <f ca="1">ROUND(D16*E16/10000,0)</f>
        <v>820</v>
      </c>
      <c r="D16" s="2882">
        <f ca="1">IF(B1="",'数据-汇总表'!E3,INDIRECT("'数据-取费表'!K"&amp;$K$1)+INDIRECT("'数据-取费表'!S"&amp;$K$1))</f>
        <v>41016</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135</v>
      </c>
      <c r="D17" s="478"/>
      <c r="E17" s="2886"/>
      <c r="F17" s="2887">
        <f>'数据-取费表'!B36</f>
        <v>1.4999999999999999E-2</v>
      </c>
      <c r="G17" s="261" t="s">
        <v>486</v>
      </c>
      <c r="H17" s="2853"/>
      <c r="I17" s="2853"/>
      <c r="J17" s="2853"/>
      <c r="K17" s="279"/>
    </row>
    <row r="18" spans="1:14" s="2125" customFormat="1" ht="13.5" customHeight="1">
      <c r="A18" s="2888" t="s">
        <v>1858</v>
      </c>
      <c r="B18" s="2889" t="s">
        <v>487</v>
      </c>
      <c r="C18" s="2890">
        <f ca="1">SUM(C13:C17)</f>
        <v>10250</v>
      </c>
      <c r="D18" s="2891"/>
      <c r="E18" s="471"/>
      <c r="F18" s="471"/>
      <c r="G18" s="2854" t="s">
        <v>2436</v>
      </c>
      <c r="H18" s="2855"/>
      <c r="I18" s="2855"/>
      <c r="J18" s="2855"/>
      <c r="K18" s="2856"/>
    </row>
    <row r="19" spans="1:14" s="2125" customFormat="1" ht="13.5" customHeight="1">
      <c r="A19" s="2888" t="s">
        <v>1859</v>
      </c>
      <c r="B19" s="2889" t="s">
        <v>488</v>
      </c>
      <c r="C19" s="2846">
        <f ca="1">ROUND(D19*E19/10000,0)</f>
        <v>0</v>
      </c>
      <c r="D19" s="2892">
        <f ca="1">D16</f>
        <v>41016</v>
      </c>
      <c r="E19" s="2846">
        <f>'数据-取费表'!B32</f>
        <v>0</v>
      </c>
      <c r="F19" s="471"/>
      <c r="G19" s="2850" t="s">
        <v>489</v>
      </c>
      <c r="H19" s="2851"/>
      <c r="I19" s="2855"/>
      <c r="J19" s="2855"/>
      <c r="K19" s="2856"/>
    </row>
    <row r="20" spans="1:14" s="2125" customFormat="1" ht="13.5" customHeight="1">
      <c r="A20" s="2888" t="s">
        <v>1860</v>
      </c>
      <c r="B20" s="2889" t="s">
        <v>490</v>
      </c>
      <c r="C20" s="2846">
        <f ca="1">C21+C22-IF(B1="",'数据-取费表'!B29,IF(G20="已全部缴纳",C21+C22,H20))</f>
        <v>328</v>
      </c>
      <c r="D20" s="2892"/>
      <c r="E20" s="2846"/>
      <c r="F20" s="2893"/>
      <c r="G20" s="3125"/>
      <c r="H20" s="2848"/>
      <c r="I20" s="2849" t="s">
        <v>2662</v>
      </c>
      <c r="J20" s="2855"/>
      <c r="K20" s="2856"/>
    </row>
    <row r="21" spans="1:14" s="2125" customFormat="1" ht="13.5" customHeight="1">
      <c r="A21" s="2880" t="s">
        <v>1861</v>
      </c>
      <c r="B21" s="2881" t="s">
        <v>491</v>
      </c>
      <c r="C21" s="53">
        <f ca="1">ROUND(D21*E21/10000,0)</f>
        <v>0</v>
      </c>
      <c r="D21" s="2882">
        <f ca="1">IF(B1="",'数据-汇总表'!E5,IF(INDIRECT("'数据-取费表'!c"&amp;$K$1)="住宅",INDIRECT("'数据-取费表'!k"&amp;$K$1),0))</f>
        <v>0</v>
      </c>
      <c r="E21" s="53">
        <f>'数据-取费表'!B27</f>
        <v>0</v>
      </c>
      <c r="F21" s="2885"/>
      <c r="G21" s="26"/>
      <c r="H21" s="51"/>
      <c r="I21" s="51"/>
      <c r="J21" s="51"/>
      <c r="K21" s="2857"/>
    </row>
    <row r="22" spans="1:14" s="2125" customFormat="1" ht="13.5" customHeight="1">
      <c r="A22" s="2880" t="s">
        <v>1862</v>
      </c>
      <c r="B22" s="2881" t="s">
        <v>492</v>
      </c>
      <c r="C22" s="53">
        <f ca="1">ROUND(D22*E22/10000,0)</f>
        <v>328</v>
      </c>
      <c r="D22" s="2882">
        <f ca="1">IF(B1="",'数据-汇总表'!E6,IF(INDIRECT("'数据-取费表'!c"&amp;$K$1)="住宅",INDIRECT("'数据-取费表'!s"&amp;$K$1),INDIRECT("'数据-取费表'!k"&amp;$K$1)+INDIRECT("'数据-取费表'!s"&amp;$K$1)))</f>
        <v>41016</v>
      </c>
      <c r="E22" s="53">
        <f>'数据-取费表'!B28</f>
        <v>80</v>
      </c>
      <c r="F22" s="2885"/>
      <c r="G22" s="26"/>
      <c r="H22" s="51"/>
      <c r="I22" s="51"/>
      <c r="J22" s="51"/>
      <c r="K22" s="2857"/>
    </row>
    <row r="23" spans="1:14" s="2125" customFormat="1" ht="13.5" customHeight="1">
      <c r="A23" s="2888" t="s">
        <v>1863</v>
      </c>
      <c r="B23" s="3073" t="s">
        <v>2844</v>
      </c>
      <c r="C23" s="2890">
        <f ca="1">ROUND((C18+C19+C20)*F23,0)</f>
        <v>212</v>
      </c>
      <c r="D23" s="471"/>
      <c r="E23" s="471"/>
      <c r="F23" s="2894">
        <f>'数据-取费表'!B37</f>
        <v>0.02</v>
      </c>
      <c r="G23" s="2850" t="s">
        <v>2437</v>
      </c>
      <c r="H23" s="2851"/>
      <c r="I23" s="2851"/>
      <c r="J23" s="2851"/>
      <c r="K23" s="2852"/>
      <c r="L23" s="2127"/>
      <c r="M23" s="2127"/>
      <c r="N23" s="2127"/>
    </row>
    <row r="24" spans="1:14" s="2125" customFormat="1" ht="13.5" customHeight="1">
      <c r="A24" s="2888" t="s">
        <v>1864</v>
      </c>
      <c r="B24" s="3073" t="s">
        <v>2847</v>
      </c>
      <c r="C24" s="2890">
        <f ca="1">ROUND(C6*F24,0)</f>
        <v>656</v>
      </c>
      <c r="D24" s="478"/>
      <c r="E24" s="476"/>
      <c r="F24" s="2894">
        <f>'数据-取费表'!B38</f>
        <v>0.02</v>
      </c>
      <c r="G24" s="2859" t="s">
        <v>499</v>
      </c>
      <c r="H24" s="2853"/>
      <c r="I24" s="2853"/>
      <c r="J24" s="2853"/>
      <c r="K24" s="279"/>
      <c r="L24" s="2127"/>
      <c r="M24" s="2127"/>
      <c r="N24" s="2127"/>
    </row>
    <row r="25" spans="1:14" s="2128" customFormat="1" ht="13.5" customHeight="1">
      <c r="A25" s="2888" t="s">
        <v>1865</v>
      </c>
      <c r="B25" s="3073" t="s">
        <v>2845</v>
      </c>
      <c r="C25" s="470">
        <f>ROUND(F25/(1+'数据-取费表'!C42),4)</f>
        <v>2.9000000000000001E-2</v>
      </c>
      <c r="D25" s="465" t="s">
        <v>2839</v>
      </c>
      <c r="E25" s="472"/>
      <c r="F25" s="2894">
        <f>'数据-取费表'!B48+'数据-取费表'!B49</f>
        <v>3.0499999999999999E-2</v>
      </c>
      <c r="G25" s="2858" t="s">
        <v>2295</v>
      </c>
      <c r="H25" s="2851"/>
      <c r="I25" s="2851"/>
      <c r="J25" s="2851"/>
      <c r="K25" s="2852"/>
    </row>
    <row r="26" spans="1:14" s="2127" customFormat="1" ht="13.5" customHeight="1">
      <c r="A26" s="2888" t="s">
        <v>1866</v>
      </c>
      <c r="B26" s="3074" t="s">
        <v>2846</v>
      </c>
      <c r="C26" s="2895">
        <f ca="1">C28</f>
        <v>544</v>
      </c>
      <c r="D26" s="470">
        <f ca="1">C27</f>
        <v>0.10009999999999999</v>
      </c>
      <c r="E26" s="472" t="s">
        <v>495</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1861</v>
      </c>
      <c r="B27" s="2896" t="s">
        <v>496</v>
      </c>
      <c r="C27" s="2897">
        <f ca="1">ROUND(IF('数据-取费表'!B22&lt;=1,(1+C25)*F26*'数据-取费表'!B24,(1+C25)*(POWER((1+F26),'数据-取费表'!B24)-1)),4)</f>
        <v>0.10009999999999999</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1862</v>
      </c>
      <c r="B28" s="2896" t="s">
        <v>2848</v>
      </c>
      <c r="C28" s="2898">
        <f ca="1">ROUND(IF('数据-取费表'!B22&lt;=1,(C18+C19+C20+C23+C24)*F26*'数据-取费表'!B24/2,(C18+C19+C20+C23+C24)*(POWER((1+F26),'数据-取费表'!B24/2)-1)),0)</f>
        <v>544</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1867</v>
      </c>
      <c r="B29" s="2889" t="s">
        <v>497</v>
      </c>
      <c r="C29" s="2890">
        <f ca="1">ROUND(C6*F29/(1+'数据-取费表'!C42),0)</f>
        <v>1718</v>
      </c>
      <c r="D29" s="471"/>
      <c r="E29" s="471"/>
      <c r="F29" s="3075">
        <f>'数据-取费表'!B41</f>
        <v>5.5000000000000007E-2</v>
      </c>
      <c r="G29" s="2859" t="s">
        <v>498</v>
      </c>
      <c r="H29" s="2851"/>
      <c r="I29" s="2851"/>
      <c r="J29" s="2851"/>
      <c r="K29" s="2852"/>
    </row>
    <row r="30" spans="1:14" s="2130" customFormat="1" ht="13.5" customHeight="1">
      <c r="A30" s="1639" t="s">
        <v>1868</v>
      </c>
      <c r="B30" s="2900" t="s">
        <v>500</v>
      </c>
      <c r="C30" s="2895">
        <f ca="1">C31</f>
        <v>13708</v>
      </c>
      <c r="D30" s="480">
        <f ca="1">C32</f>
        <v>0.12909999999999999</v>
      </c>
      <c r="E30" s="472" t="s">
        <v>495</v>
      </c>
      <c r="F30" s="474"/>
      <c r="G30" s="2850" t="s">
        <v>501</v>
      </c>
      <c r="H30" s="2851"/>
      <c r="I30" s="2851"/>
      <c r="J30" s="2851"/>
      <c r="K30" s="2852"/>
    </row>
    <row r="31" spans="1:14" s="2129" customFormat="1" ht="13.5" customHeight="1">
      <c r="A31" s="806" t="s">
        <v>1861</v>
      </c>
      <c r="B31" s="2896"/>
      <c r="C31" s="453">
        <f ca="1">C18+C19+C20+C23+C24+C26+C29</f>
        <v>13708</v>
      </c>
      <c r="D31" s="475"/>
      <c r="E31" s="476"/>
      <c r="F31" s="477"/>
      <c r="G31" s="261"/>
      <c r="H31" s="2853"/>
      <c r="I31" s="2853"/>
      <c r="J31" s="2853"/>
      <c r="K31" s="279"/>
    </row>
    <row r="32" spans="1:14" s="2129" customFormat="1" ht="13.5" customHeight="1">
      <c r="A32" s="806" t="s">
        <v>1862</v>
      </c>
      <c r="B32" s="2896"/>
      <c r="C32" s="53">
        <f ca="1">ROUND(C25+D26,4)</f>
        <v>0.12909999999999999</v>
      </c>
      <c r="D32" s="475"/>
      <c r="E32" s="476"/>
      <c r="F32" s="477"/>
      <c r="G32" s="261"/>
      <c r="H32" s="2853"/>
      <c r="I32" s="2853"/>
      <c r="J32" s="2853"/>
      <c r="K32" s="279"/>
    </row>
    <row r="33" spans="1:11" s="2131" customFormat="1" ht="13.5" customHeight="1">
      <c r="A33" s="3072" t="s">
        <v>2843</v>
      </c>
      <c r="B33" s="3070" t="s">
        <v>2841</v>
      </c>
      <c r="C33" s="481">
        <f ca="1">C35</f>
        <v>1145</v>
      </c>
      <c r="D33" s="470">
        <f ca="1">C34</f>
        <v>0.10290000000000001</v>
      </c>
      <c r="E33" s="472" t="s">
        <v>495</v>
      </c>
      <c r="F33" s="482">
        <f ca="1">IF(B1="",'数据-取费表'!Q16,INDIRECT("'数据-取费表'!q"&amp;$K$1))</f>
        <v>0.1</v>
      </c>
      <c r="G33" s="2854"/>
      <c r="H33" s="2855"/>
      <c r="I33" s="2855"/>
      <c r="J33" s="2855"/>
      <c r="K33" s="2856"/>
    </row>
    <row r="34" spans="1:11" s="2132" customFormat="1" ht="13.5" customHeight="1">
      <c r="A34" s="378" t="s">
        <v>1861</v>
      </c>
      <c r="B34" s="2901" t="s">
        <v>502</v>
      </c>
      <c r="C34" s="475">
        <f ca="1">ROUND((1+C25)*F33,4)</f>
        <v>0.10290000000000001</v>
      </c>
      <c r="D34" s="475"/>
      <c r="E34" s="476"/>
      <c r="F34" s="483"/>
      <c r="G34" s="261" t="s">
        <v>2296</v>
      </c>
      <c r="H34" s="2853"/>
      <c r="I34" s="2853"/>
      <c r="J34" s="2853"/>
      <c r="K34" s="279"/>
    </row>
    <row r="35" spans="1:11" s="2132" customFormat="1" ht="13.5" customHeight="1" thickBot="1">
      <c r="A35" s="1640" t="s">
        <v>1862</v>
      </c>
      <c r="B35" s="3071" t="s">
        <v>2849</v>
      </c>
      <c r="C35" s="1632">
        <f ca="1">ROUND((C18+C19+C20+C23+C24)*F33,0)</f>
        <v>1145</v>
      </c>
      <c r="D35" s="1633"/>
      <c r="E35" s="2902"/>
      <c r="F35" s="1634"/>
      <c r="G35" s="2860"/>
      <c r="H35" s="2861"/>
      <c r="I35" s="2861"/>
      <c r="J35" s="2861"/>
      <c r="K35" s="2862"/>
    </row>
    <row r="36" spans="1:11" s="2091" customFormat="1" ht="13.5" customHeight="1" thickBot="1">
      <c r="A36" s="284" t="s">
        <v>1849</v>
      </c>
      <c r="B36" s="2864"/>
      <c r="C36" s="2903">
        <f ca="1">ROUND((C6-C30-C33)/(1+D30+D33),0)</f>
        <v>14569</v>
      </c>
      <c r="D36" s="2864"/>
      <c r="E36" s="2864"/>
      <c r="F36" s="2864"/>
      <c r="G36" s="2863" t="s">
        <v>2850</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169" t="str">
        <f>项目基本情况!B1</f>
        <v>北京市平谷区兴谷经济开发区内出让国有建设用地使用权抵押价格预评估</v>
      </c>
      <c r="C37" s="3169"/>
      <c r="D37" s="3169"/>
      <c r="E37" s="3169"/>
      <c r="F37" s="3169"/>
      <c r="G37" s="3169"/>
      <c r="H37" s="3169"/>
      <c r="I37" s="3169"/>
    </row>
    <row r="38" spans="1:9">
      <c r="A38" s="1660"/>
      <c r="B38" s="1660"/>
    </row>
    <row r="39" spans="1:9">
      <c r="A39" s="1658" t="s">
        <v>1906</v>
      </c>
      <c r="B39" s="1658" t="s">
        <v>2052</v>
      </c>
    </row>
    <row r="40" spans="1:9">
      <c r="A40" s="1658"/>
      <c r="B40" s="1658" t="str">
        <f>项目基本情况!B5</f>
        <v>北京中纺联创投资开发有限公司</v>
      </c>
    </row>
    <row r="41" spans="1:9">
      <c r="A41" s="1658"/>
      <c r="B41" s="1658"/>
    </row>
    <row r="42" spans="1:9">
      <c r="A42" s="1658" t="s">
        <v>1906</v>
      </c>
      <c r="B42" s="1658" t="s">
        <v>2053</v>
      </c>
    </row>
    <row r="43" spans="1:9">
      <c r="A43" s="1658"/>
      <c r="B43" s="1658" t="s">
        <v>1908</v>
      </c>
    </row>
    <row r="44" spans="1:9">
      <c r="A44" s="1658"/>
      <c r="B44" s="1658"/>
    </row>
    <row r="45" spans="1:9">
      <c r="A45" s="1658" t="s">
        <v>1906</v>
      </c>
      <c r="B45" s="1658" t="s">
        <v>2051</v>
      </c>
    </row>
    <row r="46" spans="1:9" s="1658" customFormat="1" ht="12.75">
      <c r="B46" s="1658" t="str">
        <f>项目基本情况!K4</f>
        <v>刘梅、吴薇</v>
      </c>
    </row>
    <row r="47" spans="1:9">
      <c r="A47" s="1658"/>
      <c r="B47" s="1658"/>
    </row>
    <row r="48" spans="1:9">
      <c r="A48" s="1658" t="s">
        <v>1906</v>
      </c>
      <c r="B48" s="1658" t="s">
        <v>2054</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7"/>
      <c r="C1" s="2113"/>
      <c r="D1" s="2113"/>
      <c r="E1" s="2113"/>
      <c r="F1" s="2113"/>
      <c r="G1" s="2113"/>
      <c r="H1" s="2113"/>
      <c r="I1" s="2113"/>
      <c r="J1" s="2113"/>
      <c r="K1" s="425">
        <f>MATCH(B1,'数据-取费表'!A6:A16,0)+5</f>
        <v>7</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4"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2663</v>
      </c>
      <c r="B6" s="436"/>
      <c r="C6" s="1627">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5"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5"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6" t="s">
        <v>1852</v>
      </c>
      <c r="B10" s="1628" t="s">
        <v>474</v>
      </c>
      <c r="C10" s="1629"/>
      <c r="D10" s="1629"/>
      <c r="E10" s="1629"/>
      <c r="F10" s="1630"/>
      <c r="G10" s="1630"/>
      <c r="H10" s="1630"/>
      <c r="I10" s="1630"/>
      <c r="J10" s="1630"/>
      <c r="K10" s="1631"/>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4" t="s">
        <v>1869</v>
      </c>
      <c r="B11" s="1625"/>
      <c r="C11" s="1625"/>
      <c r="D11" s="1625"/>
      <c r="E11" s="1625"/>
      <c r="F11" s="1625"/>
      <c r="G11" s="1625"/>
      <c r="H11" s="1625"/>
      <c r="I11" s="1625"/>
      <c r="J11" s="1625"/>
      <c r="K11" s="1626"/>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7" t="s">
        <v>1853</v>
      </c>
      <c r="B13" s="452" t="s">
        <v>479</v>
      </c>
      <c r="C13" s="453">
        <f ca="1">IF(B1="",'数据-取费表'!M16,INDIRECT("'数据-取费表'!M"&amp;$K$1)+INDIRECT("'数据-取费表'!t"&amp;$K$1))</f>
        <v>9024</v>
      </c>
      <c r="D13" s="454"/>
      <c r="E13" s="368"/>
      <c r="F13" s="455"/>
      <c r="G13" s="447"/>
      <c r="H13" s="450"/>
      <c r="I13" s="450"/>
      <c r="J13" s="450"/>
      <c r="K13" s="451"/>
    </row>
    <row r="14" spans="1:41" s="2125" customFormat="1" ht="13.5" customHeight="1">
      <c r="A14" s="1637" t="s">
        <v>1854</v>
      </c>
      <c r="B14" s="452" t="s">
        <v>480</v>
      </c>
      <c r="C14" s="53">
        <f ca="1">ROUND(C13*F14,0)</f>
        <v>271</v>
      </c>
      <c r="D14" s="454"/>
      <c r="E14" s="368"/>
      <c r="F14" s="456">
        <f>'数据-取费表'!B33</f>
        <v>0.03</v>
      </c>
      <c r="G14" s="447" t="s">
        <v>503</v>
      </c>
      <c r="H14" s="450"/>
      <c r="I14" s="450"/>
      <c r="J14" s="450"/>
      <c r="K14" s="451"/>
    </row>
    <row r="15" spans="1:41" s="2125" customFormat="1" ht="13.5" customHeight="1">
      <c r="A15" s="1637" t="s">
        <v>1855</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26" customFormat="1" ht="13.5" customHeight="1">
      <c r="A16" s="1637" t="s">
        <v>1856</v>
      </c>
      <c r="B16" s="452" t="s">
        <v>484</v>
      </c>
      <c r="C16" s="53">
        <f ca="1">ROUND(D16*E16/10000,0)</f>
        <v>820</v>
      </c>
      <c r="D16" s="454">
        <f ca="1">IF(B1="",'数据-汇总表'!E3,INDIRECT("'数据-取费表'!K"&amp;$K$1)+INDIRECT("'数据-取费表'!S"&amp;$K$1))</f>
        <v>41016</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7" t="s">
        <v>1857</v>
      </c>
      <c r="B17" s="452" t="s">
        <v>485</v>
      </c>
      <c r="C17" s="457">
        <f ca="1">ROUND(C13*F17,0)</f>
        <v>135</v>
      </c>
      <c r="D17" s="458"/>
      <c r="E17" s="457"/>
      <c r="F17" s="459">
        <f>'数据-取费表'!B36</f>
        <v>1.4999999999999999E-2</v>
      </c>
      <c r="G17" s="447" t="s">
        <v>503</v>
      </c>
      <c r="H17" s="460"/>
      <c r="I17" s="460"/>
      <c r="J17" s="460"/>
      <c r="K17" s="461"/>
    </row>
    <row r="18" spans="1:14" s="2128" customFormat="1" ht="13.5" customHeight="1">
      <c r="A18" s="1638" t="s">
        <v>1858</v>
      </c>
      <c r="B18" s="462" t="s">
        <v>487</v>
      </c>
      <c r="C18" s="463">
        <f ca="1">SUM(C13:C17)</f>
        <v>10250</v>
      </c>
      <c r="D18" s="464"/>
      <c r="E18" s="465"/>
      <c r="F18" s="465"/>
      <c r="G18" s="1330" t="s">
        <v>2438</v>
      </c>
      <c r="H18" s="450"/>
      <c r="I18" s="450"/>
      <c r="J18" s="450"/>
      <c r="K18" s="451"/>
    </row>
    <row r="19" spans="1:14" s="2128" customFormat="1" ht="13.5" customHeight="1">
      <c r="A19" s="1638" t="s">
        <v>1859</v>
      </c>
      <c r="B19" s="462" t="s">
        <v>493</v>
      </c>
      <c r="C19" s="463">
        <f ca="1">ROUND(C18*F19,0)</f>
        <v>205</v>
      </c>
      <c r="D19" s="465"/>
      <c r="E19" s="465"/>
      <c r="F19" s="469">
        <f>'数据-取费表'!B37</f>
        <v>0.02</v>
      </c>
      <c r="G19" s="447" t="s">
        <v>504</v>
      </c>
      <c r="H19" s="450"/>
      <c r="I19" s="450"/>
      <c r="J19" s="450"/>
      <c r="K19" s="451"/>
      <c r="L19" s="2130"/>
      <c r="M19" s="2130"/>
      <c r="N19" s="2130"/>
    </row>
    <row r="20" spans="1:14" s="2128" customFormat="1" ht="13.5" customHeight="1">
      <c r="A20" s="1638" t="s">
        <v>1860</v>
      </c>
      <c r="B20" s="462" t="s">
        <v>505</v>
      </c>
      <c r="C20" s="3068">
        <f>F20</f>
        <v>0.02</v>
      </c>
      <c r="D20" s="472" t="s">
        <v>506</v>
      </c>
      <c r="E20" s="472"/>
      <c r="F20" s="489">
        <f>'数据-取费表'!B38</f>
        <v>0.02</v>
      </c>
      <c r="G20" s="1330" t="s">
        <v>507</v>
      </c>
      <c r="H20" s="450"/>
      <c r="I20" s="450"/>
      <c r="J20" s="450"/>
      <c r="K20" s="451"/>
      <c r="L20" s="2130"/>
      <c r="M20" s="2130"/>
      <c r="N20" s="2130"/>
    </row>
    <row r="21" spans="1:14" s="2130" customFormat="1" ht="13.5" customHeight="1">
      <c r="A21" s="1638" t="s">
        <v>1863</v>
      </c>
      <c r="B21" s="464" t="s">
        <v>494</v>
      </c>
      <c r="C21" s="473">
        <f ca="1">C22</f>
        <v>497</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7" t="s">
        <v>2460</v>
      </c>
    </row>
    <row r="22" spans="1:14" s="2129" customFormat="1" ht="13.5" customHeight="1">
      <c r="A22" s="1637" t="s">
        <v>1853</v>
      </c>
      <c r="B22" s="1331" t="s">
        <v>2441</v>
      </c>
      <c r="C22" s="490">
        <f ca="1">ROUND(IF('数据-取费表'!B22&lt;=1,(C18+C19)*F21*'数据-取费表'!B20/2,(C18+C19)*(POWER((1+F21),'数据-取费表'!B20/2)-1)),0)</f>
        <v>497</v>
      </c>
      <c r="D22" s="475"/>
      <c r="E22" s="476"/>
      <c r="F22" s="477"/>
      <c r="G22" s="2601" t="str">
        <f>IF('数据-取费表'!B22&lt;=1,"((1)+(2))×年利率×建设期÷2","((1)+(2))×((1+年利率)^(建设期÷2)-1)")</f>
        <v>((1)+(2))×((1+年利率)^(建设期÷2)-1)</v>
      </c>
      <c r="H22" s="460"/>
      <c r="I22" s="460"/>
      <c r="J22" s="460"/>
      <c r="K22" s="461"/>
    </row>
    <row r="23" spans="1:14" s="2129" customFormat="1" ht="13.5" customHeight="1">
      <c r="A23" s="1637" t="s">
        <v>1854</v>
      </c>
      <c r="B23" s="1331" t="s">
        <v>509</v>
      </c>
      <c r="C23" s="491">
        <f ca="1">ROUND(IF('数据-取费表'!B22&lt;=1,F20*F21*'数据-取费表'!B20/2,F20*(POWER((1+F21),'数据-取费表'!B20/2)-1)),4)</f>
        <v>1E-3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8" t="s">
        <v>1864</v>
      </c>
      <c r="B24" s="3070" t="s">
        <v>2842</v>
      </c>
      <c r="C24" s="481">
        <f ca="1">C25</f>
        <v>1046</v>
      </c>
      <c r="D24" s="492">
        <f ca="1">C26</f>
        <v>2E-3</v>
      </c>
      <c r="E24" s="472" t="s">
        <v>508</v>
      </c>
      <c r="F24" s="482">
        <f ca="1">IF(B1="",'数据-取费表'!Q16,INDIRECT("'数据-取费表'!q"&amp;$K$1))</f>
        <v>0.1</v>
      </c>
      <c r="G24" s="447"/>
      <c r="H24" s="450"/>
      <c r="I24" s="450"/>
      <c r="J24" s="450"/>
      <c r="K24" s="451"/>
    </row>
    <row r="25" spans="1:14" s="2129" customFormat="1" ht="13.5" customHeight="1">
      <c r="A25" s="1637" t="s">
        <v>1853</v>
      </c>
      <c r="B25" s="1331" t="s">
        <v>2442</v>
      </c>
      <c r="C25" s="493">
        <f ca="1">ROUND((C18+C19)*F24,0)</f>
        <v>1046</v>
      </c>
      <c r="D25" s="475"/>
      <c r="E25" s="476"/>
      <c r="F25" s="483"/>
      <c r="G25" s="1329" t="s">
        <v>2439</v>
      </c>
      <c r="H25" s="460"/>
      <c r="I25" s="460"/>
      <c r="J25" s="460"/>
      <c r="K25" s="461"/>
    </row>
    <row r="26" spans="1:14" s="2129" customFormat="1" ht="13.5" customHeight="1">
      <c r="A26" s="1637" t="s">
        <v>1854</v>
      </c>
      <c r="B26" s="1331" t="s">
        <v>510</v>
      </c>
      <c r="C26" s="494">
        <f ca="1">ROUND(F20*F24,4)</f>
        <v>2E-3</v>
      </c>
      <c r="D26" s="475"/>
      <c r="E26" s="484"/>
      <c r="F26" s="483"/>
      <c r="G26" s="1329" t="s">
        <v>511</v>
      </c>
      <c r="H26" s="460"/>
      <c r="I26" s="460"/>
      <c r="J26" s="460"/>
      <c r="K26" s="461"/>
    </row>
    <row r="27" spans="1:14" s="2129" customFormat="1" ht="13.5" customHeight="1">
      <c r="A27" s="1641" t="s">
        <v>1872</v>
      </c>
      <c r="B27" s="462" t="s">
        <v>512</v>
      </c>
      <c r="C27" s="3069">
        <f>ROUND(F27/(1+'数据-取费表'!C42),4)</f>
        <v>5.2400000000000002E-2</v>
      </c>
      <c r="D27" s="465" t="s">
        <v>2840</v>
      </c>
      <c r="E27" s="465"/>
      <c r="F27" s="469">
        <f>'数据-取费表'!B41</f>
        <v>5.5000000000000007E-2</v>
      </c>
      <c r="G27" s="1965" t="s">
        <v>2297</v>
      </c>
      <c r="H27" s="450"/>
      <c r="I27" s="450"/>
      <c r="J27" s="450"/>
      <c r="K27" s="451"/>
    </row>
    <row r="28" spans="1:14" s="2130" customFormat="1" ht="13.5" customHeight="1">
      <c r="A28" s="1641" t="s">
        <v>1873</v>
      </c>
      <c r="B28" s="479" t="s">
        <v>513</v>
      </c>
      <c r="C28" s="473">
        <f ca="1">ROUND((C18+C19+C21+C24)/(1-C20-D21-D24-C27),0)</f>
        <v>12976</v>
      </c>
      <c r="D28" s="480"/>
      <c r="E28" s="472"/>
      <c r="F28" s="474"/>
      <c r="G28" s="1330" t="s">
        <v>2440</v>
      </c>
      <c r="H28" s="450"/>
      <c r="I28" s="450"/>
      <c r="J28" s="450"/>
      <c r="K28" s="451"/>
    </row>
    <row r="29" spans="1:14" s="2130" customFormat="1" ht="13.5" customHeight="1">
      <c r="A29" s="1641"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2" t="s">
        <v>516</v>
      </c>
      <c r="H30" s="499"/>
      <c r="I30" s="499"/>
      <c r="J30" s="450"/>
      <c r="K30" s="451"/>
    </row>
    <row r="31" spans="1:14" s="2135" customFormat="1" ht="13.5" customHeight="1">
      <c r="A31" s="2516" t="s">
        <v>1870</v>
      </c>
      <c r="B31" s="1333"/>
      <c r="C31" s="503">
        <f>ROUND(C6*F31/(1+'数据-取费表'!C42),0)</f>
        <v>0</v>
      </c>
      <c r="D31" s="1334"/>
      <c r="E31" s="1334"/>
      <c r="F31" s="504">
        <f>'数据-取费表'!B41</f>
        <v>5.5000000000000007E-2</v>
      </c>
      <c r="G31" s="1335"/>
      <c r="H31" s="1335"/>
      <c r="I31" s="1335"/>
      <c r="J31" s="1336"/>
      <c r="K31" s="1337"/>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7" t="s">
        <v>2461</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t="e">
        <f>F68</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c r="AD2" s="1338"/>
    </row>
    <row r="3" spans="1:30" s="1339" customFormat="1" ht="28.5" customHeight="1">
      <c r="A3" s="1384" t="s">
        <v>1688</v>
      </c>
      <c r="B3" s="513" t="e">
        <f>ROUND(B2*10000/'数据-汇总表'!E3,0)</f>
        <v>#DIV/0!</v>
      </c>
      <c r="C3" s="2067"/>
      <c r="D3" s="2604"/>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30" s="1339" customFormat="1" ht="28.5" customHeight="1">
      <c r="A4" s="514" t="s">
        <v>521</v>
      </c>
      <c r="B4" s="430" t="e">
        <f>IF(B48="单位面积地价",C50,ROUND(B2*10000/'数据-汇总表'!D3,0))</f>
        <v>#DIV/0!</v>
      </c>
      <c r="C4" s="2067"/>
      <c r="D4" s="2604"/>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30"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68"/>
      <c r="AC5" s="431"/>
    </row>
    <row r="6" spans="1:30" ht="20.25">
      <c r="A6" s="515" t="s">
        <v>522</v>
      </c>
      <c r="B6" s="516"/>
      <c r="C6" s="3364" t="s">
        <v>523</v>
      </c>
      <c r="D6" s="3365"/>
      <c r="E6" s="3364" t="s">
        <v>524</v>
      </c>
      <c r="F6" s="3365"/>
      <c r="G6" s="3364" t="s">
        <v>525</v>
      </c>
      <c r="H6" s="3365"/>
      <c r="I6" s="3364" t="s">
        <v>526</v>
      </c>
      <c r="J6" s="3365"/>
      <c r="K6" s="517" t="s">
        <v>527</v>
      </c>
      <c r="L6" s="2142"/>
      <c r="M6" s="2141"/>
      <c r="N6" s="2141"/>
      <c r="O6" s="2143"/>
      <c r="P6" s="3366" t="s">
        <v>528</v>
      </c>
      <c r="Q6" s="3367"/>
      <c r="R6" s="3372" t="s">
        <v>524</v>
      </c>
      <c r="S6" s="3373"/>
      <c r="T6" s="3372" t="s">
        <v>525</v>
      </c>
      <c r="U6" s="3373"/>
      <c r="V6" s="3359" t="s">
        <v>526</v>
      </c>
      <c r="W6" s="3359"/>
      <c r="X6" s="1571"/>
      <c r="Y6" s="3372" t="s">
        <v>528</v>
      </c>
      <c r="Z6" s="3373"/>
      <c r="AA6" s="3361" t="s">
        <v>524</v>
      </c>
      <c r="AB6" s="3362" t="s">
        <v>525</v>
      </c>
      <c r="AC6" s="3361" t="s">
        <v>526</v>
      </c>
    </row>
    <row r="7" spans="1:30" ht="20.25">
      <c r="A7" s="518"/>
      <c r="B7" s="519"/>
      <c r="C7" s="3380" t="s">
        <v>2938</v>
      </c>
      <c r="D7" s="3381"/>
      <c r="E7" s="3380" t="s">
        <v>2939</v>
      </c>
      <c r="F7" s="3381"/>
      <c r="G7" s="3380" t="s">
        <v>2940</v>
      </c>
      <c r="H7" s="3381"/>
      <c r="I7" s="3380" t="s">
        <v>2941</v>
      </c>
      <c r="J7" s="3381"/>
      <c r="K7" s="517"/>
      <c r="L7" s="2142"/>
      <c r="M7" s="2141"/>
      <c r="N7" s="2141"/>
      <c r="O7" s="2143"/>
      <c r="P7" s="3368"/>
      <c r="Q7" s="3369"/>
      <c r="R7" s="3374"/>
      <c r="S7" s="3375"/>
      <c r="T7" s="3374"/>
      <c r="U7" s="3375"/>
      <c r="V7" s="3359"/>
      <c r="W7" s="3359"/>
      <c r="X7" s="1571"/>
      <c r="Y7" s="3374"/>
      <c r="Z7" s="3375"/>
      <c r="AA7" s="3362"/>
      <c r="AB7" s="3362"/>
      <c r="AC7" s="3362"/>
    </row>
    <row r="8" spans="1:30" ht="21" thickBot="1">
      <c r="A8" s="518"/>
      <c r="B8" s="519"/>
      <c r="C8" s="3382" t="s">
        <v>2942</v>
      </c>
      <c r="D8" s="3383"/>
      <c r="E8" s="3382" t="s">
        <v>2942</v>
      </c>
      <c r="F8" s="3383"/>
      <c r="G8" s="3378" t="s">
        <v>2942</v>
      </c>
      <c r="H8" s="3379"/>
      <c r="I8" s="3378" t="s">
        <v>2942</v>
      </c>
      <c r="J8" s="3379"/>
      <c r="K8" s="517" t="s">
        <v>529</v>
      </c>
      <c r="L8" s="2142"/>
      <c r="M8" s="2141"/>
      <c r="N8" s="2141"/>
      <c r="O8" s="2143"/>
      <c r="P8" s="3370"/>
      <c r="Q8" s="3371"/>
      <c r="R8" s="3374"/>
      <c r="S8" s="3375"/>
      <c r="T8" s="3376"/>
      <c r="U8" s="3377"/>
      <c r="V8" s="3359"/>
      <c r="W8" s="3359"/>
      <c r="X8" s="1571"/>
      <c r="Y8" s="3376"/>
      <c r="Z8" s="3377"/>
      <c r="AA8" s="3363"/>
      <c r="AB8" s="3363"/>
      <c r="AC8" s="3363"/>
    </row>
    <row r="9" spans="1:30" s="1223" customFormat="1" ht="21" thickBot="1">
      <c r="A9" s="2950"/>
      <c r="B9" s="2957" t="s">
        <v>530</v>
      </c>
      <c r="C9" s="2949">
        <f>'数据-取费表'!B2</f>
        <v>43005</v>
      </c>
      <c r="D9" s="523">
        <v>100</v>
      </c>
      <c r="E9" s="524"/>
      <c r="F9" s="525">
        <f>SUMIF(72:72,YEAR(E9)&amp;"-"&amp;INT((MONTH(E9)+2)/3),73:73)</f>
        <v>0</v>
      </c>
      <c r="G9" s="526"/>
      <c r="H9" s="523">
        <f>SUMIF(72:72,YEAR(G9)&amp;"-"&amp;INT((MONTH(G9)+2)/3),73:73)</f>
        <v>0</v>
      </c>
      <c r="I9" s="526"/>
      <c r="J9" s="523">
        <f>SUMIF(72:72,YEAR(I9)&amp;"-"&amp;INT((MONTH(I9)+2)/3),73:73)</f>
        <v>0</v>
      </c>
      <c r="K9" s="527"/>
      <c r="L9" s="2144"/>
      <c r="M9" s="2141"/>
      <c r="N9" s="2141"/>
      <c r="O9" s="2145"/>
      <c r="P9" s="3389" t="s">
        <v>531</v>
      </c>
      <c r="Q9" s="3391"/>
      <c r="R9" s="1572" t="s">
        <v>8</v>
      </c>
      <c r="S9" s="1573">
        <f t="shared" ref="S9:S17" si="0">F9</f>
        <v>0</v>
      </c>
      <c r="T9" s="1572" t="s">
        <v>8</v>
      </c>
      <c r="U9" s="1573">
        <f t="shared" ref="U9:U17" si="1">H9</f>
        <v>0</v>
      </c>
      <c r="V9" s="1572" t="s">
        <v>8</v>
      </c>
      <c r="W9" s="1573">
        <f t="shared" ref="W9:W17" si="2">J9</f>
        <v>0</v>
      </c>
      <c r="X9" s="1574"/>
      <c r="Y9" s="3389" t="s">
        <v>531</v>
      </c>
      <c r="Z9" s="3390"/>
      <c r="AA9" s="1575" t="e">
        <f>D9/F9</f>
        <v>#DIV/0!</v>
      </c>
      <c r="AB9" s="1575" t="e">
        <f>D9/H9</f>
        <v>#DIV/0!</v>
      </c>
      <c r="AC9" s="1575" t="e">
        <f>D9/J9</f>
        <v>#DIV/0!</v>
      </c>
    </row>
    <row r="10" spans="1:30" s="1223" customFormat="1" ht="21" thickBot="1">
      <c r="A10" s="2951"/>
      <c r="B10" s="2958"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4"/>
      <c r="M10" s="2141"/>
      <c r="N10" s="2141"/>
      <c r="O10" s="2145"/>
      <c r="P10" s="3389" t="s">
        <v>534</v>
      </c>
      <c r="Q10" s="3390"/>
      <c r="R10" s="1572" t="s">
        <v>8</v>
      </c>
      <c r="S10" s="1573">
        <f t="shared" si="0"/>
        <v>0</v>
      </c>
      <c r="T10" s="1572" t="s">
        <v>8</v>
      </c>
      <c r="U10" s="1573">
        <f t="shared" si="1"/>
        <v>0</v>
      </c>
      <c r="V10" s="1572" t="s">
        <v>8</v>
      </c>
      <c r="W10" s="1573">
        <f t="shared" si="2"/>
        <v>0</v>
      </c>
      <c r="X10" s="1574"/>
      <c r="Y10" s="3389" t="s">
        <v>534</v>
      </c>
      <c r="Z10" s="3390"/>
      <c r="AA10" s="1575" t="e">
        <f t="shared" ref="AA10:AA47" si="3">D10/F10</f>
        <v>#DIV/0!</v>
      </c>
      <c r="AB10" s="1575" t="e">
        <f t="shared" ref="AB10:AB47" si="4">D10/H10</f>
        <v>#DIV/0!</v>
      </c>
      <c r="AC10" s="1575" t="e">
        <f t="shared" ref="AC10:AC47" si="5">D10/J10</f>
        <v>#DIV/0!</v>
      </c>
    </row>
    <row r="11" spans="1:30" s="1223" customFormat="1" ht="20.25">
      <c r="A11" s="2952"/>
      <c r="B11" s="2959" t="s">
        <v>2767</v>
      </c>
      <c r="C11" s="2946"/>
      <c r="D11" s="254">
        <v>100</v>
      </c>
      <c r="E11" s="529"/>
      <c r="F11" s="254">
        <f>SUMIF(77:77,E11,78:78)-SUMIF(77:77,C11,78:78)+100</f>
        <v>100</v>
      </c>
      <c r="G11" s="529"/>
      <c r="H11" s="254">
        <f>SUMIF(77:77,G11,78:78)-SUMIF(77:77,C11,78:78)+100</f>
        <v>100</v>
      </c>
      <c r="I11" s="529"/>
      <c r="J11" s="254">
        <f>SUMIF(77:77,I11,78:78)-SUMIF(77:77,C11,78:78)+100</f>
        <v>100</v>
      </c>
      <c r="K11" s="527"/>
      <c r="L11" s="2144"/>
      <c r="M11" s="2141"/>
      <c r="N11" s="2141"/>
      <c r="O11" s="2146"/>
      <c r="P11" s="3358" t="s">
        <v>536</v>
      </c>
      <c r="Q11" s="1154" t="str">
        <f t="shared" ref="Q11:Q17" si="6">B11</f>
        <v>用途</v>
      </c>
      <c r="R11" s="1572" t="s">
        <v>8</v>
      </c>
      <c r="S11" s="1573">
        <f t="shared" si="0"/>
        <v>100</v>
      </c>
      <c r="T11" s="1572" t="s">
        <v>8</v>
      </c>
      <c r="U11" s="1573">
        <f t="shared" si="1"/>
        <v>100</v>
      </c>
      <c r="V11" s="1572" t="s">
        <v>8</v>
      </c>
      <c r="W11" s="1573">
        <f t="shared" si="2"/>
        <v>100</v>
      </c>
      <c r="X11" s="1574"/>
      <c r="Y11" s="3286" t="s">
        <v>537</v>
      </c>
      <c r="Z11" s="1153" t="str">
        <f t="shared" ref="Z11:Z17" si="7">Q11</f>
        <v>用途</v>
      </c>
      <c r="AA11" s="1575">
        <f t="shared" si="3"/>
        <v>1</v>
      </c>
      <c r="AB11" s="1575">
        <f t="shared" si="4"/>
        <v>1</v>
      </c>
      <c r="AC11" s="1575">
        <f t="shared" si="5"/>
        <v>1</v>
      </c>
    </row>
    <row r="12" spans="1:30" s="1341" customFormat="1" ht="27">
      <c r="A12" s="2953"/>
      <c r="B12" s="2958" t="s">
        <v>2768</v>
      </c>
      <c r="C12" s="913"/>
      <c r="D12" s="255">
        <v>100</v>
      </c>
      <c r="E12" s="532"/>
      <c r="F12" s="255">
        <f>ROUND(100/'数据-取费表'!G16,0)</f>
        <v>101</v>
      </c>
      <c r="G12" s="533"/>
      <c r="H12" s="255">
        <f>ROUND(100/'数据-取费表'!G16,0)</f>
        <v>101</v>
      </c>
      <c r="I12" s="533"/>
      <c r="J12" s="255">
        <f>ROUND(100/'数据-取费表'!G16,0)</f>
        <v>101</v>
      </c>
      <c r="K12" s="534"/>
      <c r="L12" s="2147"/>
      <c r="M12" s="2141"/>
      <c r="N12" s="2141"/>
      <c r="O12" s="2148"/>
      <c r="P12" s="3358"/>
      <c r="Q12" s="1154" t="str">
        <f t="shared" si="6"/>
        <v>土地使用年限（年）</v>
      </c>
      <c r="R12" s="1572" t="s">
        <v>8</v>
      </c>
      <c r="S12" s="1573">
        <f t="shared" si="0"/>
        <v>101</v>
      </c>
      <c r="T12" s="1572" t="s">
        <v>8</v>
      </c>
      <c r="U12" s="1573">
        <f t="shared" si="1"/>
        <v>101</v>
      </c>
      <c r="V12" s="1572" t="s">
        <v>8</v>
      </c>
      <c r="W12" s="1573">
        <f t="shared" si="2"/>
        <v>101</v>
      </c>
      <c r="X12" s="1574"/>
      <c r="Y12" s="3286"/>
      <c r="Z12" s="1153" t="str">
        <f t="shared" si="7"/>
        <v>土地使用年限（年）</v>
      </c>
      <c r="AA12" s="1575">
        <f t="shared" si="3"/>
        <v>0.99009900990099009</v>
      </c>
      <c r="AB12" s="1575">
        <f t="shared" si="4"/>
        <v>0.99009900990099009</v>
      </c>
      <c r="AC12" s="1575">
        <f t="shared" si="5"/>
        <v>0.99009900990099009</v>
      </c>
    </row>
    <row r="13" spans="1:30" ht="20.25">
      <c r="A13" s="2954"/>
      <c r="B13" s="2958" t="s">
        <v>2769</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49"/>
      <c r="M13" s="2141"/>
      <c r="N13" s="2141"/>
      <c r="O13" s="2150"/>
      <c r="P13" s="3358"/>
      <c r="Q13" s="1154" t="str">
        <f t="shared" si="6"/>
        <v>容积率</v>
      </c>
      <c r="R13" s="1572" t="s">
        <v>8</v>
      </c>
      <c r="S13" s="1573" t="e">
        <f t="shared" si="0"/>
        <v>#N/A</v>
      </c>
      <c r="T13" s="1572" t="s">
        <v>8</v>
      </c>
      <c r="U13" s="1573" t="e">
        <f t="shared" si="1"/>
        <v>#N/A</v>
      </c>
      <c r="V13" s="1572" t="s">
        <v>8</v>
      </c>
      <c r="W13" s="1573" t="e">
        <f t="shared" si="2"/>
        <v>#N/A</v>
      </c>
      <c r="X13" s="1574"/>
      <c r="Y13" s="3286"/>
      <c r="Z13" s="1153" t="str">
        <f t="shared" si="7"/>
        <v>容积率</v>
      </c>
      <c r="AA13" s="1575" t="e">
        <f t="shared" si="3"/>
        <v>#N/A</v>
      </c>
      <c r="AB13" s="1575" t="e">
        <f t="shared" si="4"/>
        <v>#N/A</v>
      </c>
      <c r="AC13" s="1575" t="e">
        <f t="shared" si="5"/>
        <v>#N/A</v>
      </c>
    </row>
    <row r="14" spans="1:30" s="1223" customFormat="1" ht="20.25">
      <c r="A14" s="2951"/>
      <c r="B14" s="2960" t="s">
        <v>2770</v>
      </c>
      <c r="C14" s="2947"/>
      <c r="D14" s="541">
        <v>100</v>
      </c>
      <c r="E14" s="1379"/>
      <c r="F14" s="255">
        <f>SUMIF(84:84,E14,85:85)-SUMIF(84:84,C14,85:85)+100</f>
        <v>100</v>
      </c>
      <c r="G14" s="533"/>
      <c r="H14" s="255">
        <f>SUMIF(84:84,G14,85:85)-SUMIF(84:84,C14,85:85)+100</f>
        <v>100</v>
      </c>
      <c r="I14" s="532"/>
      <c r="J14" s="255">
        <f>SUMIF(84:84,I14,85:85)-SUMIF(84:84,C14,85:85)+100</f>
        <v>100</v>
      </c>
      <c r="K14" s="534"/>
      <c r="L14" s="2144"/>
      <c r="M14" s="2141"/>
      <c r="N14" s="2141"/>
      <c r="O14" s="2146"/>
      <c r="P14" s="3358"/>
      <c r="Q14" s="1154" t="str">
        <f t="shared" si="6"/>
        <v>配建</v>
      </c>
      <c r="R14" s="1572" t="s">
        <v>8</v>
      </c>
      <c r="S14" s="1573">
        <f t="shared" si="0"/>
        <v>100</v>
      </c>
      <c r="T14" s="1572" t="s">
        <v>8</v>
      </c>
      <c r="U14" s="1573">
        <f t="shared" si="1"/>
        <v>100</v>
      </c>
      <c r="V14" s="1572" t="s">
        <v>8</v>
      </c>
      <c r="W14" s="1573">
        <f t="shared" si="2"/>
        <v>100</v>
      </c>
      <c r="X14" s="1574"/>
      <c r="Y14" s="3286"/>
      <c r="Z14" s="1153" t="str">
        <f t="shared" si="7"/>
        <v>配建</v>
      </c>
      <c r="AA14" s="1575">
        <f>D14/F14</f>
        <v>1</v>
      </c>
      <c r="AB14" s="1575">
        <f>D14/H14</f>
        <v>1</v>
      </c>
      <c r="AC14" s="1575">
        <f>D14/J14</f>
        <v>1</v>
      </c>
    </row>
    <row r="15" spans="1:30" ht="20.25">
      <c r="A15" s="2955"/>
      <c r="B15" s="2961">
        <v>111</v>
      </c>
      <c r="C15" s="915"/>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58"/>
      <c r="Q15" s="1154">
        <f t="shared" si="6"/>
        <v>111</v>
      </c>
      <c r="R15" s="1572" t="s">
        <v>8</v>
      </c>
      <c r="S15" s="1573">
        <f t="shared" si="0"/>
        <v>100</v>
      </c>
      <c r="T15" s="1572" t="s">
        <v>8</v>
      </c>
      <c r="U15" s="1573">
        <f t="shared" si="1"/>
        <v>100</v>
      </c>
      <c r="V15" s="1572" t="s">
        <v>8</v>
      </c>
      <c r="W15" s="1573">
        <f t="shared" si="2"/>
        <v>100</v>
      </c>
      <c r="X15" s="1574"/>
      <c r="Y15" s="3286"/>
      <c r="Z15" s="1153">
        <f t="shared" si="7"/>
        <v>111</v>
      </c>
      <c r="AA15" s="1575">
        <f>D15/F15</f>
        <v>1</v>
      </c>
      <c r="AB15" s="1575">
        <f>D15/H15</f>
        <v>1</v>
      </c>
      <c r="AC15" s="1575">
        <f>D15/J15</f>
        <v>1</v>
      </c>
    </row>
    <row r="16" spans="1:30" ht="21" thickBot="1">
      <c r="A16" s="2956"/>
      <c r="B16" s="2962">
        <v>111</v>
      </c>
      <c r="C16" s="918"/>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58"/>
      <c r="Q16" s="1154">
        <f t="shared" si="6"/>
        <v>111</v>
      </c>
      <c r="R16" s="1572" t="s">
        <v>8</v>
      </c>
      <c r="S16" s="1573">
        <f t="shared" si="0"/>
        <v>100</v>
      </c>
      <c r="T16" s="1572" t="s">
        <v>8</v>
      </c>
      <c r="U16" s="1573">
        <f t="shared" si="1"/>
        <v>100</v>
      </c>
      <c r="V16" s="1572" t="s">
        <v>8</v>
      </c>
      <c r="W16" s="1573">
        <f t="shared" si="2"/>
        <v>100</v>
      </c>
      <c r="X16" s="1574"/>
      <c r="Y16" s="3286"/>
      <c r="Z16" s="1153">
        <f t="shared" si="7"/>
        <v>111</v>
      </c>
      <c r="AA16" s="1575">
        <f>D16/F16</f>
        <v>1</v>
      </c>
      <c r="AB16" s="1575">
        <f>D16/H16</f>
        <v>1</v>
      </c>
      <c r="AC16" s="1575">
        <f>D16/J16</f>
        <v>1</v>
      </c>
    </row>
    <row r="17" spans="1:29" ht="99.75">
      <c r="A17" s="2948" t="s">
        <v>2765</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1"/>
      <c r="M17" s="2141"/>
      <c r="N17" s="2141"/>
      <c r="O17" s="2150"/>
      <c r="P17" s="3392" t="s">
        <v>541</v>
      </c>
      <c r="Q17" s="1576" t="str">
        <f t="shared" si="6"/>
        <v>居住社区成熟度</v>
      </c>
      <c r="R17" s="1577" t="s">
        <v>8</v>
      </c>
      <c r="S17" s="1578">
        <f t="shared" si="0"/>
        <v>100</v>
      </c>
      <c r="T17" s="1577" t="s">
        <v>8</v>
      </c>
      <c r="U17" s="1578">
        <f t="shared" si="1"/>
        <v>100</v>
      </c>
      <c r="V17" s="1577" t="s">
        <v>8</v>
      </c>
      <c r="W17" s="1578">
        <f t="shared" si="2"/>
        <v>100</v>
      </c>
      <c r="X17" s="1571"/>
      <c r="Y17" s="3392"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51"/>
      <c r="M18" s="2141"/>
      <c r="N18" s="2141"/>
      <c r="O18" s="2150"/>
      <c r="P18" s="3393"/>
      <c r="Q18" s="1576"/>
      <c r="R18" s="1577"/>
      <c r="S18" s="1578"/>
      <c r="T18" s="1577"/>
      <c r="U18" s="1578"/>
      <c r="V18" s="1577"/>
      <c r="W18" s="1578"/>
      <c r="X18" s="1571"/>
      <c r="Y18" s="3393"/>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1"/>
      <c r="M19" s="2141"/>
      <c r="N19" s="2141"/>
      <c r="O19" s="2150"/>
      <c r="P19" s="3393"/>
      <c r="Q19" s="1576" t="str">
        <f>B19</f>
        <v>商业繁华度</v>
      </c>
      <c r="R19" s="1577" t="s">
        <v>8</v>
      </c>
      <c r="S19" s="1578">
        <f>F19</f>
        <v>100</v>
      </c>
      <c r="T19" s="1577" t="s">
        <v>8</v>
      </c>
      <c r="U19" s="1578">
        <f>H19</f>
        <v>100</v>
      </c>
      <c r="V19" s="1577" t="s">
        <v>8</v>
      </c>
      <c r="W19" s="1578">
        <f>J19</f>
        <v>100</v>
      </c>
      <c r="X19" s="1571"/>
      <c r="Y19" s="3393"/>
      <c r="Z19" s="1579" t="str">
        <f>Q19</f>
        <v>商业繁华度</v>
      </c>
      <c r="AA19" s="1580">
        <f t="shared" si="3"/>
        <v>1</v>
      </c>
      <c r="AB19" s="1580">
        <f t="shared" si="4"/>
        <v>1</v>
      </c>
      <c r="AC19" s="1580">
        <f t="shared" si="5"/>
        <v>1</v>
      </c>
    </row>
    <row r="20" spans="1:29" ht="20.25">
      <c r="A20" s="535"/>
      <c r="B20" s="569"/>
      <c r="C20" s="570"/>
      <c r="D20" s="566"/>
      <c r="E20" s="572"/>
      <c r="F20" s="562"/>
      <c r="G20" s="571"/>
      <c r="H20" s="558"/>
      <c r="I20" s="572"/>
      <c r="J20" s="558"/>
      <c r="K20" s="534"/>
      <c r="L20" s="2151"/>
      <c r="M20" s="2141"/>
      <c r="N20" s="2141"/>
      <c r="O20" s="2150"/>
      <c r="P20" s="3393"/>
      <c r="Q20" s="1576"/>
      <c r="R20" s="1577"/>
      <c r="S20" s="1578"/>
      <c r="T20" s="1577"/>
      <c r="U20" s="1578"/>
      <c r="V20" s="1577"/>
      <c r="W20" s="1578"/>
      <c r="X20" s="1571"/>
      <c r="Y20" s="3393"/>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1"/>
      <c r="M21" s="2141"/>
      <c r="N21" s="2141"/>
      <c r="O21" s="2150"/>
      <c r="P21" s="3393"/>
      <c r="Q21" s="1576" t="str">
        <f>B21</f>
        <v>办公集聚程度</v>
      </c>
      <c r="R21" s="1577" t="s">
        <v>8</v>
      </c>
      <c r="S21" s="1578">
        <f>F21</f>
        <v>100</v>
      </c>
      <c r="T21" s="1577" t="s">
        <v>8</v>
      </c>
      <c r="U21" s="1578">
        <f>H21</f>
        <v>100</v>
      </c>
      <c r="V21" s="1577" t="s">
        <v>8</v>
      </c>
      <c r="W21" s="1578">
        <f>J21</f>
        <v>100</v>
      </c>
      <c r="X21" s="1571"/>
      <c r="Y21" s="3393"/>
      <c r="Z21" s="1579" t="str">
        <f>Q21</f>
        <v>办公集聚程度</v>
      </c>
      <c r="AA21" s="1580">
        <f t="shared" si="3"/>
        <v>1</v>
      </c>
      <c r="AB21" s="1580">
        <f t="shared" si="4"/>
        <v>1</v>
      </c>
      <c r="AC21" s="1580">
        <f t="shared" si="5"/>
        <v>1</v>
      </c>
    </row>
    <row r="22" spans="1:29" ht="20.25">
      <c r="A22" s="535"/>
      <c r="B22" s="569"/>
      <c r="C22" s="557"/>
      <c r="D22" s="560"/>
      <c r="E22" s="561"/>
      <c r="F22" s="558"/>
      <c r="G22" s="559"/>
      <c r="H22" s="558"/>
      <c r="I22" s="561"/>
      <c r="J22" s="558"/>
      <c r="K22" s="534"/>
      <c r="L22" s="2151"/>
      <c r="M22" s="2141"/>
      <c r="N22" s="2141"/>
      <c r="O22" s="2150"/>
      <c r="P22" s="3393"/>
      <c r="Q22" s="1576"/>
      <c r="R22" s="1577"/>
      <c r="S22" s="1578"/>
      <c r="T22" s="1577"/>
      <c r="U22" s="1578"/>
      <c r="V22" s="1577"/>
      <c r="W22" s="1578"/>
      <c r="X22" s="1571"/>
      <c r="Y22" s="3393"/>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1"/>
      <c r="M23" s="2141"/>
      <c r="N23" s="2141"/>
      <c r="O23" s="2150"/>
      <c r="P23" s="3393"/>
      <c r="Q23" s="1576" t="str">
        <f>B23</f>
        <v>交通便捷度</v>
      </c>
      <c r="R23" s="1577" t="s">
        <v>8</v>
      </c>
      <c r="S23" s="1578">
        <f>F23</f>
        <v>100</v>
      </c>
      <c r="T23" s="1577" t="s">
        <v>8</v>
      </c>
      <c r="U23" s="1578">
        <f>H23</f>
        <v>100</v>
      </c>
      <c r="V23" s="1577" t="s">
        <v>8</v>
      </c>
      <c r="W23" s="1578">
        <f>J23</f>
        <v>100</v>
      </c>
      <c r="X23" s="1571"/>
      <c r="Y23" s="3393"/>
      <c r="Z23" s="1579" t="str">
        <f>Q23</f>
        <v>交通便捷度</v>
      </c>
      <c r="AA23" s="1580">
        <f t="shared" si="3"/>
        <v>1</v>
      </c>
      <c r="AB23" s="1580">
        <f t="shared" si="4"/>
        <v>1</v>
      </c>
      <c r="AC23" s="1580">
        <f t="shared" si="5"/>
        <v>1</v>
      </c>
    </row>
    <row r="24" spans="1:29" ht="20.25">
      <c r="A24" s="535"/>
      <c r="B24" s="581"/>
      <c r="C24" s="557"/>
      <c r="D24" s="560"/>
      <c r="E24" s="561"/>
      <c r="F24" s="558"/>
      <c r="G24" s="559"/>
      <c r="H24" s="558"/>
      <c r="I24" s="561"/>
      <c r="J24" s="558"/>
      <c r="K24" s="534"/>
      <c r="L24" s="2151"/>
      <c r="M24" s="2141"/>
      <c r="N24" s="2141"/>
      <c r="O24" s="2150"/>
      <c r="P24" s="3393"/>
      <c r="Q24" s="1576"/>
      <c r="R24" s="1577"/>
      <c r="S24" s="1578"/>
      <c r="T24" s="1577"/>
      <c r="U24" s="1578"/>
      <c r="V24" s="1577"/>
      <c r="W24" s="1578"/>
      <c r="X24" s="1571"/>
      <c r="Y24" s="3393"/>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1"/>
      <c r="M25" s="2141"/>
      <c r="N25" s="2141"/>
      <c r="O25" s="2150"/>
      <c r="P25" s="3393"/>
      <c r="Q25" s="1576" t="str">
        <f t="shared" ref="Q25:Q39" si="8">B25</f>
        <v>区域土地利用方向</v>
      </c>
      <c r="R25" s="1577" t="s">
        <v>8</v>
      </c>
      <c r="S25" s="1578">
        <f>F25</f>
        <v>100</v>
      </c>
      <c r="T25" s="1577" t="s">
        <v>8</v>
      </c>
      <c r="U25" s="1578">
        <f>H25</f>
        <v>100</v>
      </c>
      <c r="V25" s="1577" t="s">
        <v>8</v>
      </c>
      <c r="W25" s="1578">
        <f>J25</f>
        <v>100</v>
      </c>
      <c r="X25" s="1571"/>
      <c r="Y25" s="3393"/>
      <c r="Z25" s="1579" t="str">
        <f>Q25</f>
        <v>区域土地利用方向</v>
      </c>
      <c r="AA25" s="1580">
        <f t="shared" si="3"/>
        <v>1</v>
      </c>
      <c r="AB25" s="1580">
        <f t="shared" si="4"/>
        <v>1</v>
      </c>
      <c r="AC25" s="1580">
        <f t="shared" si="5"/>
        <v>1</v>
      </c>
    </row>
    <row r="26" spans="1:29" ht="20.25">
      <c r="A26" s="518"/>
      <c r="B26" s="1010"/>
      <c r="C26" s="557"/>
      <c r="D26" s="560"/>
      <c r="E26" s="561"/>
      <c r="F26" s="558"/>
      <c r="G26" s="559"/>
      <c r="H26" s="558"/>
      <c r="I26" s="561"/>
      <c r="J26" s="558"/>
      <c r="K26" s="534"/>
      <c r="L26" s="2151"/>
      <c r="M26" s="2141"/>
      <c r="N26" s="2141"/>
      <c r="O26" s="2150"/>
      <c r="P26" s="3393"/>
      <c r="Q26" s="1576"/>
      <c r="R26" s="1577"/>
      <c r="S26" s="1578"/>
      <c r="T26" s="1577"/>
      <c r="U26" s="1578"/>
      <c r="V26" s="1577"/>
      <c r="W26" s="1578"/>
      <c r="X26" s="1571"/>
      <c r="Y26" s="3393"/>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1"/>
      <c r="M27" s="2141"/>
      <c r="N27" s="2141"/>
      <c r="O27" s="2150"/>
      <c r="P27" s="3393"/>
      <c r="Q27" s="1576" t="str">
        <f t="shared" si="8"/>
        <v>自然及人文环境状况</v>
      </c>
      <c r="R27" s="1577" t="s">
        <v>8</v>
      </c>
      <c r="S27" s="1578">
        <f>F27</f>
        <v>100</v>
      </c>
      <c r="T27" s="1577" t="s">
        <v>8</v>
      </c>
      <c r="U27" s="1578">
        <f>H27</f>
        <v>100</v>
      </c>
      <c r="V27" s="1577" t="s">
        <v>8</v>
      </c>
      <c r="W27" s="1578">
        <f>J27</f>
        <v>100</v>
      </c>
      <c r="X27" s="1571"/>
      <c r="Y27" s="3393"/>
      <c r="Z27" s="1579" t="str">
        <f>Q27</f>
        <v>自然及人文环境状况</v>
      </c>
      <c r="AA27" s="1580">
        <f t="shared" si="3"/>
        <v>1</v>
      </c>
      <c r="AB27" s="1580">
        <f t="shared" si="4"/>
        <v>1</v>
      </c>
      <c r="AC27" s="1580">
        <f t="shared" si="5"/>
        <v>1</v>
      </c>
    </row>
    <row r="28" spans="1:29" ht="20.25">
      <c r="A28" s="518"/>
      <c r="B28" s="569"/>
      <c r="C28" s="557"/>
      <c r="D28" s="560"/>
      <c r="E28" s="579"/>
      <c r="F28" s="558"/>
      <c r="G28" s="557"/>
      <c r="H28" s="558"/>
      <c r="I28" s="579"/>
      <c r="J28" s="558"/>
      <c r="K28" s="534"/>
      <c r="L28" s="2151"/>
      <c r="M28" s="2141"/>
      <c r="N28" s="2141"/>
      <c r="O28" s="2150"/>
      <c r="P28" s="3393"/>
      <c r="Q28" s="1576"/>
      <c r="R28" s="1577"/>
      <c r="S28" s="1578"/>
      <c r="T28" s="1577"/>
      <c r="U28" s="1578"/>
      <c r="V28" s="1577"/>
      <c r="W28" s="1578"/>
      <c r="X28" s="1571"/>
      <c r="Y28" s="3393"/>
      <c r="Z28" s="1579"/>
      <c r="AA28" s="1580">
        <v>1</v>
      </c>
      <c r="AB28" s="1580">
        <v>1</v>
      </c>
      <c r="AC28" s="1580">
        <v>1</v>
      </c>
    </row>
    <row r="29" spans="1:29" s="1223" customFormat="1" ht="42.75">
      <c r="A29" s="580"/>
      <c r="B29" s="2625" t="s">
        <v>2556</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4"/>
      <c r="M29" s="2141"/>
      <c r="N29" s="2141"/>
      <c r="O29" s="2146"/>
      <c r="P29" s="3393"/>
      <c r="Q29" s="1154" t="str">
        <f t="shared" si="8"/>
        <v>公共配套设施</v>
      </c>
      <c r="R29" s="1572" t="s">
        <v>8</v>
      </c>
      <c r="S29" s="1573">
        <f>F29</f>
        <v>100</v>
      </c>
      <c r="T29" s="1572" t="s">
        <v>8</v>
      </c>
      <c r="U29" s="1573">
        <f>H29</f>
        <v>100</v>
      </c>
      <c r="V29" s="1572" t="s">
        <v>8</v>
      </c>
      <c r="W29" s="1573">
        <f>J29</f>
        <v>100</v>
      </c>
      <c r="X29" s="1574"/>
      <c r="Y29" s="3393"/>
      <c r="Z29" s="1153" t="str">
        <f>Q29</f>
        <v>公共配套设施</v>
      </c>
      <c r="AA29" s="1580">
        <f>D29/F29</f>
        <v>1</v>
      </c>
      <c r="AB29" s="1580">
        <f>D29/H29</f>
        <v>1</v>
      </c>
      <c r="AC29" s="1580">
        <f>D29/J29</f>
        <v>1</v>
      </c>
    </row>
    <row r="30" spans="1:29" s="1223" customFormat="1" ht="20.25">
      <c r="A30" s="580"/>
      <c r="B30" s="569"/>
      <c r="C30" s="582"/>
      <c r="D30" s="560"/>
      <c r="E30" s="579"/>
      <c r="F30" s="558"/>
      <c r="G30" s="557"/>
      <c r="H30" s="558"/>
      <c r="I30" s="579"/>
      <c r="J30" s="558"/>
      <c r="K30" s="534"/>
      <c r="L30" s="2144"/>
      <c r="M30" s="2141"/>
      <c r="N30" s="2141"/>
      <c r="O30" s="2146"/>
      <c r="P30" s="3393"/>
      <c r="Q30" s="1154"/>
      <c r="R30" s="1572"/>
      <c r="S30" s="1573"/>
      <c r="T30" s="1572"/>
      <c r="U30" s="1573"/>
      <c r="V30" s="1572"/>
      <c r="W30" s="1573"/>
      <c r="X30" s="1574"/>
      <c r="Y30" s="3393"/>
      <c r="Z30" s="1153"/>
      <c r="AA30" s="1580">
        <v>1</v>
      </c>
      <c r="AB30" s="1580">
        <v>1</v>
      </c>
      <c r="AC30" s="1580">
        <v>1</v>
      </c>
    </row>
    <row r="31" spans="1:29" s="1223" customFormat="1" ht="28.5">
      <c r="A31" s="580"/>
      <c r="B31" s="2625" t="s">
        <v>2557</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4"/>
      <c r="M31" s="2141"/>
      <c r="N31" s="2141"/>
      <c r="O31" s="2146"/>
      <c r="P31" s="3393"/>
      <c r="Q31" s="2612" t="str">
        <f t="shared" ref="Q31" si="9">B31</f>
        <v>基础设施水平</v>
      </c>
      <c r="R31" s="1572" t="s">
        <v>8</v>
      </c>
      <c r="S31" s="1573">
        <f>F31</f>
        <v>100</v>
      </c>
      <c r="T31" s="1572" t="s">
        <v>8</v>
      </c>
      <c r="U31" s="1573">
        <f>H31</f>
        <v>100</v>
      </c>
      <c r="V31" s="1572" t="s">
        <v>8</v>
      </c>
      <c r="W31" s="1573">
        <f>J31</f>
        <v>100</v>
      </c>
      <c r="X31" s="1574"/>
      <c r="Y31" s="3393"/>
      <c r="Z31" s="2609" t="str">
        <f>Q31</f>
        <v>基础设施水平</v>
      </c>
      <c r="AA31" s="1580">
        <f>D31/F31</f>
        <v>1</v>
      </c>
      <c r="AB31" s="1580">
        <f>D31/H31</f>
        <v>1</v>
      </c>
      <c r="AC31" s="1580">
        <f>D31/J31</f>
        <v>1</v>
      </c>
    </row>
    <row r="32" spans="1:29" s="1223" customFormat="1" ht="20.25">
      <c r="A32" s="580"/>
      <c r="B32" s="569"/>
      <c r="C32" s="582"/>
      <c r="D32" s="560"/>
      <c r="E32" s="2626"/>
      <c r="F32" s="558"/>
      <c r="G32" s="582"/>
      <c r="H32" s="558"/>
      <c r="I32" s="582"/>
      <c r="J32" s="558"/>
      <c r="K32" s="534"/>
      <c r="L32" s="2144"/>
      <c r="M32" s="2141"/>
      <c r="N32" s="2141"/>
      <c r="O32" s="2146"/>
      <c r="P32" s="3393"/>
      <c r="Q32" s="2612"/>
      <c r="R32" s="1572"/>
      <c r="S32" s="1573"/>
      <c r="T32" s="1572"/>
      <c r="U32" s="1573"/>
      <c r="V32" s="1572"/>
      <c r="W32" s="1573"/>
      <c r="X32" s="1574"/>
      <c r="Y32" s="3393"/>
      <c r="Z32" s="2609"/>
      <c r="AA32" s="1580">
        <v>1</v>
      </c>
      <c r="AB32" s="1580">
        <v>1</v>
      </c>
      <c r="AC32" s="1580">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1"/>
      <c r="M33" s="2141"/>
      <c r="N33" s="2141"/>
      <c r="O33" s="2150"/>
      <c r="P33" s="3393"/>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93"/>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1"/>
      <c r="M34" s="2141"/>
      <c r="N34" s="2141"/>
      <c r="O34" s="2150"/>
      <c r="P34" s="3393"/>
      <c r="Q34" s="1576" t="str">
        <f t="shared" si="8"/>
        <v>毗邻道路的类型与等级</v>
      </c>
      <c r="R34" s="1577" t="s">
        <v>8</v>
      </c>
      <c r="S34" s="1578">
        <f t="shared" si="10"/>
        <v>100</v>
      </c>
      <c r="T34" s="1577" t="s">
        <v>8</v>
      </c>
      <c r="U34" s="1578">
        <f t="shared" si="11"/>
        <v>100</v>
      </c>
      <c r="V34" s="1577" t="s">
        <v>8</v>
      </c>
      <c r="W34" s="1578">
        <f t="shared" si="12"/>
        <v>100</v>
      </c>
      <c r="X34" s="1571"/>
      <c r="Y34" s="3393"/>
      <c r="Z34" s="1579" t="str">
        <f t="shared" si="13"/>
        <v>毗邻道路的类型与等级</v>
      </c>
      <c r="AA34" s="1580">
        <f t="shared" si="3"/>
        <v>1</v>
      </c>
      <c r="AB34" s="1580">
        <f t="shared" si="4"/>
        <v>1</v>
      </c>
      <c r="AC34" s="1580">
        <f t="shared" si="5"/>
        <v>1</v>
      </c>
    </row>
    <row r="35" spans="1:29" ht="20.25">
      <c r="A35" s="535"/>
      <c r="B35" s="569"/>
      <c r="C35" s="557"/>
      <c r="D35" s="560"/>
      <c r="E35" s="579"/>
      <c r="F35" s="558"/>
      <c r="G35" s="557"/>
      <c r="H35" s="558"/>
      <c r="I35" s="579"/>
      <c r="J35" s="558"/>
      <c r="K35" s="584"/>
      <c r="L35" s="2151"/>
      <c r="M35" s="2141"/>
      <c r="N35" s="2141"/>
      <c r="O35" s="2150"/>
      <c r="P35" s="3393"/>
      <c r="Q35" s="1576"/>
      <c r="R35" s="1577"/>
      <c r="S35" s="1578"/>
      <c r="T35" s="1577"/>
      <c r="U35" s="1578"/>
      <c r="V35" s="1577"/>
      <c r="W35" s="1578"/>
      <c r="X35" s="1571"/>
      <c r="Y35" s="3393"/>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1"/>
      <c r="M36" s="2141"/>
      <c r="N36" s="2141"/>
      <c r="O36" s="2150"/>
      <c r="P36" s="3393"/>
      <c r="Q36" s="1576" t="str">
        <f t="shared" si="8"/>
        <v>土地级别</v>
      </c>
      <c r="R36" s="1577" t="s">
        <v>8</v>
      </c>
      <c r="S36" s="1578">
        <f t="shared" si="10"/>
        <v>100</v>
      </c>
      <c r="T36" s="1577" t="s">
        <v>8</v>
      </c>
      <c r="U36" s="1578">
        <f t="shared" si="11"/>
        <v>100</v>
      </c>
      <c r="V36" s="1577" t="s">
        <v>8</v>
      </c>
      <c r="W36" s="1578">
        <f t="shared" si="12"/>
        <v>100</v>
      </c>
      <c r="X36" s="1571"/>
      <c r="Y36" s="3393"/>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393"/>
      <c r="Q37" s="1576">
        <f t="shared" si="8"/>
        <v>111</v>
      </c>
      <c r="R37" s="1577" t="s">
        <v>8</v>
      </c>
      <c r="S37" s="1578">
        <f t="shared" si="10"/>
        <v>100</v>
      </c>
      <c r="T37" s="1577" t="s">
        <v>8</v>
      </c>
      <c r="U37" s="1578">
        <f t="shared" si="11"/>
        <v>100</v>
      </c>
      <c r="V37" s="1577" t="s">
        <v>8</v>
      </c>
      <c r="W37" s="1578">
        <f t="shared" si="12"/>
        <v>100</v>
      </c>
      <c r="X37" s="1571"/>
      <c r="Y37" s="3393"/>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394" t="s">
        <v>551</v>
      </c>
      <c r="Q38" s="1576">
        <f t="shared" si="8"/>
        <v>111</v>
      </c>
      <c r="R38" s="1577" t="s">
        <v>8</v>
      </c>
      <c r="S38" s="1578">
        <f t="shared" si="10"/>
        <v>100</v>
      </c>
      <c r="T38" s="1577" t="s">
        <v>8</v>
      </c>
      <c r="U38" s="1578">
        <f t="shared" si="11"/>
        <v>100</v>
      </c>
      <c r="V38" s="1577" t="s">
        <v>8</v>
      </c>
      <c r="W38" s="1578">
        <f t="shared" si="12"/>
        <v>100</v>
      </c>
      <c r="X38" s="1571"/>
      <c r="Y38" s="3395"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395"/>
      <c r="Q39" s="1576">
        <f t="shared" si="8"/>
        <v>111</v>
      </c>
      <c r="R39" s="1581" t="s">
        <v>8</v>
      </c>
      <c r="S39" s="1582">
        <f t="shared" si="10"/>
        <v>100</v>
      </c>
      <c r="T39" s="1581" t="s">
        <v>8</v>
      </c>
      <c r="U39" s="1582">
        <f t="shared" si="11"/>
        <v>100</v>
      </c>
      <c r="V39" s="1581" t="s">
        <v>8</v>
      </c>
      <c r="W39" s="1582">
        <f t="shared" si="12"/>
        <v>100</v>
      </c>
      <c r="X39" s="1583"/>
      <c r="Y39" s="3395"/>
      <c r="Z39" s="1584">
        <f t="shared" si="13"/>
        <v>111</v>
      </c>
      <c r="AA39" s="1580">
        <f t="shared" si="3"/>
        <v>1</v>
      </c>
      <c r="AB39" s="1580">
        <f t="shared" si="4"/>
        <v>1</v>
      </c>
      <c r="AC39" s="1580">
        <f t="shared" si="5"/>
        <v>1</v>
      </c>
    </row>
    <row r="40" spans="1:29" ht="20.25">
      <c r="A40" s="2945" t="s">
        <v>2766</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1"/>
      <c r="M40" s="2141"/>
      <c r="N40" s="2141"/>
      <c r="O40" s="2150"/>
      <c r="P40" s="3395"/>
      <c r="Q40" s="1576" t="str">
        <f>B40</f>
        <v>宗地面积</v>
      </c>
      <c r="R40" s="1577" t="s">
        <v>8</v>
      </c>
      <c r="S40" s="1578" t="e">
        <f t="shared" si="10"/>
        <v>#N/A</v>
      </c>
      <c r="T40" s="1577" t="s">
        <v>8</v>
      </c>
      <c r="U40" s="1578" t="e">
        <f t="shared" si="11"/>
        <v>#N/A</v>
      </c>
      <c r="V40" s="1577" t="s">
        <v>8</v>
      </c>
      <c r="W40" s="1578" t="e">
        <f t="shared" si="12"/>
        <v>#N/A</v>
      </c>
      <c r="X40" s="1571"/>
      <c r="Y40" s="3395"/>
      <c r="Z40" s="1579" t="str">
        <f t="shared" si="13"/>
        <v>宗地面积</v>
      </c>
      <c r="AA40" s="1580" t="e">
        <f t="shared" si="3"/>
        <v>#N/A</v>
      </c>
      <c r="AB40" s="1580" t="e">
        <f t="shared" si="4"/>
        <v>#N/A</v>
      </c>
      <c r="AC40" s="1580"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1"/>
      <c r="M41" s="2141"/>
      <c r="N41" s="2141"/>
      <c r="O41" s="2150"/>
      <c r="P41" s="3395"/>
      <c r="Q41" s="1576" t="str">
        <f t="shared" ref="Q41:Q47" si="14">B41</f>
        <v>宗地形状</v>
      </c>
      <c r="R41" s="1577" t="s">
        <v>8</v>
      </c>
      <c r="S41" s="1578">
        <f t="shared" si="10"/>
        <v>100</v>
      </c>
      <c r="T41" s="1577" t="s">
        <v>8</v>
      </c>
      <c r="U41" s="1578">
        <f t="shared" si="11"/>
        <v>100</v>
      </c>
      <c r="V41" s="1577" t="s">
        <v>8</v>
      </c>
      <c r="W41" s="1578">
        <f t="shared" si="12"/>
        <v>100</v>
      </c>
      <c r="X41" s="1571"/>
      <c r="Y41" s="3395"/>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1"/>
      <c r="M42" s="2141"/>
      <c r="N42" s="2141"/>
      <c r="O42" s="2150"/>
      <c r="P42" s="3395"/>
      <c r="Q42" s="1576" t="str">
        <f t="shared" si="14"/>
        <v>临街宽度及深度</v>
      </c>
      <c r="R42" s="1577" t="s">
        <v>8</v>
      </c>
      <c r="S42" s="1578">
        <f t="shared" si="10"/>
        <v>100</v>
      </c>
      <c r="T42" s="1577" t="s">
        <v>8</v>
      </c>
      <c r="U42" s="1578">
        <f t="shared" si="11"/>
        <v>100</v>
      </c>
      <c r="V42" s="1577" t="s">
        <v>8</v>
      </c>
      <c r="W42" s="1578">
        <f t="shared" si="12"/>
        <v>100</v>
      </c>
      <c r="X42" s="1571"/>
      <c r="Y42" s="3395"/>
      <c r="Z42" s="1579" t="str">
        <f t="shared" si="13"/>
        <v>临街宽度及深度</v>
      </c>
      <c r="AA42" s="1580">
        <f t="shared" si="3"/>
        <v>1</v>
      </c>
      <c r="AB42" s="1580">
        <f t="shared" si="4"/>
        <v>1</v>
      </c>
      <c r="AC42" s="1580">
        <f t="shared" si="5"/>
        <v>1</v>
      </c>
    </row>
    <row r="43" spans="1:29" s="1223" customFormat="1" ht="20.25">
      <c r="A43" s="603"/>
      <c r="B43" s="1900" t="s">
        <v>2430</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4"/>
      <c r="M43" s="2141"/>
      <c r="N43" s="2141"/>
      <c r="O43" s="2146"/>
      <c r="P43" s="3395"/>
      <c r="Q43" s="1576" t="str">
        <f t="shared" si="14"/>
        <v>宗地开发程度</v>
      </c>
      <c r="R43" s="1572" t="s">
        <v>8</v>
      </c>
      <c r="S43" s="1573">
        <f t="shared" si="10"/>
        <v>100</v>
      </c>
      <c r="T43" s="1572" t="s">
        <v>8</v>
      </c>
      <c r="U43" s="1573">
        <f t="shared" si="11"/>
        <v>100</v>
      </c>
      <c r="V43" s="1572" t="s">
        <v>8</v>
      </c>
      <c r="W43" s="1573">
        <f t="shared" si="12"/>
        <v>100</v>
      </c>
      <c r="X43" s="1574"/>
      <c r="Y43" s="3395"/>
      <c r="Z43" s="1153" t="str">
        <f t="shared" si="13"/>
        <v>宗地开发程度</v>
      </c>
      <c r="AA43" s="1575">
        <f t="shared" si="3"/>
        <v>1</v>
      </c>
      <c r="AB43" s="1575">
        <f t="shared" si="4"/>
        <v>1</v>
      </c>
      <c r="AC43" s="1575">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1"/>
      <c r="M44" s="2141"/>
      <c r="N44" s="2141"/>
      <c r="O44" s="2150"/>
      <c r="P44" s="3395" t="s">
        <v>551</v>
      </c>
      <c r="Q44" s="1576" t="str">
        <f t="shared" si="14"/>
        <v>工程地质条件</v>
      </c>
      <c r="R44" s="1577" t="s">
        <v>8</v>
      </c>
      <c r="S44" s="1578">
        <f t="shared" si="10"/>
        <v>100</v>
      </c>
      <c r="T44" s="1577" t="s">
        <v>8</v>
      </c>
      <c r="U44" s="1578">
        <f t="shared" si="11"/>
        <v>100</v>
      </c>
      <c r="V44" s="1577" t="s">
        <v>8</v>
      </c>
      <c r="W44" s="1578">
        <f t="shared" si="12"/>
        <v>100</v>
      </c>
      <c r="X44" s="1571"/>
      <c r="Y44" s="3395"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395"/>
      <c r="Q45" s="1576">
        <f t="shared" si="14"/>
        <v>111</v>
      </c>
      <c r="R45" s="1577" t="s">
        <v>8</v>
      </c>
      <c r="S45" s="1578">
        <f t="shared" si="10"/>
        <v>100</v>
      </c>
      <c r="T45" s="1577" t="s">
        <v>8</v>
      </c>
      <c r="U45" s="1578">
        <f t="shared" si="11"/>
        <v>100</v>
      </c>
      <c r="V45" s="1577" t="s">
        <v>8</v>
      </c>
      <c r="W45" s="1578">
        <f t="shared" si="12"/>
        <v>100</v>
      </c>
      <c r="X45" s="1571"/>
      <c r="Y45" s="3395"/>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395"/>
      <c r="Q46" s="1576">
        <f t="shared" si="14"/>
        <v>111</v>
      </c>
      <c r="R46" s="1577" t="s">
        <v>8</v>
      </c>
      <c r="S46" s="1578">
        <f t="shared" si="10"/>
        <v>100</v>
      </c>
      <c r="T46" s="1577" t="s">
        <v>8</v>
      </c>
      <c r="U46" s="1578">
        <f t="shared" si="11"/>
        <v>100</v>
      </c>
      <c r="V46" s="1577" t="s">
        <v>8</v>
      </c>
      <c r="W46" s="1578">
        <f t="shared" si="12"/>
        <v>100</v>
      </c>
      <c r="X46" s="1571"/>
      <c r="Y46" s="3395"/>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395"/>
      <c r="Q47" s="1576">
        <f t="shared" si="14"/>
        <v>111</v>
      </c>
      <c r="R47" s="1581" t="s">
        <v>8</v>
      </c>
      <c r="S47" s="1582">
        <f t="shared" si="10"/>
        <v>100</v>
      </c>
      <c r="T47" s="1581" t="s">
        <v>8</v>
      </c>
      <c r="U47" s="1582">
        <f t="shared" si="11"/>
        <v>100</v>
      </c>
      <c r="V47" s="1581" t="s">
        <v>8</v>
      </c>
      <c r="W47" s="1582">
        <f t="shared" si="12"/>
        <v>100</v>
      </c>
      <c r="X47" s="1583"/>
      <c r="Y47" s="3395"/>
      <c r="Z47" s="1584">
        <f t="shared" si="13"/>
        <v>111</v>
      </c>
      <c r="AA47" s="1580">
        <f t="shared" si="3"/>
        <v>1</v>
      </c>
      <c r="AB47" s="1580">
        <f t="shared" si="4"/>
        <v>1</v>
      </c>
      <c r="AC47" s="1580">
        <f t="shared" si="5"/>
        <v>1</v>
      </c>
    </row>
    <row r="48" spans="1:29" ht="20.25">
      <c r="A48" s="610" t="s">
        <v>557</v>
      </c>
      <c r="B48" s="611" t="s">
        <v>2943</v>
      </c>
      <c r="C48" s="612" t="s">
        <v>1</v>
      </c>
      <c r="D48" s="613"/>
      <c r="E48" s="614"/>
      <c r="F48" s="615"/>
      <c r="G48" s="616"/>
      <c r="H48" s="617"/>
      <c r="I48" s="614"/>
      <c r="J48" s="617"/>
      <c r="K48" s="1343"/>
      <c r="L48" s="2153"/>
      <c r="M48" s="2141"/>
      <c r="N48" s="2141"/>
      <c r="O48" s="2154"/>
      <c r="P48" s="3358" t="str">
        <f>A48</f>
        <v>成交单价</v>
      </c>
      <c r="Q48" s="3358"/>
      <c r="R48" s="3359">
        <f>E48</f>
        <v>0</v>
      </c>
      <c r="S48" s="3359"/>
      <c r="T48" s="3359">
        <f>G48</f>
        <v>0</v>
      </c>
      <c r="U48" s="3359"/>
      <c r="V48" s="3359">
        <f>I48</f>
        <v>0</v>
      </c>
      <c r="W48" s="3359"/>
      <c r="X48" s="1563"/>
      <c r="Y48" s="1585"/>
      <c r="Z48" s="1563"/>
      <c r="AA48" s="1563"/>
      <c r="AB48" s="1563"/>
      <c r="AC48" s="1563"/>
    </row>
    <row r="49" spans="1:29" ht="21" thickBot="1">
      <c r="A49" s="618" t="s">
        <v>2704</v>
      </c>
      <c r="B49" s="619"/>
      <c r="C49" s="620" t="e">
        <f>R50</f>
        <v>#DIV/0!</v>
      </c>
      <c r="D49" s="621"/>
      <c r="E49" s="620" t="e">
        <f>R49</f>
        <v>#DIV/0!</v>
      </c>
      <c r="F49" s="622"/>
      <c r="G49" s="623" t="e">
        <f>T49</f>
        <v>#DIV/0!</v>
      </c>
      <c r="H49" s="621"/>
      <c r="I49" s="620" t="e">
        <f>V49</f>
        <v>#DIV/0!</v>
      </c>
      <c r="J49" s="621"/>
      <c r="K49" s="1344"/>
      <c r="L49" s="2153"/>
      <c r="M49" s="2141"/>
      <c r="N49" s="2141"/>
      <c r="O49" s="2154"/>
      <c r="P49" s="3358" t="str">
        <f>A49</f>
        <v>比较价格（元/平方米）</v>
      </c>
      <c r="Q49" s="3358"/>
      <c r="R49" s="3360" t="e">
        <f>ROUND(PRODUCT(R48,AA9:AA47),0)</f>
        <v>#DIV/0!</v>
      </c>
      <c r="S49" s="3360"/>
      <c r="T49" s="3360" t="e">
        <f>ROUND(PRODUCT(T48,AB9:AB47),0)</f>
        <v>#DIV/0!</v>
      </c>
      <c r="U49" s="3360"/>
      <c r="V49" s="3360" t="e">
        <f>ROUND(PRODUCT(V48,AC9:AC47),0)</f>
        <v>#DIV/0!</v>
      </c>
      <c r="W49" s="3360"/>
      <c r="X49" s="1563"/>
      <c r="Y49" s="1563"/>
      <c r="Z49" s="1563"/>
      <c r="AA49" s="1563"/>
      <c r="AB49" s="1563"/>
      <c r="AC49" s="1563"/>
    </row>
    <row r="50" spans="1:29" ht="21" thickBot="1">
      <c r="A50" s="624" t="s">
        <v>2944</v>
      </c>
      <c r="B50" s="625"/>
      <c r="C50" s="626" t="e">
        <f>R50</f>
        <v>#DIV/0!</v>
      </c>
      <c r="D50" s="626"/>
      <c r="E50" s="626"/>
      <c r="F50" s="626"/>
      <c r="G50" s="626"/>
      <c r="H50" s="626"/>
      <c r="I50" s="626"/>
      <c r="J50" s="626"/>
      <c r="K50" s="1345"/>
      <c r="L50" s="2153"/>
      <c r="M50" s="2141"/>
      <c r="N50" s="2141"/>
      <c r="O50" s="2154"/>
      <c r="P50" s="3355" t="str">
        <f>A50</f>
        <v>估价对象XX用房的比较价格（楼面单价，元/平方米）</v>
      </c>
      <c r="Q50" s="3356"/>
      <c r="R50" s="3357" t="e">
        <f>ROUND(AVERAGE(R49:V49),0)</f>
        <v>#DIV/0!</v>
      </c>
      <c r="S50" s="3357"/>
      <c r="T50" s="3357"/>
      <c r="U50" s="3357"/>
      <c r="V50" s="3357"/>
      <c r="W50" s="3357"/>
      <c r="X50" s="1563"/>
      <c r="Y50" s="1563"/>
      <c r="Z50" s="1563"/>
      <c r="AA50" s="1563"/>
      <c r="AB50" s="1563"/>
      <c r="AC50" s="1563"/>
    </row>
    <row r="51" spans="1:29" ht="20.25">
      <c r="A51" s="2154"/>
      <c r="B51" s="2154"/>
      <c r="C51" s="2154"/>
      <c r="D51" s="2154"/>
      <c r="E51" s="2154"/>
      <c r="F51" s="2154"/>
      <c r="G51" s="2157"/>
      <c r="H51" s="2154"/>
      <c r="I51" s="2154"/>
      <c r="J51" s="2154"/>
      <c r="K51" s="2158"/>
      <c r="L51" s="2159"/>
      <c r="M51" s="2141"/>
      <c r="N51" s="2141"/>
      <c r="O51" s="2154"/>
      <c r="P51" s="1563"/>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3"/>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41"/>
      <c r="N53" s="2141"/>
      <c r="O53" s="2154"/>
      <c r="P53" s="1563"/>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41"/>
      <c r="N54" s="2141"/>
      <c r="O54" s="2154"/>
      <c r="P54" s="1563"/>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41"/>
      <c r="N55" s="2141"/>
      <c r="O55" s="2155"/>
      <c r="P55" s="1561"/>
      <c r="Q55" s="2155"/>
      <c r="R55" s="2155"/>
      <c r="S55" s="2155"/>
      <c r="T55" s="2155"/>
      <c r="U55" s="2155"/>
      <c r="V55" s="2155"/>
      <c r="W55" s="2155"/>
      <c r="X55" s="2155"/>
      <c r="Y55" s="2155"/>
      <c r="Z55" s="2155"/>
      <c r="AA55" s="2155"/>
      <c r="AB55" s="2155"/>
      <c r="AC55" s="2155"/>
    </row>
    <row r="56" spans="1:29" s="1348" customFormat="1" ht="21" thickBot="1">
      <c r="A56" s="2155"/>
      <c r="B56" s="2156"/>
      <c r="C56" s="2160"/>
      <c r="D56" s="2155"/>
      <c r="E56" s="2155"/>
      <c r="F56" s="2155"/>
      <c r="G56" s="2155"/>
      <c r="H56" s="2155"/>
      <c r="I56" s="2155"/>
      <c r="J56" s="2155"/>
      <c r="K56" s="2161"/>
      <c r="L56" s="2162"/>
      <c r="M56" s="2141"/>
      <c r="N56" s="2141"/>
      <c r="O56" s="2155"/>
      <c r="P56" s="1561"/>
      <c r="Q56" s="2155"/>
      <c r="R56" s="2155"/>
      <c r="S56" s="2155"/>
      <c r="T56" s="2155"/>
      <c r="U56" s="2155"/>
      <c r="V56" s="2155"/>
      <c r="W56" s="2155"/>
      <c r="X56" s="2155"/>
      <c r="Y56" s="2155"/>
      <c r="Z56" s="2155"/>
      <c r="AA56" s="2155"/>
      <c r="AB56" s="2155"/>
      <c r="AC56" s="2155"/>
    </row>
    <row r="57" spans="1:29" ht="26.25" customHeight="1">
      <c r="A57" s="632" t="s">
        <v>561</v>
      </c>
      <c r="B57" s="633" t="s">
        <v>562</v>
      </c>
      <c r="C57" s="1564" t="s">
        <v>1728</v>
      </c>
      <c r="D57" s="2236" t="s">
        <v>2299</v>
      </c>
      <c r="E57" s="634" t="s">
        <v>563</v>
      </c>
      <c r="F57" s="635" t="s">
        <v>564</v>
      </c>
      <c r="G57" s="3384" t="s">
        <v>2287</v>
      </c>
      <c r="H57" s="3385"/>
      <c r="I57" s="1559" t="s">
        <v>1726</v>
      </c>
      <c r="J57" s="1559">
        <f>项目基本情况!F41</f>
        <v>0</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9" customFormat="1" ht="12.75">
      <c r="A58" s="636" t="s">
        <v>565</v>
      </c>
      <c r="B58" s="637" t="e">
        <f>C50</f>
        <v>#DIV/0!</v>
      </c>
      <c r="C58" s="638">
        <v>1</v>
      </c>
      <c r="D58" s="2237">
        <v>1</v>
      </c>
      <c r="E58" s="638">
        <f>'数据-汇总表'!E8+'数据-汇总表'!E9</f>
        <v>41016</v>
      </c>
      <c r="F58" s="639" t="e">
        <f t="shared" ref="F58:F67" si="15">ROUND(B58*E58/10000,0)</f>
        <v>#DIV/0!</v>
      </c>
      <c r="G58" s="3386"/>
      <c r="H58" s="3387"/>
      <c r="I58" s="1560">
        <v>1</v>
      </c>
      <c r="J58" s="1560">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566</v>
      </c>
      <c r="B59" s="641" t="e">
        <f>ROUND($C$50*C59*D59,0)</f>
        <v>#DIV/0!</v>
      </c>
      <c r="C59" s="381">
        <f t="shared" ref="C59:C67" si="16">IF($C$57="北京市系数",I59,J59)</f>
        <v>0</v>
      </c>
      <c r="D59" s="2238">
        <v>0.25</v>
      </c>
      <c r="E59" s="642">
        <v>0</v>
      </c>
      <c r="F59" s="639" t="e">
        <f t="shared" si="15"/>
        <v>#DIV/0!</v>
      </c>
      <c r="G59" s="3388" t="s">
        <v>2288</v>
      </c>
      <c r="H59" s="1953">
        <f>项目基本情况!B43</f>
        <v>0</v>
      </c>
      <c r="I59" s="1560">
        <f>SUMIF(修正!$A$45:$A$56,H59,修正!B45:B56)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567</v>
      </c>
      <c r="B60" s="641" t="e">
        <f t="shared" ref="B60:B67" si="17">ROUND($C$50*C60*D60,0)</f>
        <v>#DIV/0!</v>
      </c>
      <c r="C60" s="381">
        <f t="shared" si="16"/>
        <v>0</v>
      </c>
      <c r="D60" s="2238">
        <v>0.25</v>
      </c>
      <c r="E60" s="642">
        <v>0</v>
      </c>
      <c r="F60" s="639" t="e">
        <f t="shared" si="15"/>
        <v>#DIV/0!</v>
      </c>
      <c r="G60" s="3388"/>
      <c r="H60" s="1953">
        <f>项目基本情况!B43</f>
        <v>0</v>
      </c>
      <c r="I60" s="1560">
        <f>SUMIF(修正!$A$45:$A$56,H60,修正!C45:C56)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568</v>
      </c>
      <c r="B61" s="641" t="e">
        <f t="shared" si="17"/>
        <v>#DIV/0!</v>
      </c>
      <c r="C61" s="381">
        <f t="shared" si="16"/>
        <v>0</v>
      </c>
      <c r="D61" s="2238">
        <v>0.25</v>
      </c>
      <c r="E61" s="642">
        <v>0</v>
      </c>
      <c r="F61" s="639" t="e">
        <f t="shared" si="15"/>
        <v>#DIV/0!</v>
      </c>
      <c r="G61" s="3388"/>
      <c r="H61" s="1953">
        <f>项目基本情况!B43</f>
        <v>0</v>
      </c>
      <c r="I61" s="1560">
        <f>SUMIF(修正!$A$45:$A$56,H61,修正!D45:D56)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2.75">
      <c r="A62" s="640" t="s">
        <v>569</v>
      </c>
      <c r="B62" s="641" t="e">
        <f t="shared" si="17"/>
        <v>#DIV/0!</v>
      </c>
      <c r="C62" s="381">
        <f t="shared" si="16"/>
        <v>0</v>
      </c>
      <c r="D62" s="2238">
        <v>0.25</v>
      </c>
      <c r="E62" s="642">
        <v>0</v>
      </c>
      <c r="F62" s="639" t="e">
        <f t="shared" si="15"/>
        <v>#DIV/0!</v>
      </c>
      <c r="G62" s="3388"/>
      <c r="H62" s="1953">
        <f>项目基本情况!B43</f>
        <v>0</v>
      </c>
      <c r="I62" s="1560">
        <f>SUMIF(修正!$A$45:$A$56,H62,修正!E45:E56)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2.75">
      <c r="A63" s="2340" t="s">
        <v>2333</v>
      </c>
      <c r="B63" s="641" t="e">
        <f t="shared" si="17"/>
        <v>#DIV/0!</v>
      </c>
      <c r="C63" s="381">
        <f t="shared" si="16"/>
        <v>0</v>
      </c>
      <c r="D63" s="2238">
        <v>0.25</v>
      </c>
      <c r="E63" s="644">
        <f>'数据-汇总表'!E11</f>
        <v>0</v>
      </c>
      <c r="F63" s="639" t="e">
        <f t="shared" si="15"/>
        <v>#DIV/0!</v>
      </c>
      <c r="G63" s="1950" t="s">
        <v>2289</v>
      </c>
      <c r="H63" s="1953">
        <f>项目基本情况!C43</f>
        <v>0</v>
      </c>
      <c r="I63" s="1560">
        <f>SUMIF(修正!$A$45:$A$56,H63,修正!F45:F56)</f>
        <v>0</v>
      </c>
      <c r="J63" s="1562"/>
      <c r="K63" s="2164"/>
      <c r="L63" s="2164"/>
      <c r="M63" s="2164"/>
      <c r="N63" s="2164"/>
      <c r="O63" s="2164"/>
      <c r="P63" s="2164"/>
      <c r="Q63" s="2164"/>
      <c r="R63" s="2164"/>
      <c r="S63" s="2164"/>
      <c r="T63" s="2164"/>
      <c r="U63" s="2164"/>
      <c r="V63" s="2164"/>
      <c r="W63" s="2164"/>
      <c r="X63" s="2164"/>
      <c r="Y63" s="2164"/>
      <c r="Z63" s="2164"/>
      <c r="AA63" s="2164"/>
      <c r="AB63" s="2164"/>
      <c r="AC63" s="2164"/>
    </row>
    <row r="64" spans="1:29" s="1349" customFormat="1" ht="12.75">
      <c r="A64" s="640" t="s">
        <v>570</v>
      </c>
      <c r="B64" s="641" t="e">
        <f t="shared" si="17"/>
        <v>#DIV/0!</v>
      </c>
      <c r="C64" s="381">
        <f t="shared" si="16"/>
        <v>0</v>
      </c>
      <c r="D64" s="2238">
        <v>0.25</v>
      </c>
      <c r="E64" s="644">
        <f>'数据-汇总表'!E12</f>
        <v>0</v>
      </c>
      <c r="F64" s="639" t="e">
        <f t="shared" si="15"/>
        <v>#DIV/0!</v>
      </c>
      <c r="G64" s="1951" t="s">
        <v>1681</v>
      </c>
      <c r="H64" s="1949">
        <f>IF(G64="商业",项目基本情况!B43,IF(G64="办公",项目基本情况!C43,IF(G64="住宅",项目基本情况!D43,项目基本情况!E43)))</f>
        <v>0</v>
      </c>
      <c r="I64" s="1560">
        <f>SUMIF(修正!$A$45:$A$56,H64,修正!G45:G56)</f>
        <v>0</v>
      </c>
      <c r="J64" s="1562"/>
      <c r="K64" s="2164"/>
      <c r="L64" s="2164"/>
      <c r="M64" s="2164"/>
      <c r="N64" s="2164"/>
      <c r="O64" s="2164"/>
      <c r="P64" s="2164"/>
      <c r="Q64" s="2164"/>
      <c r="R64" s="2164"/>
      <c r="S64" s="2164"/>
      <c r="T64" s="2164"/>
      <c r="U64" s="2164"/>
      <c r="V64" s="2164"/>
      <c r="W64" s="2164"/>
      <c r="X64" s="2164"/>
      <c r="Y64" s="2164"/>
      <c r="Z64" s="2164"/>
      <c r="AA64" s="2164"/>
      <c r="AB64" s="2164"/>
      <c r="AC64" s="2164"/>
    </row>
    <row r="65" spans="1:29" s="1349" customFormat="1" ht="12.75">
      <c r="A65" s="640" t="s">
        <v>571</v>
      </c>
      <c r="B65" s="641" t="e">
        <f t="shared" si="17"/>
        <v>#DIV/0!</v>
      </c>
      <c r="C65" s="381">
        <f t="shared" si="16"/>
        <v>0</v>
      </c>
      <c r="D65" s="2238">
        <v>0.25</v>
      </c>
      <c r="E65" s="644">
        <f>'数据-汇总表'!E13</f>
        <v>0</v>
      </c>
      <c r="F65" s="639" t="e">
        <f t="shared" si="15"/>
        <v>#DIV/0!</v>
      </c>
      <c r="G65" s="1951" t="s">
        <v>926</v>
      </c>
      <c r="H65" s="1949">
        <f>IF(G65="商业",项目基本情况!B43,IF(G65="办公",项目基本情况!C43,IF(G65="住宅",项目基本情况!D43,项目基本情况!E43)))</f>
        <v>0</v>
      </c>
      <c r="I65" s="1560">
        <f>SUMIF(修正!$A$45:$A$56,H65,修正!H45:H56)</f>
        <v>0</v>
      </c>
      <c r="J65" s="1562"/>
      <c r="K65" s="2164"/>
      <c r="L65" s="2164"/>
      <c r="M65" s="2164"/>
      <c r="N65" s="2164"/>
      <c r="O65" s="2164"/>
      <c r="P65" s="2164"/>
      <c r="Q65" s="2164"/>
      <c r="R65" s="2164"/>
      <c r="S65" s="2164"/>
      <c r="T65" s="2164"/>
      <c r="U65" s="2164"/>
      <c r="V65" s="2164"/>
      <c r="W65" s="2164"/>
      <c r="X65" s="2164"/>
      <c r="Y65" s="2164"/>
      <c r="Z65" s="2164"/>
      <c r="AA65" s="2164"/>
      <c r="AB65" s="2164"/>
      <c r="AC65" s="2164"/>
    </row>
    <row r="66" spans="1:29" s="1349" customFormat="1" ht="12.75">
      <c r="A66" s="640" t="s">
        <v>572</v>
      </c>
      <c r="B66" s="641" t="e">
        <f t="shared" si="17"/>
        <v>#DIV/0!</v>
      </c>
      <c r="C66" s="381">
        <f t="shared" si="16"/>
        <v>0</v>
      </c>
      <c r="D66" s="2238">
        <v>0.25</v>
      </c>
      <c r="E66" s="644">
        <f>'数据-汇总表'!E14</f>
        <v>0</v>
      </c>
      <c r="F66" s="639" t="e">
        <f t="shared" si="15"/>
        <v>#DIV/0!</v>
      </c>
      <c r="G66" s="1950" t="s">
        <v>2288</v>
      </c>
      <c r="H66" s="1953">
        <f>项目基本情况!B43</f>
        <v>0</v>
      </c>
      <c r="I66" s="1560">
        <f>SUMIF(修正!$A$45:$A$56,H66,修正!H45:H56)</f>
        <v>0</v>
      </c>
      <c r="J66" s="1562"/>
      <c r="K66" s="2164"/>
      <c r="L66" s="2164"/>
      <c r="M66" s="2164"/>
      <c r="N66" s="2164"/>
      <c r="O66" s="2164"/>
      <c r="P66" s="2164"/>
      <c r="Q66" s="2164"/>
      <c r="R66" s="2164"/>
      <c r="S66" s="2164"/>
      <c r="T66" s="2164"/>
      <c r="U66" s="2164"/>
      <c r="V66" s="2164"/>
      <c r="W66" s="2164"/>
      <c r="X66" s="2164"/>
      <c r="Y66" s="2164"/>
      <c r="Z66" s="2164"/>
      <c r="AA66" s="2164"/>
      <c r="AB66" s="2164"/>
      <c r="AC66" s="2164"/>
    </row>
    <row r="67" spans="1:29" s="1349" customFormat="1" ht="13.5" thickBot="1">
      <c r="A67" s="640" t="s">
        <v>573</v>
      </c>
      <c r="B67" s="641" t="e">
        <f t="shared" si="17"/>
        <v>#DIV/0!</v>
      </c>
      <c r="C67" s="381">
        <f t="shared" si="16"/>
        <v>0</v>
      </c>
      <c r="D67" s="2238">
        <v>0.25</v>
      </c>
      <c r="E67" s="644">
        <f>'数据-汇总表'!E15</f>
        <v>0</v>
      </c>
      <c r="F67" s="639" t="e">
        <f t="shared" si="15"/>
        <v>#DIV/0!</v>
      </c>
      <c r="G67" s="1952" t="s">
        <v>2289</v>
      </c>
      <c r="H67" s="1954">
        <f>项目基本情况!C43</f>
        <v>0</v>
      </c>
      <c r="I67" s="1560">
        <f>SUMIF(修正!$A$45:$A$56,H67,修正!H45:H56)</f>
        <v>0</v>
      </c>
      <c r="J67" s="1562"/>
      <c r="K67" s="2164"/>
      <c r="L67" s="2164"/>
      <c r="M67" s="2164"/>
      <c r="N67" s="2164"/>
      <c r="O67" s="2164"/>
      <c r="P67" s="2164"/>
      <c r="Q67" s="2164"/>
      <c r="R67" s="2164"/>
      <c r="S67" s="2164"/>
      <c r="T67" s="2164"/>
      <c r="U67" s="2164"/>
      <c r="V67" s="2164"/>
      <c r="W67" s="2164"/>
      <c r="X67" s="2164"/>
      <c r="Y67" s="2164"/>
      <c r="Z67" s="2164"/>
      <c r="AA67" s="2164"/>
      <c r="AB67" s="2164"/>
      <c r="AC67" s="2164"/>
    </row>
    <row r="68" spans="1:29" s="1349" customFormat="1" ht="13.5" thickBot="1">
      <c r="A68" s="645" t="s">
        <v>574</v>
      </c>
      <c r="B68" s="646" t="s">
        <v>17</v>
      </c>
      <c r="C68" s="646" t="s">
        <v>18</v>
      </c>
      <c r="D68" s="646" t="s">
        <v>2300</v>
      </c>
      <c r="E68" s="646">
        <f>IF(B48="楼面地价",SUM(E58:E67),'数据-汇总表'!D3)</f>
        <v>41016.61</v>
      </c>
      <c r="F68" s="647" t="e">
        <f>IF(B48="楼面地价",SUM(F58:F67),ROUND(C50*E68/10000,0))</f>
        <v>#DIV/0!</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2017-9-1</v>
      </c>
      <c r="D70" s="2837">
        <f>EDATE(C70,-3)</f>
        <v>42887</v>
      </c>
      <c r="E70" s="2837">
        <f t="shared" ref="E70:N70" si="18">EDATE(D70,-3)</f>
        <v>42795</v>
      </c>
      <c r="F70" s="2837">
        <f t="shared" si="18"/>
        <v>42705</v>
      </c>
      <c r="G70" s="2837">
        <f t="shared" si="18"/>
        <v>42614</v>
      </c>
      <c r="H70" s="2837">
        <f t="shared" si="18"/>
        <v>42522</v>
      </c>
      <c r="I70" s="2837">
        <f t="shared" si="18"/>
        <v>42430</v>
      </c>
      <c r="J70" s="2837">
        <f t="shared" si="18"/>
        <v>42339</v>
      </c>
      <c r="K70" s="2837">
        <f t="shared" si="18"/>
        <v>42248</v>
      </c>
      <c r="L70" s="2837">
        <f t="shared" si="18"/>
        <v>42156</v>
      </c>
      <c r="M70" s="2837">
        <f t="shared" si="18"/>
        <v>42064</v>
      </c>
      <c r="N70" s="2837">
        <f t="shared" si="18"/>
        <v>41974</v>
      </c>
      <c r="O70" s="2154"/>
      <c r="P70" s="2154"/>
      <c r="Q70" s="2154"/>
      <c r="R70" s="2154"/>
      <c r="S70" s="2154"/>
      <c r="T70" s="2154"/>
      <c r="U70" s="2154"/>
      <c r="V70" s="2154"/>
      <c r="W70" s="2154"/>
      <c r="X70" s="2154"/>
      <c r="Y70" s="2154"/>
      <c r="Z70" s="2154"/>
      <c r="AA70" s="2154"/>
      <c r="AB70" s="2154"/>
      <c r="AC70" s="2154"/>
    </row>
    <row r="71" spans="1:29" ht="21.75" thickBot="1">
      <c r="A71" s="1588" t="s">
        <v>575</v>
      </c>
      <c r="B71" s="1563"/>
      <c r="C71" s="1587"/>
      <c r="D71" s="1587"/>
      <c r="E71" s="1587"/>
      <c r="F71" s="1589"/>
      <c r="G71" s="1589"/>
      <c r="H71" s="1587"/>
      <c r="I71" s="1587"/>
      <c r="J71" s="1587"/>
      <c r="K71" s="1590"/>
      <c r="L71" s="1586"/>
      <c r="M71" s="1587"/>
      <c r="N71" s="1587"/>
      <c r="O71" s="2166"/>
      <c r="P71" s="2166"/>
      <c r="Q71" s="2167"/>
      <c r="R71" s="2154"/>
      <c r="S71" s="2154"/>
      <c r="T71" s="2154"/>
      <c r="U71" s="2154"/>
      <c r="V71" s="2154"/>
      <c r="W71" s="2154"/>
      <c r="X71" s="2154"/>
      <c r="Y71" s="2154"/>
      <c r="Z71" s="2154"/>
      <c r="AA71" s="2154"/>
      <c r="AB71" s="2154"/>
      <c r="AC71" s="2154"/>
    </row>
    <row r="72" spans="1:29" s="1350" customFormat="1" ht="15">
      <c r="A72" s="2602" t="s">
        <v>2540</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3" customFormat="1" ht="27" customHeight="1">
      <c r="A73" s="2844" t="s">
        <v>2658</v>
      </c>
      <c r="B73" s="482" t="str">
        <f>"北京市平均增长率"&amp;TEXT(SUMIF(基准地价!N21:N25,A73,基准地价!P21:P25),"0.00%")</f>
        <v>北京市平均增长率2.46%</v>
      </c>
      <c r="C73" s="897">
        <v>100</v>
      </c>
      <c r="D73" s="733"/>
      <c r="E73" s="733"/>
      <c r="F73" s="733"/>
      <c r="G73" s="733"/>
      <c r="H73" s="733"/>
      <c r="I73" s="733"/>
      <c r="J73" s="733"/>
      <c r="K73" s="733"/>
      <c r="L73" s="733"/>
      <c r="M73" s="2830"/>
      <c r="N73" s="2831"/>
      <c r="O73" s="2171"/>
      <c r="P73" s="2167"/>
      <c r="Q73" s="1998"/>
      <c r="R73" s="1998"/>
      <c r="S73" s="1998"/>
      <c r="T73" s="1998"/>
      <c r="U73" s="1998"/>
      <c r="V73" s="1998"/>
      <c r="W73" s="1998"/>
      <c r="X73" s="1998"/>
      <c r="Y73" s="1998"/>
      <c r="Z73" s="1998"/>
      <c r="AA73" s="1998"/>
      <c r="AB73" s="1998"/>
      <c r="AC73" s="1998"/>
    </row>
    <row r="74" spans="1:29" s="1223" customFormat="1" ht="15" customHeight="1" thickBot="1">
      <c r="A74" s="2834" t="s">
        <v>2657</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601"/>
      <c r="D77" s="60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c r="D78" s="674"/>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c r="D82" s="544"/>
      <c r="E82" s="544"/>
      <c r="F82" s="544"/>
      <c r="G82" s="544"/>
      <c r="H82" s="544"/>
      <c r="I82" s="544"/>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5"/>
      <c r="O83" s="2175"/>
      <c r="P83" s="2174"/>
      <c r="Q83" s="2167"/>
      <c r="R83" s="2154"/>
      <c r="S83" s="2154"/>
      <c r="T83" s="2154"/>
      <c r="U83" s="2154"/>
      <c r="V83" s="2154"/>
      <c r="W83" s="2154"/>
      <c r="X83" s="2154"/>
      <c r="Y83" s="2154"/>
      <c r="Z83" s="2154"/>
      <c r="AA83" s="2154"/>
      <c r="AB83" s="2154"/>
      <c r="AC83" s="2154"/>
    </row>
    <row r="84" spans="1:29" s="1342" customFormat="1" ht="15.75" thickTop="1">
      <c r="A84" s="690"/>
      <c r="B84" s="676" t="str">
        <f>B14</f>
        <v>配建</v>
      </c>
      <c r="C84" s="691"/>
      <c r="D84" s="1380"/>
      <c r="E84" s="1381"/>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2" customFormat="1" ht="15.75" thickTop="1">
      <c r="A86" s="690"/>
      <c r="B86" s="676">
        <f>B15</f>
        <v>111</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2"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2" customFormat="1" ht="15.75" thickTop="1">
      <c r="A88" s="690"/>
      <c r="B88" s="684">
        <f>B16</f>
        <v>111</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2"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2" customFormat="1" ht="15.75" thickTop="1">
      <c r="A102" s="690"/>
      <c r="B102" s="1901" t="s">
        <v>2556</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Top="1">
      <c r="A104" s="690"/>
      <c r="B104" s="2631" t="s">
        <v>2558</v>
      </c>
      <c r="C104" s="2632" t="s">
        <v>2559</v>
      </c>
      <c r="D104" s="2632" t="s">
        <v>2560</v>
      </c>
      <c r="E104" s="2632" t="s">
        <v>2561</v>
      </c>
      <c r="F104" s="2632" t="s">
        <v>2562</v>
      </c>
      <c r="G104" s="2632" t="s">
        <v>2563</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691"/>
      <c r="D108" s="691"/>
      <c r="E108" s="691"/>
      <c r="F108" s="691"/>
      <c r="G108" s="691"/>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111</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111</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2" customFormat="1" ht="15" thickTop="1">
      <c r="A116" s="731"/>
      <c r="B116" s="732">
        <f>B39</f>
        <v>111</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2"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29" t="str">
        <f t="shared" si="25"/>
        <v>(含)-</v>
      </c>
      <c r="K118" s="3129" t="str">
        <f t="shared" si="25"/>
        <v>(含)-</v>
      </c>
      <c r="L118" s="3130" t="str">
        <f t="shared" si="25"/>
        <v>(含)-</v>
      </c>
      <c r="M118" s="3131"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c r="D119" s="733"/>
      <c r="E119" s="733"/>
      <c r="F119" s="733"/>
      <c r="G119" s="733"/>
      <c r="H119" s="733"/>
      <c r="I119" s="733"/>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c r="D120" s="729"/>
      <c r="E120" s="729"/>
      <c r="F120" s="729"/>
      <c r="G120" s="729"/>
      <c r="H120" s="729"/>
      <c r="I120" s="729"/>
      <c r="J120" s="729"/>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721"/>
      <c r="D121" s="721"/>
      <c r="E121" s="721"/>
      <c r="F121" s="721"/>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s="691"/>
      <c r="D123" s="691"/>
      <c r="E123" s="691"/>
      <c r="F123" s="721"/>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5"/>
      <c r="O124" s="2175"/>
      <c r="P124" s="2174"/>
      <c r="Q124" s="2167"/>
      <c r="R124" s="2154"/>
      <c r="S124" s="2154"/>
      <c r="T124" s="2154"/>
      <c r="U124" s="2154"/>
      <c r="V124" s="2154"/>
      <c r="W124" s="2154"/>
      <c r="X124" s="2154"/>
      <c r="Y124" s="2154"/>
      <c r="Z124" s="2154"/>
      <c r="AA124" s="2154"/>
      <c r="AB124" s="2154"/>
      <c r="AC124" s="2154"/>
    </row>
    <row r="125" spans="1:29" s="1342" customFormat="1" ht="15" thickTop="1">
      <c r="A125" s="731"/>
      <c r="B125" s="1901" t="s">
        <v>2431</v>
      </c>
      <c r="C125" s="1380"/>
      <c r="D125" s="1380"/>
      <c r="E125" s="1380"/>
      <c r="F125" s="1380"/>
      <c r="G125" s="1380"/>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691"/>
      <c r="D127" s="691"/>
      <c r="E127" s="721"/>
      <c r="F127" s="721"/>
      <c r="G127" s="721"/>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111</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111</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2" customFormat="1" ht="15" thickTop="1">
      <c r="A133" s="731"/>
      <c r="B133" s="676">
        <f>B47</f>
        <v>111</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2"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1"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1"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1"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1"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1"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1"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1"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1"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1"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1"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1"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1"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1"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1"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1"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1"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1"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1"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1"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1"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1"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1"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1"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1"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1"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1"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1"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1"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1"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1"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1"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1"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1"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1"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1"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1"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1"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1"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1"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1"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1"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1"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1"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1"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1"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1"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1"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1"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1"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1"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1"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1"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1"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1"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1"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1"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1"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1"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1"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1"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1"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1"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1"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1"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1"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1"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1"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1"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1"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1"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1"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1"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1"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1"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1"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1"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1"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1"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1"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1"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1"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1"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1"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1"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1"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1"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1"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1"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1"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1"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1"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1"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1"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1"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1"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1"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1"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1"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1"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1"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1"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1"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1"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1"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1"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1"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1"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1"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1"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1"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1"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1"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1"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1"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1"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1"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1"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1"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1"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1"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1"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6" priority="14" stopIfTrue="1" operator="containsText" text="超过">
      <formula>NOT(ISERROR(SEARCH("超过",F53)))</formula>
    </cfRule>
  </conditionalFormatting>
  <conditionalFormatting sqref="J55">
    <cfRule type="containsText" dxfId="125" priority="13" stopIfTrue="1" operator="containsText" text="超过">
      <formula>NOT(ISERROR(SEARCH("超过",J55)))</formula>
    </cfRule>
  </conditionalFormatting>
  <conditionalFormatting sqref="H55">
    <cfRule type="containsText" dxfId="124" priority="12" stopIfTrue="1" operator="containsText" text="超过">
      <formula>NOT(ISERROR(SEARCH("超过",H55)))</formula>
    </cfRule>
  </conditionalFormatting>
  <conditionalFormatting sqref="F55">
    <cfRule type="containsText" dxfId="123" priority="11" stopIfTrue="1" operator="containsText" text="超过">
      <formula>NOT(ISERROR(SEARCH("超过",F55)))</formula>
    </cfRule>
  </conditionalFormatting>
  <conditionalFormatting sqref="F54 H54 J54">
    <cfRule type="containsText" dxfId="122" priority="10" stopIfTrue="1" operator="containsText" text="超过">
      <formula>NOT(ISERROR(SEARCH("超过",F54)))</formula>
    </cfRule>
  </conditionalFormatting>
  <conditionalFormatting sqref="E53">
    <cfRule type="expression" dxfId="121" priority="9" stopIfTrue="1">
      <formula>$F$53="超过30%"</formula>
    </cfRule>
  </conditionalFormatting>
  <conditionalFormatting sqref="G55">
    <cfRule type="expression" dxfId="120" priority="8" stopIfTrue="1">
      <formula>$H$55="超过30%"</formula>
    </cfRule>
  </conditionalFormatting>
  <conditionalFormatting sqref="E54">
    <cfRule type="expression" dxfId="119" priority="7" stopIfTrue="1">
      <formula>$F$54="超过20%"</formula>
    </cfRule>
  </conditionalFormatting>
  <conditionalFormatting sqref="E55">
    <cfRule type="expression" dxfId="118" priority="6" stopIfTrue="1">
      <formula>$F$55="超过30%"</formula>
    </cfRule>
  </conditionalFormatting>
  <conditionalFormatting sqref="G53">
    <cfRule type="expression" dxfId="117" priority="5" stopIfTrue="1">
      <formula>$H$55+$H$53="超过30%"</formula>
    </cfRule>
  </conditionalFormatting>
  <conditionalFormatting sqref="G54">
    <cfRule type="expression" dxfId="116" priority="4" stopIfTrue="1">
      <formula>$H$54="超过20%"</formula>
    </cfRule>
  </conditionalFormatting>
  <conditionalFormatting sqref="I53">
    <cfRule type="expression" dxfId="115" priority="3" stopIfTrue="1">
      <formula>$J$53="超过30%"</formula>
    </cfRule>
  </conditionalFormatting>
  <conditionalFormatting sqref="I54">
    <cfRule type="expression" dxfId="114" priority="2" stopIfTrue="1">
      <formula>$J$54="超过20%"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90" zoomScaleNormal="90" workbookViewId="0">
      <selection activeCell="C34" sqref="C34"/>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985</v>
      </c>
      <c r="D1" s="2055"/>
      <c r="E1" s="2421" t="s">
        <v>2380</v>
      </c>
      <c r="F1" s="2422">
        <f ca="1">J53</f>
        <v>48.8</v>
      </c>
      <c r="G1" s="777">
        <f>MATCH(C1,'数据-取费表'!A6:A16,0)+5</f>
        <v>6</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32802</v>
      </c>
      <c r="C2" s="2063"/>
      <c r="D2" s="2061"/>
      <c r="E2" s="2062"/>
      <c r="F2" s="2062"/>
      <c r="G2" s="1594"/>
      <c r="H2" s="2063"/>
      <c r="I2" s="2063"/>
      <c r="J2" s="2063"/>
      <c r="K2" s="2064"/>
      <c r="L2" s="2063"/>
      <c r="M2" s="2063"/>
    </row>
    <row r="3" spans="1:33" ht="18" customHeight="1" thickBot="1">
      <c r="A3" s="836" t="s">
        <v>1731</v>
      </c>
      <c r="B3" s="837">
        <f ca="1">IF(ISERROR(B2*10000/F43),0,ROUND(B2*10000/F43,0))</f>
        <v>7997</v>
      </c>
      <c r="C3" s="2063"/>
      <c r="D3" s="2061"/>
      <c r="E3" s="2062"/>
      <c r="F3" s="2062"/>
      <c r="G3" s="1594"/>
      <c r="H3" s="779" t="s">
        <v>697</v>
      </c>
      <c r="I3" s="1367"/>
      <c r="J3" s="1367"/>
      <c r="K3" s="1595"/>
      <c r="L3" s="1367"/>
      <c r="M3" s="1367"/>
    </row>
    <row r="4" spans="1:33" ht="18" customHeight="1">
      <c r="A4" s="780" t="s">
        <v>1732</v>
      </c>
      <c r="B4" s="781" t="s">
        <v>1733</v>
      </c>
      <c r="C4" s="781" t="s">
        <v>1734</v>
      </c>
      <c r="D4" s="781" t="s">
        <v>634</v>
      </c>
      <c r="E4" s="782" t="s">
        <v>1735</v>
      </c>
      <c r="F4" s="783"/>
      <c r="G4" s="1596"/>
      <c r="H4" s="780" t="s">
        <v>1736</v>
      </c>
      <c r="I4" s="781" t="s">
        <v>1737</v>
      </c>
      <c r="J4" s="781" t="s">
        <v>1738</v>
      </c>
      <c r="K4" s="781" t="s">
        <v>1739</v>
      </c>
      <c r="L4" s="782" t="s">
        <v>1740</v>
      </c>
      <c r="M4" s="783"/>
    </row>
    <row r="5" spans="1:33" ht="18" customHeight="1">
      <c r="A5" s="784">
        <v>1</v>
      </c>
      <c r="B5" s="785" t="s">
        <v>2465</v>
      </c>
      <c r="C5" s="55">
        <f ca="1">C6+C10+C12</f>
        <v>1754</v>
      </c>
      <c r="D5" s="2530" t="s">
        <v>2468</v>
      </c>
      <c r="E5" s="2524"/>
      <c r="F5" s="2525"/>
      <c r="G5" s="1596"/>
      <c r="H5" s="784">
        <v>1</v>
      </c>
      <c r="I5" s="785" t="s">
        <v>2465</v>
      </c>
      <c r="J5" s="55">
        <f ca="1">J6+J10+J12</f>
        <v>0</v>
      </c>
      <c r="K5" s="2530" t="s">
        <v>2468</v>
      </c>
      <c r="L5" s="2524"/>
      <c r="M5" s="2525"/>
    </row>
    <row r="6" spans="1:33" ht="18" customHeight="1">
      <c r="A6" s="1835" t="s">
        <v>1829</v>
      </c>
      <c r="B6" s="3398" t="s">
        <v>2470</v>
      </c>
      <c r="C6" s="786">
        <f ca="1">ROUND(F6*F8*F7*(1-F9)/10000,0)</f>
        <v>1752</v>
      </c>
      <c r="D6" s="2531" t="s">
        <v>2469</v>
      </c>
      <c r="E6" s="787" t="s">
        <v>1742</v>
      </c>
      <c r="F6" s="788">
        <f ca="1">INDIRECT("'数据-取费表'!u"&amp;$G$1)</f>
        <v>1.3</v>
      </c>
      <c r="G6" s="1596"/>
      <c r="H6" s="2538" t="s">
        <v>2476</v>
      </c>
      <c r="I6" s="3398" t="s">
        <v>2470</v>
      </c>
      <c r="J6" s="786">
        <f ca="1">ROUND(M6*M8*M7*(1-M9)/10000,0)</f>
        <v>0</v>
      </c>
      <c r="K6" s="344" t="s">
        <v>1741</v>
      </c>
      <c r="L6" s="787" t="s">
        <v>1742</v>
      </c>
      <c r="M6" s="788">
        <f ca="1">INDIRECT("'数据-取费表'!z"&amp;$G$1)</f>
        <v>0</v>
      </c>
    </row>
    <row r="7" spans="1:33" ht="18" customHeight="1">
      <c r="A7" s="2534"/>
      <c r="B7" s="3399"/>
      <c r="C7" s="791"/>
      <c r="D7" s="792"/>
      <c r="E7" s="787" t="s">
        <v>1743</v>
      </c>
      <c r="F7" s="788">
        <f ca="1">IF(INDIRECT("'数据-取费表'!ah"&amp;$G$1)="",INDIRECT("'数据-取费表'!k"&amp;$G$1),INDIRECT("'数据-取费表'!ah"&amp;$G$1))</f>
        <v>41016</v>
      </c>
      <c r="G7" s="1596"/>
      <c r="H7" s="2523"/>
      <c r="I7" s="3399"/>
      <c r="J7" s="791"/>
      <c r="K7" s="792"/>
      <c r="L7" s="787" t="s">
        <v>1743</v>
      </c>
      <c r="M7" s="788">
        <f ca="1">F7</f>
        <v>41016</v>
      </c>
    </row>
    <row r="8" spans="1:33" ht="18" customHeight="1">
      <c r="A8" s="2527"/>
      <c r="B8" s="3400"/>
      <c r="C8" s="791"/>
      <c r="D8" s="792"/>
      <c r="E8" s="787" t="s">
        <v>1744</v>
      </c>
      <c r="F8" s="788">
        <f ca="1">INDIRECT("'数据-取费表'!ai"&amp;$G$1)</f>
        <v>365</v>
      </c>
      <c r="G8" s="1596"/>
      <c r="H8" s="2523"/>
      <c r="I8" s="3400"/>
      <c r="J8" s="791"/>
      <c r="K8" s="792"/>
      <c r="L8" s="787" t="s">
        <v>1744</v>
      </c>
      <c r="M8" s="788">
        <f ca="1">INDIRECT("'数据-取费表'!ai"&amp;$G$1)</f>
        <v>365</v>
      </c>
    </row>
    <row r="9" spans="1:33" ht="18" customHeight="1">
      <c r="A9" s="789"/>
      <c r="B9" s="3401"/>
      <c r="C9" s="791"/>
      <c r="D9" s="792"/>
      <c r="E9" s="787" t="s">
        <v>1745</v>
      </c>
      <c r="F9" s="797">
        <f ca="1">INDIRECT("'数据-取费表'!w"&amp;$G$1)</f>
        <v>0.1</v>
      </c>
      <c r="G9" s="1596"/>
      <c r="H9" s="2539"/>
      <c r="I9" s="3400"/>
      <c r="J9" s="791"/>
      <c r="K9" s="792"/>
      <c r="L9" s="798" t="s">
        <v>1745</v>
      </c>
      <c r="M9" s="799">
        <f ca="1">INDIRECT("'数据-取费表'!ab"&amp;$G$1)</f>
        <v>0</v>
      </c>
    </row>
    <row r="10" spans="1:33" ht="18" customHeight="1">
      <c r="A10" s="1835" t="s">
        <v>2474</v>
      </c>
      <c r="B10" s="2528" t="s">
        <v>2466</v>
      </c>
      <c r="C10" s="802">
        <f ca="1">ROUND(IF(F10="押一",F6*F8*F7/12*F11,IF(F10="押二",F6*F8*F7/12*2*F11,IF(F10="押三",F6*F8*F7/12*3*F11,C11*F11)))/10000,0)</f>
        <v>2</v>
      </c>
      <c r="D10" s="2535" t="s">
        <v>2473</v>
      </c>
      <c r="E10" s="2532" t="s">
        <v>2471</v>
      </c>
      <c r="F10" s="2655" t="s">
        <v>2988</v>
      </c>
      <c r="G10" s="1596"/>
      <c r="H10" s="2595" t="s">
        <v>2477</v>
      </c>
      <c r="I10" s="2600" t="s">
        <v>2466</v>
      </c>
      <c r="J10" s="786">
        <f ca="1">ROUND(IF(M10="押一",M6*M8*M7/12*M11,IF(M10="押二",M6*M8*M7/12*2*M11,IF(M10="押三",M6*M8*M7/12*3*M11,J11*M11)))/10000,0)</f>
        <v>0</v>
      </c>
      <c r="K10" s="2535" t="s">
        <v>2473</v>
      </c>
      <c r="L10" s="2532" t="s">
        <v>2471</v>
      </c>
      <c r="M10" s="2655"/>
    </row>
    <row r="11" spans="1:33" ht="18" customHeight="1">
      <c r="A11" s="793"/>
      <c r="B11" s="2529" t="s">
        <v>2581</v>
      </c>
      <c r="C11" s="2533"/>
      <c r="D11" s="792"/>
      <c r="E11" s="2532" t="s">
        <v>2472</v>
      </c>
      <c r="F11" s="799">
        <f ca="1">'数据-取费表'!B39</f>
        <v>1.4999999999999999E-2</v>
      </c>
      <c r="G11" s="1596"/>
      <c r="H11" s="2596"/>
      <c r="I11" s="2529" t="s">
        <v>2581</v>
      </c>
      <c r="J11" s="2533"/>
      <c r="K11" s="2597"/>
      <c r="L11" s="2532" t="s">
        <v>2472</v>
      </c>
      <c r="M11" s="2526">
        <f ca="1">'数据-取费表'!B39</f>
        <v>1.4999999999999999E-2</v>
      </c>
    </row>
    <row r="12" spans="1:33" ht="18" customHeight="1" thickBot="1">
      <c r="A12" s="2571" t="s">
        <v>2475</v>
      </c>
      <c r="B12" s="2572" t="s">
        <v>2467</v>
      </c>
      <c r="C12" s="2573"/>
      <c r="D12" s="2574"/>
      <c r="E12" s="2575"/>
      <c r="F12" s="2576"/>
      <c r="G12" s="1596"/>
      <c r="H12" s="2585" t="s">
        <v>2478</v>
      </c>
      <c r="I12" s="2598" t="s">
        <v>2467</v>
      </c>
      <c r="J12" s="2599"/>
      <c r="K12" s="2574"/>
      <c r="L12" s="2575"/>
      <c r="M12" s="2588"/>
    </row>
    <row r="13" spans="1:33" ht="18" customHeight="1" thickTop="1">
      <c r="A13" s="1834">
        <v>2</v>
      </c>
      <c r="B13" s="1832" t="s">
        <v>1746</v>
      </c>
      <c r="C13" s="795">
        <f ca="1">ROUND(C29*F13,0)</f>
        <v>12976</v>
      </c>
      <c r="D13" s="1839" t="s">
        <v>2303</v>
      </c>
      <c r="E13" s="1839" t="s">
        <v>1748</v>
      </c>
      <c r="F13" s="2570">
        <f ca="1">INDIRECT("'数据-取费表'!y"&amp;$G$1)</f>
        <v>1</v>
      </c>
      <c r="G13" s="1596"/>
      <c r="H13" s="1834">
        <v>2</v>
      </c>
      <c r="I13" s="1832" t="s">
        <v>1746</v>
      </c>
      <c r="J13" s="1824">
        <f ca="1">ROUND(J14*J15,0)</f>
        <v>0</v>
      </c>
      <c r="K13" s="1826" t="s">
        <v>1747</v>
      </c>
      <c r="L13" s="2586"/>
      <c r="M13" s="2587"/>
    </row>
    <row r="14" spans="1:33" ht="18" customHeight="1">
      <c r="A14" s="1652" t="s">
        <v>1889</v>
      </c>
      <c r="B14" s="787" t="s">
        <v>646</v>
      </c>
      <c r="C14" s="807">
        <f ca="1">INDIRECT("'数据-取费表'!m"&amp;$G$1)+INDIRECT("'数据-取费表'!t"&amp;$G$1)</f>
        <v>9024</v>
      </c>
      <c r="D14" s="1984" t="s">
        <v>1749</v>
      </c>
      <c r="E14" s="1985"/>
      <c r="F14" s="808"/>
      <c r="G14" s="1596"/>
      <c r="H14" s="1653" t="s">
        <v>1835</v>
      </c>
      <c r="I14" s="2240" t="s">
        <v>2836</v>
      </c>
      <c r="J14" s="53">
        <f ca="1">C29</f>
        <v>12976</v>
      </c>
      <c r="K14" s="26"/>
      <c r="L14" s="804"/>
      <c r="M14" s="805"/>
    </row>
    <row r="15" spans="1:33" s="2070" customFormat="1" ht="18" customHeight="1" thickBot="1">
      <c r="A15" s="1652" t="s">
        <v>1890</v>
      </c>
      <c r="B15" s="787" t="s">
        <v>648</v>
      </c>
      <c r="C15" s="53">
        <f ca="1">ROUND(C14*F15,0)</f>
        <v>271</v>
      </c>
      <c r="D15" s="809" t="s">
        <v>1750</v>
      </c>
      <c r="E15" s="809" t="s">
        <v>1751</v>
      </c>
      <c r="F15" s="810">
        <f>'数据-取费表'!B33</f>
        <v>0.03</v>
      </c>
      <c r="G15" s="1597"/>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1891</v>
      </c>
      <c r="B16" s="787" t="s">
        <v>651</v>
      </c>
      <c r="C16" s="53">
        <f ca="1">ROUND(INDIRECT("'数据-取费表'!m"&amp;$G$1)*F16,0)</f>
        <v>0</v>
      </c>
      <c r="D16" s="787" t="s">
        <v>1750</v>
      </c>
      <c r="E16" s="787" t="s">
        <v>1751</v>
      </c>
      <c r="F16" s="812">
        <f ca="1">IF(INDIRECT("'数据-取费表'!c"&amp;$G$1)="住宅",'数据-取费表'!B34,0)</f>
        <v>0</v>
      </c>
      <c r="G16" s="1596"/>
      <c r="H16" s="1834" t="s">
        <v>1752</v>
      </c>
      <c r="I16" s="1832" t="s">
        <v>1753</v>
      </c>
      <c r="J16" s="795">
        <f ca="1">ROUND(J17+J22+J23+J24,0)</f>
        <v>310</v>
      </c>
      <c r="K16" s="1826" t="s">
        <v>1754</v>
      </c>
      <c r="L16" s="2520"/>
      <c r="M16" s="2525"/>
    </row>
    <row r="17" spans="1:33" s="2070" customFormat="1" ht="18" customHeight="1">
      <c r="A17" s="1652" t="s">
        <v>1892</v>
      </c>
      <c r="B17" s="787" t="s">
        <v>654</v>
      </c>
      <c r="C17" s="53">
        <f ca="1">ROUND(F17*(F43+INDIRECT("'数据-取费表'!S"&amp;$G$1))/10000,0)</f>
        <v>820</v>
      </c>
      <c r="D17" s="787" t="s">
        <v>1755</v>
      </c>
      <c r="E17" s="787" t="s">
        <v>1756</v>
      </c>
      <c r="F17" s="56">
        <f>'数据-取费表'!B35</f>
        <v>200</v>
      </c>
      <c r="G17" s="1597"/>
      <c r="H17" s="1653" t="s">
        <v>1835</v>
      </c>
      <c r="I17" s="787" t="s">
        <v>657</v>
      </c>
      <c r="J17" s="53">
        <f ca="1">ROUND(IF(项目基本情况!B11="自然人",J5*M17,J18+J19+J20),0)</f>
        <v>115</v>
      </c>
      <c r="K17" s="2519" t="s">
        <v>1757</v>
      </c>
      <c r="L17" s="2518" t="s">
        <v>1758</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1893</v>
      </c>
      <c r="B18" s="787" t="s">
        <v>660</v>
      </c>
      <c r="C18" s="53">
        <f ca="1">ROUND(C14*F18,0)</f>
        <v>135</v>
      </c>
      <c r="D18" s="787" t="s">
        <v>1750</v>
      </c>
      <c r="E18" s="787" t="s">
        <v>1751</v>
      </c>
      <c r="F18" s="812">
        <f>'数据-取费表'!B36</f>
        <v>1.4999999999999999E-2</v>
      </c>
      <c r="G18" s="1597"/>
      <c r="H18" s="1652" t="s">
        <v>1889</v>
      </c>
      <c r="I18" s="787" t="s">
        <v>1759</v>
      </c>
      <c r="J18" s="53">
        <f ca="1">ROUND(J5*M18/1.05,1)</f>
        <v>0</v>
      </c>
      <c r="K18" s="2518" t="s">
        <v>1760</v>
      </c>
      <c r="L18" s="787" t="s">
        <v>1751</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1835</v>
      </c>
      <c r="B19" s="787" t="s">
        <v>663</v>
      </c>
      <c r="C19" s="53">
        <f ca="1">SUM(C14:C18)</f>
        <v>10250</v>
      </c>
      <c r="D19" s="261" t="s">
        <v>1761</v>
      </c>
      <c r="E19" s="1987"/>
      <c r="F19" s="56"/>
      <c r="G19" s="1596"/>
      <c r="H19" s="1652" t="s">
        <v>1890</v>
      </c>
      <c r="I19" s="787" t="s">
        <v>1762</v>
      </c>
      <c r="J19" s="53">
        <f ca="1">IF(K19="按租金收入计税",ROUND(J5*M19,1),ROUND(C29*F33*0.7,1))</f>
        <v>109</v>
      </c>
      <c r="K19" s="814" t="s">
        <v>666</v>
      </c>
      <c r="L19" s="787" t="s">
        <v>1751</v>
      </c>
      <c r="M19" s="812">
        <f>IF(K19="按租金收入计税",'数据-取费表'!B51,'数据-取费表'!B50)</f>
        <v>1.2E-2</v>
      </c>
    </row>
    <row r="20" spans="1:33" s="2070" customFormat="1" ht="18" customHeight="1">
      <c r="A20" s="1653" t="s">
        <v>1894</v>
      </c>
      <c r="B20" s="787" t="s">
        <v>667</v>
      </c>
      <c r="C20" s="53">
        <f ca="1">ROUND(C19*F20,0)</f>
        <v>205</v>
      </c>
      <c r="D20" s="815" t="s">
        <v>1763</v>
      </c>
      <c r="E20" s="787" t="s">
        <v>1751</v>
      </c>
      <c r="F20" s="812">
        <f>'数据-取费表'!B37</f>
        <v>0.02</v>
      </c>
      <c r="G20" s="1597"/>
      <c r="H20" s="1655" t="s">
        <v>1885</v>
      </c>
      <c r="I20" s="344" t="s">
        <v>1764</v>
      </c>
      <c r="J20" s="54">
        <f ca="1">ROUND(M20*M21/10000,0)</f>
        <v>6</v>
      </c>
      <c r="K20" s="817" t="s">
        <v>1765</v>
      </c>
      <c r="L20" s="787" t="s">
        <v>1766</v>
      </c>
      <c r="M20" s="643">
        <f>'数据-取费表'!B52</f>
        <v>1.5</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1895</v>
      </c>
      <c r="B21" s="787" t="s">
        <v>1767</v>
      </c>
      <c r="C21" s="53" t="s">
        <v>1768</v>
      </c>
      <c r="D21" s="815" t="s">
        <v>2304</v>
      </c>
      <c r="E21" s="787" t="s">
        <v>1769</v>
      </c>
      <c r="F21" s="812">
        <f>'数据-取费表'!B38</f>
        <v>0.02</v>
      </c>
      <c r="G21" s="1597"/>
      <c r="H21" s="2540"/>
      <c r="I21" s="796"/>
      <c r="J21" s="69"/>
      <c r="K21" s="819"/>
      <c r="L21" s="787" t="s">
        <v>1770</v>
      </c>
      <c r="M21" s="788">
        <f ca="1">INDIRECT("'数据-取费表'!r"&amp;$G$1)</f>
        <v>41016.61</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1896</v>
      </c>
      <c r="B22" s="787" t="s">
        <v>1771</v>
      </c>
      <c r="C22" s="53"/>
      <c r="D22" s="2606" t="str">
        <f>IF(F23&lt;=1,"单利计息。","复利计息。")&amp;"建造成本、管理费用、销售费用产生的利息。"</f>
        <v>复利计息。建造成本、管理费用、销售费用产生的利息。</v>
      </c>
      <c r="E22" s="1987"/>
      <c r="F22" s="56"/>
      <c r="G22" s="1596"/>
      <c r="H22" s="1653" t="s">
        <v>1894</v>
      </c>
      <c r="I22" s="787" t="s">
        <v>1772</v>
      </c>
      <c r="J22" s="53">
        <f ca="1">ROUND(J14*M22,0)</f>
        <v>195</v>
      </c>
      <c r="K22" s="2518" t="s">
        <v>1773</v>
      </c>
      <c r="L22" s="787" t="s">
        <v>1751</v>
      </c>
      <c r="M22" s="820">
        <f ca="1">INDIRECT("'数据-取费表'!Ak"&amp;$G$1)</f>
        <v>1.4999999999999999E-2</v>
      </c>
    </row>
    <row r="23" spans="1:33" s="2070" customFormat="1" ht="18" customHeight="1">
      <c r="A23" s="1652" t="s">
        <v>1836</v>
      </c>
      <c r="B23" s="787" t="s">
        <v>2543</v>
      </c>
      <c r="C23" s="53">
        <f ca="1">ROUND(IF('数据-取费表'!B22&lt;=1,(C19+C20)*F24*F23/2,(C19+C20)*(POWER((1+F24),F23/2)-1)),0)</f>
        <v>497</v>
      </c>
      <c r="D23" s="2605" t="str">
        <f>IF(F23&lt;=1,"(建造成本+管理费用)×利率×(建设周期÷2)","(建造成本+管理费用)×((1+利率)^(建设周期÷2)-1)")</f>
        <v>(建造成本+管理费用)×((1+利率)^(建设周期÷2)-1)</v>
      </c>
      <c r="E23" s="787" t="s">
        <v>1774</v>
      </c>
      <c r="F23" s="3465">
        <f>'数据-取费表'!B20</f>
        <v>2</v>
      </c>
      <c r="G23" s="1597"/>
      <c r="H23" s="1653" t="s">
        <v>1895</v>
      </c>
      <c r="I23" s="787" t="s">
        <v>680</v>
      </c>
      <c r="J23" s="53">
        <f ca="1">ROUND(J13*M23,0)</f>
        <v>0</v>
      </c>
      <c r="K23" s="2518" t="s">
        <v>1775</v>
      </c>
      <c r="L23" s="787" t="s">
        <v>1751</v>
      </c>
      <c r="M23" s="821">
        <f ca="1">INDIRECT("'数据-取费表'!Al"&amp;$G$1)</f>
        <v>2E-3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1837</v>
      </c>
      <c r="B24" s="787" t="s">
        <v>1776</v>
      </c>
      <c r="C24" s="53">
        <f ca="1">ROUND(IF('数据-取费表'!B22&lt;=1,F21*F24*F23/2,F21*(POWER((1+F24),F23/2)-1)),4)</f>
        <v>1E-3</v>
      </c>
      <c r="D24" s="2605" t="str">
        <f>IF(F23&lt;=1,"销售费用×利率×(建设周期÷2)","销售费用×((1+利率)^(建设周期÷2)-1)")</f>
        <v>销售费用×((1+利率)^(建设周期÷2)-1)</v>
      </c>
      <c r="E24" s="787" t="s">
        <v>1777</v>
      </c>
      <c r="F24" s="822">
        <f ca="1">'数据-取费表'!B40</f>
        <v>4.7500000000000001E-2</v>
      </c>
      <c r="G24" s="1597"/>
      <c r="H24" s="2585" t="s">
        <v>1896</v>
      </c>
      <c r="I24" s="2580" t="s">
        <v>667</v>
      </c>
      <c r="J24" s="2578">
        <f ca="1">ROUND(J5*M24,0)</f>
        <v>0</v>
      </c>
      <c r="K24" s="2579" t="s">
        <v>1778</v>
      </c>
      <c r="L24" s="2580" t="s">
        <v>1751</v>
      </c>
      <c r="M24" s="2576">
        <f ca="1">INDIRECT("'数据-取费表'!Am"&amp;$G$1)</f>
        <v>1.4999999999999999E-2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1845</v>
      </c>
      <c r="B25" s="787" t="s">
        <v>685</v>
      </c>
      <c r="C25" s="53"/>
      <c r="D25" s="261" t="s">
        <v>1779</v>
      </c>
      <c r="E25" s="1987"/>
      <c r="F25" s="56"/>
      <c r="G25" s="1596"/>
      <c r="H25" s="1834" t="s">
        <v>1780</v>
      </c>
      <c r="I25" s="3048" t="s">
        <v>2832</v>
      </c>
      <c r="J25" s="795">
        <f ca="1">J5-J16</f>
        <v>-310</v>
      </c>
      <c r="K25" s="2582" t="s">
        <v>1781</v>
      </c>
      <c r="L25" s="2583"/>
      <c r="M25" s="2584"/>
    </row>
    <row r="26" spans="1:33" ht="18" customHeight="1">
      <c r="A26" s="1652" t="s">
        <v>1836</v>
      </c>
      <c r="B26" s="787" t="s">
        <v>2444</v>
      </c>
      <c r="C26" s="53">
        <f ca="1">ROUND((C19+C20)*F26,0)</f>
        <v>1046</v>
      </c>
      <c r="D26" s="815" t="s">
        <v>1782</v>
      </c>
      <c r="E26" s="798" t="s">
        <v>1783</v>
      </c>
      <c r="F26" s="797">
        <f ca="1">INDIRECT("'数据-取费表'!q"&amp;$G$1)</f>
        <v>0.1</v>
      </c>
      <c r="G26" s="1596"/>
      <c r="H26" s="2536" t="s">
        <v>1784</v>
      </c>
      <c r="I26" s="2241" t="s">
        <v>2837</v>
      </c>
      <c r="J26" s="786">
        <f ca="1">IF(J5&lt;&gt;0,ROUND(J25*(1-((1+M28)/(1+M26))^M27)/(M26-M28),0),0)</f>
        <v>0</v>
      </c>
      <c r="K26" s="817" t="s">
        <v>1785</v>
      </c>
      <c r="L26" s="787" t="s">
        <v>2425</v>
      </c>
      <c r="M26" s="797">
        <f ca="1">INDIRECT("'数据-取费表'!I"&amp;$G$1)</f>
        <v>0.05</v>
      </c>
    </row>
    <row r="27" spans="1:33" ht="18" customHeight="1">
      <c r="A27" s="1652" t="s">
        <v>1837</v>
      </c>
      <c r="B27" s="787" t="s">
        <v>687</v>
      </c>
      <c r="C27" s="53">
        <f ca="1">ROUND(F21*F26,4)</f>
        <v>2E-3</v>
      </c>
      <c r="D27" s="815" t="s">
        <v>1786</v>
      </c>
      <c r="E27" s="809"/>
      <c r="F27" s="810"/>
      <c r="G27" s="1596"/>
      <c r="H27" s="2537"/>
      <c r="I27" s="790"/>
      <c r="J27" s="791"/>
      <c r="K27" s="824" t="s">
        <v>1787</v>
      </c>
      <c r="L27" s="787" t="s">
        <v>1788</v>
      </c>
      <c r="M27" s="825">
        <f ca="1">INDIRECT("'数据-取费表'!ag"&amp;$G$1)</f>
        <v>0</v>
      </c>
    </row>
    <row r="28" spans="1:33" s="2070" customFormat="1" ht="18" customHeight="1">
      <c r="A28" s="1654" t="s">
        <v>1846</v>
      </c>
      <c r="B28" s="787" t="s">
        <v>688</v>
      </c>
      <c r="C28" s="53">
        <f>ROUND(F28/(1+'数据-取费表'!C42),4)</f>
        <v>5.2400000000000002E-2</v>
      </c>
      <c r="D28" s="815" t="s">
        <v>2305</v>
      </c>
      <c r="E28" s="787" t="s">
        <v>1789</v>
      </c>
      <c r="F28" s="812">
        <f>'数据-取费表'!B41</f>
        <v>5.5000000000000007E-2</v>
      </c>
      <c r="G28" s="1597"/>
      <c r="H28" s="1834"/>
      <c r="I28" s="794"/>
      <c r="J28" s="795"/>
      <c r="K28" s="819"/>
      <c r="L28" s="787" t="s">
        <v>1790</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2306</v>
      </c>
      <c r="C29" s="2578">
        <f ca="1">ROUND((C19+C20+C23+C26)/(1-F21-C24-C27-C28),0)</f>
        <v>12976</v>
      </c>
      <c r="D29" s="2579"/>
      <c r="E29" s="2580"/>
      <c r="F29" s="2581"/>
      <c r="G29" s="1597"/>
      <c r="H29" s="826" t="s">
        <v>1791</v>
      </c>
      <c r="I29" s="827" t="s">
        <v>1792</v>
      </c>
      <c r="J29" s="828">
        <f ca="1">ROUND(J26/(1+F40)^F41,0)</f>
        <v>0</v>
      </c>
      <c r="K29" s="829" t="s">
        <v>1793</v>
      </c>
      <c r="L29" s="830"/>
      <c r="M29" s="831">
        <f ca="1">INDIRECT("'数据-取费表'!k"&amp;$G$1)</f>
        <v>41016</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5">
        <f ca="1">ROUND(C31+C36+C37+C38,0)</f>
        <v>454</v>
      </c>
      <c r="D30" s="1826" t="s">
        <v>1795</v>
      </c>
      <c r="E30" s="2520"/>
      <c r="F30" s="2525"/>
      <c r="G30" s="2068"/>
      <c r="H30" s="2071"/>
      <c r="I30" s="2072"/>
      <c r="J30" s="2073"/>
      <c r="K30" s="2074"/>
      <c r="L30" s="2075"/>
      <c r="M30" s="2076"/>
    </row>
    <row r="31" spans="1:33" ht="18" customHeight="1">
      <c r="A31" s="1653" t="s">
        <v>1835</v>
      </c>
      <c r="B31" s="787" t="s">
        <v>657</v>
      </c>
      <c r="C31" s="53">
        <f ca="1">ROUND(IF(项目基本情况!B11="自然人",C5*F31,C32+C33+C34),1)</f>
        <v>207.1</v>
      </c>
      <c r="D31" s="1984" t="s">
        <v>1796</v>
      </c>
      <c r="E31" s="1982"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2" t="s">
        <v>1836</v>
      </c>
      <c r="B32" s="787" t="s">
        <v>1798</v>
      </c>
      <c r="C32" s="53">
        <f ca="1">ROUND(C5*F32/1.05,1)</f>
        <v>91.9</v>
      </c>
      <c r="D32" s="1982" t="s">
        <v>1799</v>
      </c>
      <c r="E32" s="787" t="s">
        <v>1800</v>
      </c>
      <c r="F32" s="812">
        <f>'数据-取费表'!B41</f>
        <v>5.5000000000000007E-2</v>
      </c>
      <c r="G32" s="2068"/>
      <c r="H32" s="2077"/>
      <c r="I32" s="2078"/>
      <c r="J32" s="2079"/>
      <c r="K32" s="2080"/>
      <c r="L32" s="2081"/>
      <c r="M32" s="2082"/>
    </row>
    <row r="33" spans="1:18" ht="18" customHeight="1">
      <c r="A33" s="1652" t="s">
        <v>1837</v>
      </c>
      <c r="B33" s="787" t="s">
        <v>1801</v>
      </c>
      <c r="C33" s="53">
        <f ca="1">IF(D33="按租金收入计税",ROUND(C5*F33,1),IF(D33="按房产原值计税",ROUND(C29*F33*0.7,1),INDIRECT("'数据-取费表'!Aj"&amp;$G$1)))</f>
        <v>109</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5" t="s">
        <v>1838</v>
      </c>
      <c r="B34" s="344" t="s">
        <v>1802</v>
      </c>
      <c r="C34" s="54">
        <f ca="1">ROUND(F34*F35/10000,1)</f>
        <v>6.2</v>
      </c>
      <c r="D34" s="817" t="s">
        <v>1803</v>
      </c>
      <c r="E34" s="787" t="s">
        <v>1804</v>
      </c>
      <c r="F34" s="643">
        <f>'数据-取费表'!B52</f>
        <v>1.5</v>
      </c>
      <c r="G34" s="2068"/>
      <c r="H34" s="2071"/>
      <c r="I34" s="838" t="s">
        <v>1818</v>
      </c>
      <c r="J34" s="839"/>
      <c r="K34" s="2086"/>
      <c r="L34" s="2085"/>
      <c r="M34" s="2085"/>
    </row>
    <row r="35" spans="1:18" ht="18" customHeight="1">
      <c r="A35" s="818"/>
      <c r="B35" s="796"/>
      <c r="C35" s="69"/>
      <c r="D35" s="819"/>
      <c r="E35" s="787" t="s">
        <v>1805</v>
      </c>
      <c r="F35" s="788">
        <f ca="1">INDIRECT("'数据-取费表'!r"&amp;$G$1)</f>
        <v>41016.61</v>
      </c>
      <c r="G35" s="2068"/>
      <c r="H35" s="2071"/>
      <c r="I35" s="840" t="s">
        <v>1819</v>
      </c>
      <c r="J35" s="841">
        <f ca="1">ROUND(C13*J36,0)</f>
        <v>1038</v>
      </c>
      <c r="K35" s="2084"/>
      <c r="L35" s="2083"/>
      <c r="M35" s="2083"/>
    </row>
    <row r="36" spans="1:18" ht="18" customHeight="1">
      <c r="A36" s="1653" t="s">
        <v>1894</v>
      </c>
      <c r="B36" s="787" t="s">
        <v>1806</v>
      </c>
      <c r="C36" s="53">
        <f ca="1">ROUND(C29*F36,1)</f>
        <v>194.6</v>
      </c>
      <c r="D36" s="1982" t="s">
        <v>1807</v>
      </c>
      <c r="E36" s="787" t="s">
        <v>1800</v>
      </c>
      <c r="F36" s="820">
        <f ca="1">INDIRECT("'数据-取费表'!Ak"&amp;$G$1)</f>
        <v>1.4999999999999999E-2</v>
      </c>
      <c r="G36" s="2068"/>
      <c r="H36" s="2083"/>
      <c r="I36" s="842" t="s">
        <v>1820</v>
      </c>
      <c r="J36" s="843">
        <f ca="1">INDIRECT("'数据-取费表'!j"&amp;$G$1)</f>
        <v>0.08</v>
      </c>
      <c r="K36" s="2088"/>
      <c r="L36" s="2083"/>
      <c r="M36" s="2083"/>
    </row>
    <row r="37" spans="1:18" ht="18" customHeight="1">
      <c r="A37" s="1653" t="s">
        <v>1895</v>
      </c>
      <c r="B37" s="787" t="s">
        <v>680</v>
      </c>
      <c r="C37" s="53">
        <f ca="1">ROUND(C13*F37,1)</f>
        <v>26</v>
      </c>
      <c r="D37" s="1982" t="s">
        <v>1808</v>
      </c>
      <c r="E37" s="787" t="s">
        <v>1800</v>
      </c>
      <c r="F37" s="821">
        <f ca="1">INDIRECT("'数据-取费表'!Al"&amp;$G$1)</f>
        <v>2E-3</v>
      </c>
      <c r="G37" s="2068"/>
      <c r="H37" s="2083"/>
      <c r="I37" s="844" t="s">
        <v>1821</v>
      </c>
      <c r="J37" s="845"/>
      <c r="K37" s="2088"/>
      <c r="L37" s="2083"/>
      <c r="M37" s="2083"/>
    </row>
    <row r="38" spans="1:18" ht="18" customHeight="1" thickBot="1">
      <c r="A38" s="2585" t="s">
        <v>1896</v>
      </c>
      <c r="B38" s="2580" t="s">
        <v>667</v>
      </c>
      <c r="C38" s="2578">
        <f ca="1">ROUND(C5*F38,1)</f>
        <v>26.3</v>
      </c>
      <c r="D38" s="2579" t="s">
        <v>1809</v>
      </c>
      <c r="E38" s="2580" t="s">
        <v>1800</v>
      </c>
      <c r="F38" s="2576">
        <f ca="1">INDIRECT("'数据-取费表'!Am"&amp;$G$1)</f>
        <v>1.4999999999999999E-2</v>
      </c>
      <c r="G38" s="2068"/>
      <c r="H38" s="2083"/>
      <c r="I38" s="846" t="s">
        <v>1822</v>
      </c>
      <c r="J38" s="847"/>
      <c r="K38" s="2089"/>
      <c r="L38" s="2083"/>
      <c r="M38" s="2083"/>
    </row>
    <row r="39" spans="1:18" ht="24.6" customHeight="1" thickTop="1">
      <c r="A39" s="1834" t="s">
        <v>1899</v>
      </c>
      <c r="B39" s="3048" t="s">
        <v>2832</v>
      </c>
      <c r="C39" s="795">
        <f ca="1">C5-C30</f>
        <v>1300</v>
      </c>
      <c r="D39" s="2582" t="s">
        <v>1810</v>
      </c>
      <c r="E39" s="2583"/>
      <c r="F39" s="2584"/>
      <c r="G39" s="2068"/>
      <c r="H39" s="2083"/>
      <c r="I39" s="840" t="s">
        <v>1823</v>
      </c>
      <c r="J39" s="848">
        <f ca="1">ROUND(J35/C39,3)</f>
        <v>0.79800000000000004</v>
      </c>
      <c r="K39" s="2089"/>
      <c r="L39" s="2083"/>
      <c r="M39" s="2083"/>
    </row>
    <row r="40" spans="1:18" ht="18" customHeight="1">
      <c r="A40" s="784" t="s">
        <v>1900</v>
      </c>
      <c r="B40" s="2241" t="s">
        <v>2307</v>
      </c>
      <c r="C40" s="786">
        <f ca="1">ROUND(C39*(1-((1+F42)/(1+F40))^F41)/(F40-F42),0)</f>
        <v>32802</v>
      </c>
      <c r="D40" s="817" t="s">
        <v>1811</v>
      </c>
      <c r="E40" s="787" t="s">
        <v>2425</v>
      </c>
      <c r="F40" s="797">
        <f ca="1">INDIRECT("'数据-取费表'!I"&amp;$G$1)</f>
        <v>0.05</v>
      </c>
      <c r="G40" s="2068"/>
      <c r="H40" s="2068"/>
      <c r="I40" s="840" t="s">
        <v>1824</v>
      </c>
      <c r="J40" s="848">
        <f ca="1">1-J39</f>
        <v>0.20199999999999996</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48.8</v>
      </c>
      <c r="G41" s="2068"/>
      <c r="H41" s="1993"/>
      <c r="I41" s="846" t="s">
        <v>1825</v>
      </c>
      <c r="J41" s="849"/>
      <c r="K41" s="2088"/>
      <c r="L41" s="1993"/>
      <c r="M41" s="1993"/>
    </row>
    <row r="42" spans="1:18" ht="18" customHeight="1">
      <c r="A42" s="793"/>
      <c r="B42" s="794"/>
      <c r="C42" s="795"/>
      <c r="D42" s="819"/>
      <c r="E42" s="787" t="s">
        <v>1814</v>
      </c>
      <c r="F42" s="797">
        <f ca="1">INDIRECT("'数据-取费表'!v"&amp;$G$1)</f>
        <v>0.02</v>
      </c>
      <c r="G42" s="2068"/>
      <c r="H42" s="1993"/>
      <c r="I42" s="850" t="s">
        <v>1826</v>
      </c>
      <c r="J42" s="848">
        <f ca="1">ROUND(C13/C40,3)</f>
        <v>0.39600000000000002</v>
      </c>
      <c r="K42" s="2088"/>
      <c r="L42" s="1993"/>
      <c r="M42" s="1993"/>
    </row>
    <row r="43" spans="1:18" ht="18" customHeight="1" thickBot="1">
      <c r="A43" s="826" t="s">
        <v>1791</v>
      </c>
      <c r="B43" s="827" t="s">
        <v>1815</v>
      </c>
      <c r="C43" s="828">
        <f ca="1">ROUND(C40*10000/F43,0)</f>
        <v>7997</v>
      </c>
      <c r="D43" s="829" t="s">
        <v>1816</v>
      </c>
      <c r="E43" s="830" t="s">
        <v>1817</v>
      </c>
      <c r="F43" s="831">
        <f ca="1">INDIRECT("'数据-取费表'!k"&amp;$G$1)</f>
        <v>41016</v>
      </c>
      <c r="G43" s="2068"/>
      <c r="H43" s="1993"/>
      <c r="I43" s="850" t="s">
        <v>1827</v>
      </c>
      <c r="J43" s="851">
        <f ca="1">1-J42</f>
        <v>0.60399999999999998</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2301</v>
      </c>
      <c r="B46" s="2091"/>
      <c r="C46" s="2608">
        <f ca="1">C67-C40</f>
        <v>-38901</v>
      </c>
      <c r="D46" s="2091"/>
      <c r="E46" s="2091"/>
      <c r="F46" s="2091"/>
      <c r="I46" s="2387" t="s">
        <v>2348</v>
      </c>
      <c r="J46" s="2388"/>
      <c r="K46" s="2389"/>
      <c r="L46" s="2390" t="str">
        <f ca="1">IF(M47="住宅",0,IF(L48&gt;J51,L60,J60))</f>
        <v>0</v>
      </c>
      <c r="O46" s="2428" t="s">
        <v>2416</v>
      </c>
      <c r="P46" s="1596"/>
      <c r="Q46" s="1608"/>
      <c r="R46" s="1596"/>
    </row>
    <row r="47" spans="1:18" s="2065" customFormat="1" ht="18" customHeight="1" thickBot="1">
      <c r="A47" s="2381">
        <v>1</v>
      </c>
      <c r="B47" s="2382" t="s">
        <v>636</v>
      </c>
      <c r="C47" s="2608">
        <f ca="1">C48+C52+C54</f>
        <v>0</v>
      </c>
      <c r="D47" s="2091"/>
      <c r="E47" s="2091"/>
      <c r="F47" s="2091"/>
      <c r="I47" s="2391" t="s">
        <v>2349</v>
      </c>
      <c r="J47" s="2396" t="s">
        <v>2989</v>
      </c>
      <c r="K47" s="2397" t="s">
        <v>2355</v>
      </c>
      <c r="L47" s="2398">
        <f ca="1">INDIRECT("'数据-取费表'!d"&amp;$G$1)</f>
        <v>50</v>
      </c>
      <c r="M47" s="1608" t="str">
        <f>IF(ISNUMBER(FIND("住宅",C1)),"住宅","非住宅")</f>
        <v>非住宅</v>
      </c>
      <c r="O47" s="2429" t="s">
        <v>2381</v>
      </c>
      <c r="P47" s="2430" t="s">
        <v>2382</v>
      </c>
      <c r="Q47" s="2431" t="s">
        <v>2383</v>
      </c>
      <c r="R47" s="2430" t="s">
        <v>2384</v>
      </c>
    </row>
    <row r="48" spans="1:18" s="2065" customFormat="1" ht="18" customHeight="1" thickBot="1">
      <c r="A48" s="2677" t="s">
        <v>2545</v>
      </c>
      <c r="B48" s="2678" t="s">
        <v>2546</v>
      </c>
      <c r="C48" s="2383">
        <f ca="1">ROUND(F48*F50*F49*(1-F51)/10000,0)</f>
        <v>0</v>
      </c>
      <c r="D48" s="2384" t="s">
        <v>637</v>
      </c>
      <c r="E48" s="2385" t="s">
        <v>2302</v>
      </c>
      <c r="F48" s="2386"/>
      <c r="G48" s="2096"/>
      <c r="I48" s="2392" t="s">
        <v>2350</v>
      </c>
      <c r="J48" s="2399" t="s">
        <v>2356</v>
      </c>
      <c r="K48" s="2400" t="s">
        <v>2357</v>
      </c>
      <c r="L48" s="2401">
        <f ca="1">INDIRECT("'数据-取费表'!f"&amp;$G$1)</f>
        <v>48.8</v>
      </c>
      <c r="O48" s="2432" t="s">
        <v>2385</v>
      </c>
      <c r="P48" s="2433" t="s">
        <v>2411</v>
      </c>
      <c r="Q48" s="2434">
        <f ca="1">C40+J29</f>
        <v>32802</v>
      </c>
      <c r="R48" s="2433" t="s">
        <v>2386</v>
      </c>
    </row>
    <row r="49" spans="1:18" s="2065" customFormat="1" ht="18" customHeight="1" thickBot="1">
      <c r="A49" s="789"/>
      <c r="B49" s="790"/>
      <c r="C49" s="791"/>
      <c r="D49" s="792"/>
      <c r="E49" s="787" t="s">
        <v>1743</v>
      </c>
      <c r="F49" s="788">
        <f ca="1">F7</f>
        <v>41016</v>
      </c>
      <c r="G49" s="2096"/>
      <c r="H49" s="2099"/>
      <c r="I49" s="2392" t="s">
        <v>2351</v>
      </c>
      <c r="J49" s="2402"/>
      <c r="K49" s="2403" t="s">
        <v>2358</v>
      </c>
      <c r="L49" s="2404"/>
      <c r="O49" s="2432" t="s">
        <v>2387</v>
      </c>
      <c r="P49" s="2433" t="s">
        <v>2412</v>
      </c>
      <c r="Q49" s="2434" t="str">
        <f ca="1">J60</f>
        <v>0</v>
      </c>
      <c r="R49" s="2433" t="s">
        <v>2388</v>
      </c>
    </row>
    <row r="50" spans="1:18" s="2065" customFormat="1" ht="18" customHeight="1" thickBot="1">
      <c r="A50" s="789"/>
      <c r="B50" s="790"/>
      <c r="C50" s="791"/>
      <c r="D50" s="792"/>
      <c r="E50" s="787" t="s">
        <v>1744</v>
      </c>
      <c r="F50" s="788">
        <f ca="1">F8</f>
        <v>365</v>
      </c>
      <c r="G50" s="2104"/>
      <c r="H50" s="2099"/>
      <c r="I50" s="2392" t="s">
        <v>2352</v>
      </c>
      <c r="J50" s="2405">
        <f>SUMPRODUCT((I63:I65=J47)*(J62:L62=J48)*(J63:L65))</f>
        <v>60</v>
      </c>
      <c r="K50" s="2403" t="s">
        <v>2359</v>
      </c>
      <c r="L50" s="2404"/>
      <c r="O50" s="2435" t="s">
        <v>2389</v>
      </c>
      <c r="P50" s="2433" t="s">
        <v>2413</v>
      </c>
      <c r="Q50" s="2434">
        <f ca="1">C29</f>
        <v>12976</v>
      </c>
      <c r="R50" s="2433" t="s">
        <v>2386</v>
      </c>
    </row>
    <row r="51" spans="1:18" s="2065" customFormat="1" ht="18" customHeight="1" thickBot="1">
      <c r="A51" s="789"/>
      <c r="B51" s="790"/>
      <c r="C51" s="791"/>
      <c r="D51" s="792"/>
      <c r="E51" s="787" t="s">
        <v>641</v>
      </c>
      <c r="F51" s="2380"/>
      <c r="H51" s="2099"/>
      <c r="I51" s="2393" t="s">
        <v>2353</v>
      </c>
      <c r="J51" s="2406">
        <f>IF(J49="",J50,J49+J50-YEAR('数据-取费表'!B2))</f>
        <v>60</v>
      </c>
      <c r="K51" s="2392" t="s">
        <v>2360</v>
      </c>
      <c r="L51" s="2407">
        <f ca="1">ROUND(-PV(INDIRECT("'数据-取费表'!h"&amp;$G$1),L48,(C39-C13*J35),0),0)</f>
        <v>-287034402</v>
      </c>
      <c r="O51" s="2435" t="s">
        <v>2390</v>
      </c>
      <c r="P51" s="2433" t="s">
        <v>2391</v>
      </c>
      <c r="Q51" s="2436" t="e">
        <f ca="1">J58</f>
        <v>#VALUE!</v>
      </c>
      <c r="R51" s="2437"/>
    </row>
    <row r="52" spans="1:18" s="2065" customFormat="1" ht="18" customHeight="1" thickBot="1">
      <c r="A52" s="784" t="s">
        <v>2544</v>
      </c>
      <c r="B52" s="2528" t="s">
        <v>2466</v>
      </c>
      <c r="C52" s="802">
        <f ca="1">ROUND(IF(F52="押一",F48*F50*F49/12*F11,IF(F52="押二",F48*F50*F49/12*2*F11,IF(F52="押三",F48*F50*F49/12*3*F11,C53*F11)))/10000,0)</f>
        <v>0</v>
      </c>
      <c r="D52" s="2535" t="s">
        <v>2473</v>
      </c>
      <c r="E52" s="2532" t="s">
        <v>2471</v>
      </c>
      <c r="F52" s="2655"/>
      <c r="I52" s="2394" t="s">
        <v>2427</v>
      </c>
      <c r="J52" s="2408">
        <v>8.5000000000000006E-2</v>
      </c>
      <c r="K52" s="2394" t="s">
        <v>2426</v>
      </c>
      <c r="L52" s="2408">
        <v>0.09</v>
      </c>
      <c r="O52" s="2435" t="s">
        <v>2392</v>
      </c>
      <c r="P52" s="2433" t="s">
        <v>2393</v>
      </c>
      <c r="Q52" s="2436">
        <f>J52</f>
        <v>8.5000000000000006E-2</v>
      </c>
      <c r="R52" s="2437"/>
    </row>
    <row r="53" spans="1:18" s="2065" customFormat="1" ht="39.75" customHeight="1" thickBot="1">
      <c r="A53" s="789"/>
      <c r="B53" s="2529" t="s">
        <v>2581</v>
      </c>
      <c r="C53" s="2533"/>
      <c r="D53" s="2535"/>
      <c r="E53" s="2532"/>
      <c r="F53" s="803"/>
      <c r="I53" s="2395" t="s">
        <v>2354</v>
      </c>
      <c r="J53" s="2409">
        <f ca="1">IF(M47="住宅",J51,MIN(J51,L48))</f>
        <v>48.8</v>
      </c>
      <c r="K53" s="3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97"/>
      <c r="O53" s="2435" t="s">
        <v>2394</v>
      </c>
      <c r="P53" s="2433" t="s">
        <v>2395</v>
      </c>
      <c r="Q53" s="2434">
        <f ca="1">J53</f>
        <v>48.8</v>
      </c>
      <c r="R53" s="2433" t="s">
        <v>2396</v>
      </c>
    </row>
    <row r="54" spans="1:18" s="2065" customFormat="1" ht="18" customHeight="1" thickBot="1">
      <c r="A54" s="2571" t="s">
        <v>2475</v>
      </c>
      <c r="B54" s="2572" t="s">
        <v>2467</v>
      </c>
      <c r="C54" s="2573"/>
      <c r="D54" s="2535"/>
      <c r="E54" s="2532"/>
      <c r="F54" s="803"/>
      <c r="K54" s="2092"/>
      <c r="O54" s="2432" t="s">
        <v>2397</v>
      </c>
      <c r="P54" s="2433" t="s">
        <v>2414</v>
      </c>
      <c r="Q54" s="2434">
        <f ca="1">Q48+Q49</f>
        <v>32802</v>
      </c>
      <c r="R54" s="2437" t="s">
        <v>2398</v>
      </c>
    </row>
    <row r="55" spans="1:18" s="2065" customFormat="1" ht="18" customHeight="1" thickTop="1" thickBot="1">
      <c r="A55" s="800">
        <v>2</v>
      </c>
      <c r="B55" s="801" t="s">
        <v>645</v>
      </c>
      <c r="C55" s="802">
        <f ca="1">C13</f>
        <v>12976</v>
      </c>
      <c r="D55" s="798"/>
      <c r="E55" s="798"/>
      <c r="F55" s="803"/>
      <c r="I55" s="3139" t="s">
        <v>2361</v>
      </c>
      <c r="J55" s="3138" t="e">
        <f ca="1">ROUND(IF(J47="钢混",J57/J50,1-(1-2%)*(J50-J57)/J50),3)</f>
        <v>#VALUE!</v>
      </c>
      <c r="K55" s="2410" t="s">
        <v>2362</v>
      </c>
      <c r="L55" s="2411"/>
      <c r="O55" s="2438" t="s">
        <v>2417</v>
      </c>
      <c r="P55" s="1596"/>
      <c r="Q55" s="1608"/>
      <c r="R55" s="1596"/>
    </row>
    <row r="56" spans="1:18" s="2065" customFormat="1" ht="42.75" customHeight="1" thickBot="1">
      <c r="A56" s="1654"/>
      <c r="B56" s="2240" t="s">
        <v>2308</v>
      </c>
      <c r="C56" s="53">
        <f ca="1">C29</f>
        <v>12976</v>
      </c>
      <c r="D56" s="2674"/>
      <c r="E56" s="787"/>
      <c r="F56" s="812"/>
      <c r="I56" s="2412" t="s">
        <v>2363</v>
      </c>
      <c r="J56" s="2420" t="s">
        <v>1682</v>
      </c>
      <c r="K56" s="2392" t="s">
        <v>2368</v>
      </c>
      <c r="L56" s="2401" t="str">
        <f ca="1">IF(L48&lt;J51,"——",L48-J51)</f>
        <v>——</v>
      </c>
      <c r="O56" s="2429" t="s">
        <v>2381</v>
      </c>
      <c r="P56" s="2430" t="s">
        <v>2382</v>
      </c>
      <c r="Q56" s="2431" t="s">
        <v>2383</v>
      </c>
      <c r="R56" s="2430" t="s">
        <v>2384</v>
      </c>
    </row>
    <row r="57" spans="1:18" s="2065" customFormat="1" ht="28.5" customHeight="1" thickBot="1">
      <c r="A57" s="800" t="s">
        <v>1752</v>
      </c>
      <c r="B57" s="801" t="s">
        <v>652</v>
      </c>
      <c r="C57" s="802">
        <f ca="1">ROUND(C58+C63+C64+C65,0)</f>
        <v>336</v>
      </c>
      <c r="D57" s="26" t="s">
        <v>1754</v>
      </c>
      <c r="E57" s="2675"/>
      <c r="F57" s="56"/>
      <c r="I57" s="2413" t="s">
        <v>2364</v>
      </c>
      <c r="J57" s="2415" t="str">
        <f ca="1">IF(OR(M47="住宅",J51&lt;L48,J56="是"),"——",J51-L48)</f>
        <v>——</v>
      </c>
      <c r="K57" s="2392" t="s">
        <v>2369</v>
      </c>
      <c r="L57" s="2401" t="str">
        <f ca="1">IF(L48&lt;J51,"——",IF(L55="比较法",L49,IF(L55="基准地价",L50,L51)))</f>
        <v>——</v>
      </c>
      <c r="O57" s="2432" t="s">
        <v>2385</v>
      </c>
      <c r="P57" s="2433" t="s">
        <v>2415</v>
      </c>
      <c r="Q57" s="2434">
        <f ca="1">C40+J29</f>
        <v>32802</v>
      </c>
      <c r="R57" s="2433" t="s">
        <v>2386</v>
      </c>
    </row>
    <row r="58" spans="1:18" s="2065" customFormat="1" ht="28.5" customHeight="1" thickBot="1">
      <c r="A58" s="1653" t="s">
        <v>1829</v>
      </c>
      <c r="B58" s="787" t="s">
        <v>657</v>
      </c>
      <c r="C58" s="53">
        <f ca="1">ROUND(IF(项目基本情况!B11="自然人",C47*F58,C59+C60+C61),1)</f>
        <v>115.2</v>
      </c>
      <c r="D58" s="2673" t="s">
        <v>658</v>
      </c>
      <c r="E58" s="2674" t="s">
        <v>691</v>
      </c>
      <c r="F58" s="813" t="str">
        <f ca="1">IF(项目基本情况!B11="企业","",IF(INDIRECT("'数据-取费表'!c"&amp;$G$1)="住宅",5%,IF(F48*F49*F50/12/(1+'数据-取费表'!C42)&gt;20000,12%,7%)))</f>
        <v/>
      </c>
      <c r="I58" s="2413" t="s">
        <v>2365</v>
      </c>
      <c r="J58" s="3140" t="e">
        <f ca="1">IF(J55&lt;0.4,0.4,J55)</f>
        <v>#VALUE!</v>
      </c>
      <c r="K58" s="2392" t="s">
        <v>2370</v>
      </c>
      <c r="L58" s="2401">
        <f ca="1">IF(ISERROR(POWER(1+L52,L47-L48)*(POWER(1+L52,L48)-1)/(POWER(1+L52,L47)-1)),0,POWER(1+L52,L47-L48)*(POWER(1+L52,L48)-1)/(POWER(1+L52,L47)-1))</f>
        <v>0.99851481386487551</v>
      </c>
      <c r="O58" s="2432" t="s">
        <v>2387</v>
      </c>
      <c r="P58" s="2433" t="s">
        <v>2418</v>
      </c>
      <c r="Q58" s="2434">
        <f ca="1">L60</f>
        <v>0</v>
      </c>
      <c r="R58" s="2437" t="s">
        <v>2420</v>
      </c>
    </row>
    <row r="59" spans="1:18" s="2065" customFormat="1" ht="28.5" customHeight="1" thickBot="1">
      <c r="A59" s="1652" t="s">
        <v>1836</v>
      </c>
      <c r="B59" s="787" t="s">
        <v>661</v>
      </c>
      <c r="C59" s="53">
        <f ca="1">ROUND(C47*F59/1.05,1)</f>
        <v>0</v>
      </c>
      <c r="D59" s="2674" t="s">
        <v>1760</v>
      </c>
      <c r="E59" s="787" t="s">
        <v>1751</v>
      </c>
      <c r="F59" s="812">
        <f t="shared" ref="F59:F65" si="0">F32</f>
        <v>5.5000000000000007E-2</v>
      </c>
      <c r="I59" s="2413" t="s">
        <v>2366</v>
      </c>
      <c r="J59" s="2415" t="str">
        <f ca="1">IF(OR(M47="住宅",J51&lt;L48,J56="是"),"——",ROUND(C29*J58,0))</f>
        <v>——</v>
      </c>
      <c r="K59" s="2392" t="s">
        <v>2371</v>
      </c>
      <c r="L59" s="2401">
        <f ca="1">IF(ISERROR(POWER(1+L52,L47-J51)*(POWER(1+L52,J51)-1)/(POWER(1+L52,L47)-1)),0,POWER(1+L52,L47-J51)*(POWER(1+L52,J51)-1)/(POWER(1+L52,L47)-1))</f>
        <v>1.0078736193986291</v>
      </c>
      <c r="O59" s="2435" t="s">
        <v>2389</v>
      </c>
      <c r="P59" s="2433" t="s">
        <v>2419</v>
      </c>
      <c r="Q59" s="2434">
        <f>IF(L55="比较法",L49,IF(L55="基准地价",L50,0))</f>
        <v>0</v>
      </c>
      <c r="R59" s="2433" t="s">
        <v>2386</v>
      </c>
    </row>
    <row r="60" spans="1:18" s="2065" customFormat="1" ht="18" customHeight="1" thickBot="1">
      <c r="A60" s="1652" t="s">
        <v>1837</v>
      </c>
      <c r="B60" s="787" t="s">
        <v>1762</v>
      </c>
      <c r="C60" s="53">
        <f ca="1">IF(D60="按租金收入计税",ROUND(C47*F60,1),IF(D60="按房产原值计税",ROUND(C56*F60*0.7,1),INDIRECT("'数据-取费表'!Aj"&amp;$G$1)))</f>
        <v>109</v>
      </c>
      <c r="D60" s="2674" t="str">
        <f>D33</f>
        <v>按房产原值计税</v>
      </c>
      <c r="E60" s="787" t="s">
        <v>1751</v>
      </c>
      <c r="F60" s="812">
        <f t="shared" si="0"/>
        <v>1.2E-2</v>
      </c>
      <c r="I60" s="2414" t="s">
        <v>2367</v>
      </c>
      <c r="J60" s="2416" t="str">
        <f ca="1">IF(OR(M47="住宅",J51&lt;L48,J56="是"),"0",ROUND(J59/(1+J52)^J53,0))</f>
        <v>0</v>
      </c>
      <c r="K60" s="2417" t="s">
        <v>2372</v>
      </c>
      <c r="L60" s="2416">
        <f ca="1">IF(OR(M47="住宅",L48&lt;J51),0,ROUND(L57*(L58/L59-1),0))</f>
        <v>0</v>
      </c>
      <c r="O60" s="2435" t="s">
        <v>2390</v>
      </c>
      <c r="P60" s="2433" t="s">
        <v>2399</v>
      </c>
      <c r="Q60" s="2436">
        <f>L52</f>
        <v>0.09</v>
      </c>
      <c r="R60" s="2437"/>
    </row>
    <row r="61" spans="1:18" s="2065" customFormat="1" ht="18" customHeight="1" thickBot="1">
      <c r="A61" s="1655" t="s">
        <v>1838</v>
      </c>
      <c r="B61" s="344" t="s">
        <v>669</v>
      </c>
      <c r="C61" s="54">
        <f ca="1">ROUND(F61*F62/10000,1)</f>
        <v>6.2</v>
      </c>
      <c r="D61" s="817" t="s">
        <v>670</v>
      </c>
      <c r="E61" s="787" t="s">
        <v>671</v>
      </c>
      <c r="F61" s="643">
        <f t="shared" si="0"/>
        <v>1.5</v>
      </c>
      <c r="K61" s="2092"/>
      <c r="O61" s="2435" t="s">
        <v>2392</v>
      </c>
      <c r="P61" s="2433" t="s">
        <v>2400</v>
      </c>
      <c r="Q61" s="2434">
        <f ca="1">L58</f>
        <v>0.99851481386487551</v>
      </c>
      <c r="R61" s="2437" t="s">
        <v>2401</v>
      </c>
    </row>
    <row r="62" spans="1:18" s="2065" customFormat="1" ht="20.25" thickBot="1">
      <c r="A62" s="818"/>
      <c r="B62" s="796"/>
      <c r="C62" s="69"/>
      <c r="D62" s="819"/>
      <c r="E62" s="787" t="s">
        <v>675</v>
      </c>
      <c r="F62" s="788">
        <f t="shared" ca="1" si="0"/>
        <v>41016.61</v>
      </c>
      <c r="I62" s="2418" t="s">
        <v>2373</v>
      </c>
      <c r="J62" s="2419" t="s">
        <v>2374</v>
      </c>
      <c r="K62" s="2419" t="s">
        <v>2375</v>
      </c>
      <c r="L62" s="2419" t="s">
        <v>2356</v>
      </c>
      <c r="M62" s="3141" t="s">
        <v>2953</v>
      </c>
      <c r="O62" s="2435" t="s">
        <v>2394</v>
      </c>
      <c r="P62" s="2433" t="s">
        <v>2402</v>
      </c>
      <c r="Q62" s="2434">
        <f ca="1">L59</f>
        <v>1.0078736193986291</v>
      </c>
      <c r="R62" s="2437" t="s">
        <v>2403</v>
      </c>
    </row>
    <row r="63" spans="1:18" s="2065" customFormat="1" ht="15.75" thickBot="1">
      <c r="A63" s="1653" t="s">
        <v>1894</v>
      </c>
      <c r="B63" s="787" t="s">
        <v>677</v>
      </c>
      <c r="C63" s="53">
        <f ca="1">ROUND(C56*F63,1)</f>
        <v>194.6</v>
      </c>
      <c r="D63" s="2674" t="s">
        <v>1807</v>
      </c>
      <c r="E63" s="787" t="s">
        <v>1751</v>
      </c>
      <c r="F63" s="820">
        <f t="shared" ca="1" si="0"/>
        <v>1.4999999999999999E-2</v>
      </c>
      <c r="I63" s="2418" t="s">
        <v>2376</v>
      </c>
      <c r="J63" s="2419">
        <v>70</v>
      </c>
      <c r="K63" s="2419">
        <v>50</v>
      </c>
      <c r="L63" s="2419">
        <v>80</v>
      </c>
      <c r="M63" s="3142">
        <v>0.02</v>
      </c>
      <c r="O63" s="2432" t="s">
        <v>2397</v>
      </c>
      <c r="P63" s="2433" t="s">
        <v>2414</v>
      </c>
      <c r="Q63" s="2434">
        <f ca="1">Q57+Q58</f>
        <v>32802</v>
      </c>
      <c r="R63" s="2437" t="s">
        <v>2398</v>
      </c>
    </row>
    <row r="64" spans="1:18" s="2065" customFormat="1" ht="16.5" thickBot="1">
      <c r="A64" s="1653" t="s">
        <v>1895</v>
      </c>
      <c r="B64" s="787" t="s">
        <v>680</v>
      </c>
      <c r="C64" s="53">
        <f ca="1">ROUND(C55*F64,1)</f>
        <v>26</v>
      </c>
      <c r="D64" s="2674" t="s">
        <v>681</v>
      </c>
      <c r="E64" s="787" t="s">
        <v>1751</v>
      </c>
      <c r="F64" s="821">
        <f t="shared" ca="1" si="0"/>
        <v>2E-3</v>
      </c>
      <c r="I64" s="2418" t="s">
        <v>2377</v>
      </c>
      <c r="J64" s="2419">
        <v>50</v>
      </c>
      <c r="K64" s="2419">
        <v>35</v>
      </c>
      <c r="L64" s="2419">
        <v>60</v>
      </c>
      <c r="M64" s="3143">
        <v>0</v>
      </c>
      <c r="O64" s="2438" t="s">
        <v>2421</v>
      </c>
      <c r="P64" s="1596"/>
      <c r="Q64" s="1608"/>
      <c r="R64" s="1596"/>
    </row>
    <row r="65" spans="1:18" s="2065" customFormat="1" ht="15.75" thickBot="1">
      <c r="A65" s="1653" t="s">
        <v>1896</v>
      </c>
      <c r="B65" s="787" t="s">
        <v>667</v>
      </c>
      <c r="C65" s="53">
        <f ca="1">ROUND(C47*F65,1)</f>
        <v>0</v>
      </c>
      <c r="D65" s="2674" t="s">
        <v>684</v>
      </c>
      <c r="E65" s="787" t="s">
        <v>1751</v>
      </c>
      <c r="F65" s="797">
        <f t="shared" ca="1" si="0"/>
        <v>1.4999999999999999E-2</v>
      </c>
      <c r="I65" s="2418" t="s">
        <v>2378</v>
      </c>
      <c r="J65" s="2419">
        <v>40</v>
      </c>
      <c r="K65" s="2419">
        <v>30</v>
      </c>
      <c r="L65" s="2419">
        <v>50</v>
      </c>
      <c r="M65" s="3142">
        <v>0.02</v>
      </c>
      <c r="O65" s="2429" t="s">
        <v>2381</v>
      </c>
      <c r="P65" s="2430" t="s">
        <v>2382</v>
      </c>
      <c r="Q65" s="2431" t="s">
        <v>2383</v>
      </c>
      <c r="R65" s="2430" t="s">
        <v>2384</v>
      </c>
    </row>
    <row r="66" spans="1:18" s="2065" customFormat="1" ht="24.75" thickBot="1">
      <c r="A66" s="800" t="s">
        <v>1780</v>
      </c>
      <c r="B66" s="3049" t="s">
        <v>2832</v>
      </c>
      <c r="C66" s="802">
        <f ca="1">C47-C57</f>
        <v>-336</v>
      </c>
      <c r="D66" s="2673" t="s">
        <v>702</v>
      </c>
      <c r="E66" s="2672"/>
      <c r="F66" s="823"/>
      <c r="K66" s="2092"/>
      <c r="O66" s="2432" t="s">
        <v>2385</v>
      </c>
      <c r="P66" s="2433" t="s">
        <v>2415</v>
      </c>
      <c r="Q66" s="2434">
        <f ca="1">C40+J29</f>
        <v>32802</v>
      </c>
      <c r="R66" s="2433" t="s">
        <v>2386</v>
      </c>
    </row>
    <row r="67" spans="1:18" s="2065" customFormat="1" ht="20.25" thickBot="1">
      <c r="A67" s="784" t="s">
        <v>1784</v>
      </c>
      <c r="B67" s="2241" t="s">
        <v>2307</v>
      </c>
      <c r="C67" s="786">
        <f ca="1">ROUND(C66*(1-((1+F69)/(1+F67))^F68)/(F67-F69),0)</f>
        <v>-6099</v>
      </c>
      <c r="D67" s="817" t="s">
        <v>706</v>
      </c>
      <c r="E67" s="787" t="s">
        <v>707</v>
      </c>
      <c r="F67" s="797">
        <f ca="1">F40</f>
        <v>0.05</v>
      </c>
      <c r="K67" s="2092"/>
      <c r="O67" s="2432" t="s">
        <v>2387</v>
      </c>
      <c r="P67" s="2433" t="s">
        <v>2418</v>
      </c>
      <c r="Q67" s="2434">
        <f ca="1">L60</f>
        <v>0</v>
      </c>
      <c r="R67" s="2437" t="s">
        <v>2420</v>
      </c>
    </row>
    <row r="68" spans="1:18" ht="21.75" thickBot="1">
      <c r="A68" s="789"/>
      <c r="B68" s="790"/>
      <c r="C68" s="791"/>
      <c r="D68" s="824" t="s">
        <v>1812</v>
      </c>
      <c r="E68" s="787" t="s">
        <v>1788</v>
      </c>
      <c r="F68" s="825">
        <f ca="1">F41</f>
        <v>48.8</v>
      </c>
      <c r="O68" s="2435" t="s">
        <v>2389</v>
      </c>
      <c r="P68" s="2433" t="s">
        <v>2419</v>
      </c>
      <c r="Q68" s="2439">
        <f ca="1">L51</f>
        <v>-287034402</v>
      </c>
      <c r="R68" s="2440" t="s">
        <v>2422</v>
      </c>
    </row>
    <row r="69" spans="1:18" ht="20.25" thickBot="1">
      <c r="A69" s="793"/>
      <c r="B69" s="794"/>
      <c r="C69" s="795"/>
      <c r="D69" s="819"/>
      <c r="E69" s="787" t="s">
        <v>712</v>
      </c>
      <c r="F69" s="2380"/>
      <c r="O69" s="2435" t="s">
        <v>2390</v>
      </c>
      <c r="P69" s="2441" t="s">
        <v>2404</v>
      </c>
      <c r="Q69" s="2434">
        <f ca="1">ROUND(Q70-Q71*Q72,0)</f>
        <v>262</v>
      </c>
      <c r="R69" s="2437"/>
    </row>
    <row r="70" spans="1:18" ht="15.75" thickBot="1">
      <c r="A70" s="826" t="s">
        <v>1791</v>
      </c>
      <c r="B70" s="827" t="s">
        <v>1815</v>
      </c>
      <c r="C70" s="828">
        <f ca="1">ROUND(C67*10000/F70,0)</f>
        <v>-1487</v>
      </c>
      <c r="D70" s="829" t="s">
        <v>1816</v>
      </c>
      <c r="E70" s="830" t="s">
        <v>1817</v>
      </c>
      <c r="F70" s="831">
        <f ca="1">F43</f>
        <v>41016</v>
      </c>
      <c r="O70" s="2435" t="s">
        <v>2405</v>
      </c>
      <c r="P70" s="2441" t="s">
        <v>2406</v>
      </c>
      <c r="Q70" s="2434">
        <f ca="1">C39</f>
        <v>1300</v>
      </c>
      <c r="R70" s="2433" t="s">
        <v>2386</v>
      </c>
    </row>
    <row r="71" spans="1:18" ht="15.75" thickBot="1">
      <c r="O71" s="2435" t="s">
        <v>2407</v>
      </c>
      <c r="P71" s="2441" t="s">
        <v>2408</v>
      </c>
      <c r="Q71" s="2434">
        <f ca="1">C13</f>
        <v>12976</v>
      </c>
      <c r="R71" s="2433" t="s">
        <v>2386</v>
      </c>
    </row>
    <row r="72" spans="1:18" ht="15.75" thickBot="1">
      <c r="O72" s="2435" t="s">
        <v>2409</v>
      </c>
      <c r="P72" s="2441" t="s">
        <v>2410</v>
      </c>
      <c r="Q72" s="2436">
        <f ca="1">J36</f>
        <v>0.08</v>
      </c>
      <c r="R72" s="2437"/>
    </row>
    <row r="73" spans="1:18" ht="15.75" thickBot="1">
      <c r="O73" s="2435" t="s">
        <v>2392</v>
      </c>
      <c r="P73" s="2433" t="s">
        <v>2399</v>
      </c>
      <c r="Q73" s="2436">
        <f>L52</f>
        <v>0.09</v>
      </c>
      <c r="R73" s="2437"/>
    </row>
    <row r="74" spans="1:18" ht="20.25" thickBot="1">
      <c r="O74" s="2435" t="s">
        <v>2394</v>
      </c>
      <c r="P74" s="2433" t="s">
        <v>2400</v>
      </c>
      <c r="Q74" s="2434">
        <f ca="1">L58</f>
        <v>0.99851481386487551</v>
      </c>
      <c r="R74" s="2437" t="s">
        <v>2401</v>
      </c>
    </row>
    <row r="75" spans="1:18" ht="20.25" thickBot="1">
      <c r="O75" s="2435" t="s">
        <v>2423</v>
      </c>
      <c r="P75" s="2433" t="s">
        <v>2402</v>
      </c>
      <c r="Q75" s="2434">
        <f ca="1">L59</f>
        <v>1.0078736193986291</v>
      </c>
      <c r="R75" s="2437" t="s">
        <v>2403</v>
      </c>
    </row>
    <row r="76" spans="1:18" ht="15.75" thickBot="1">
      <c r="O76" s="2432" t="s">
        <v>2397</v>
      </c>
      <c r="P76" s="2433" t="s">
        <v>2414</v>
      </c>
      <c r="Q76" s="2434">
        <f ca="1">Q66+Q67</f>
        <v>32802</v>
      </c>
      <c r="R76" s="2437"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7"/>
      <c r="D2" s="2137"/>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c r="A3" s="1385" t="s">
        <v>1689</v>
      </c>
      <c r="B3" s="513" t="e">
        <f>ROUND(B2*10000/'数据-汇总表'!E3,0)</f>
        <v>#DIV/0!</v>
      </c>
      <c r="C3" s="2067"/>
      <c r="D3" s="2067"/>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7"/>
      <c r="D4" s="2067"/>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70"/>
      <c r="AC5" s="431"/>
    </row>
    <row r="6" spans="1:29" ht="15">
      <c r="A6" s="515" t="s">
        <v>522</v>
      </c>
      <c r="B6" s="516"/>
      <c r="C6" s="3364" t="s">
        <v>523</v>
      </c>
      <c r="D6" s="3365"/>
      <c r="E6" s="3404" t="s">
        <v>524</v>
      </c>
      <c r="F6" s="3405"/>
      <c r="G6" s="3364" t="s">
        <v>525</v>
      </c>
      <c r="H6" s="3365"/>
      <c r="I6" s="3364" t="s">
        <v>526</v>
      </c>
      <c r="J6" s="3365"/>
      <c r="K6" s="517" t="s">
        <v>527</v>
      </c>
      <c r="L6" s="2142"/>
      <c r="M6" s="2143"/>
      <c r="N6" s="2143"/>
      <c r="O6" s="2143"/>
      <c r="P6" s="3366" t="s">
        <v>528</v>
      </c>
      <c r="Q6" s="3367"/>
      <c r="R6" s="3372" t="s">
        <v>524</v>
      </c>
      <c r="S6" s="3373"/>
      <c r="T6" s="3372" t="s">
        <v>525</v>
      </c>
      <c r="U6" s="3373"/>
      <c r="V6" s="3359" t="s">
        <v>526</v>
      </c>
      <c r="W6" s="3359"/>
      <c r="X6" s="1571"/>
      <c r="Y6" s="3372" t="s">
        <v>528</v>
      </c>
      <c r="Z6" s="3373"/>
      <c r="AA6" s="3361" t="s">
        <v>524</v>
      </c>
      <c r="AB6" s="3362" t="s">
        <v>525</v>
      </c>
      <c r="AC6" s="3361" t="s">
        <v>526</v>
      </c>
    </row>
    <row r="7" spans="1:29" ht="15">
      <c r="A7" s="518"/>
      <c r="B7" s="519"/>
      <c r="C7" s="3380" t="s">
        <v>2938</v>
      </c>
      <c r="D7" s="3381"/>
      <c r="E7" s="3406" t="s">
        <v>2939</v>
      </c>
      <c r="F7" s="3407"/>
      <c r="G7" s="3380" t="s">
        <v>2940</v>
      </c>
      <c r="H7" s="3381"/>
      <c r="I7" s="3380" t="s">
        <v>2941</v>
      </c>
      <c r="J7" s="3381"/>
      <c r="K7" s="517"/>
      <c r="L7" s="2142"/>
      <c r="M7" s="2143"/>
      <c r="N7" s="2143"/>
      <c r="O7" s="2143"/>
      <c r="P7" s="3368"/>
      <c r="Q7" s="3369"/>
      <c r="R7" s="3374"/>
      <c r="S7" s="3375"/>
      <c r="T7" s="3374"/>
      <c r="U7" s="3375"/>
      <c r="V7" s="3359"/>
      <c r="W7" s="3359"/>
      <c r="X7" s="1571"/>
      <c r="Y7" s="3374"/>
      <c r="Z7" s="3375"/>
      <c r="AA7" s="3362"/>
      <c r="AB7" s="3362"/>
      <c r="AC7" s="3362"/>
    </row>
    <row r="8" spans="1:29" ht="15.75" thickBot="1">
      <c r="A8" s="520"/>
      <c r="B8" s="521"/>
      <c r="C8" s="3378" t="s">
        <v>2942</v>
      </c>
      <c r="D8" s="3379"/>
      <c r="E8" s="3402" t="s">
        <v>2942</v>
      </c>
      <c r="F8" s="3403"/>
      <c r="G8" s="3378" t="s">
        <v>2942</v>
      </c>
      <c r="H8" s="3379"/>
      <c r="I8" s="3378" t="s">
        <v>2942</v>
      </c>
      <c r="J8" s="3379"/>
      <c r="K8" s="517" t="s">
        <v>529</v>
      </c>
      <c r="L8" s="2142"/>
      <c r="M8" s="2143"/>
      <c r="N8" s="2143"/>
      <c r="O8" s="2143"/>
      <c r="P8" s="3370"/>
      <c r="Q8" s="3371"/>
      <c r="R8" s="3374"/>
      <c r="S8" s="3375"/>
      <c r="T8" s="3376"/>
      <c r="U8" s="3377"/>
      <c r="V8" s="3359"/>
      <c r="W8" s="3359"/>
      <c r="X8" s="1571"/>
      <c r="Y8" s="3376"/>
      <c r="Z8" s="3377"/>
      <c r="AA8" s="3363"/>
      <c r="AB8" s="3363"/>
      <c r="AC8" s="3363"/>
    </row>
    <row r="9" spans="1:29" s="1223" customFormat="1" ht="15.75" thickBot="1">
      <c r="A9" s="2950"/>
      <c r="B9" s="2957" t="s">
        <v>530</v>
      </c>
      <c r="C9" s="522">
        <f>'数据-取费表'!B2</f>
        <v>43005</v>
      </c>
      <c r="D9" s="523">
        <v>100</v>
      </c>
      <c r="E9" s="524"/>
      <c r="F9" s="525">
        <f>SUMIF(67:67,YEAR(E9)&amp;"-"&amp;INT((MONTH(E9)+2)/3),68:68)</f>
        <v>0</v>
      </c>
      <c r="G9" s="526"/>
      <c r="H9" s="523">
        <f>SUMIF(67:67,YEAR(G9)&amp;"-"&amp;INT((MONTH(G9)+2)/3),68:68)</f>
        <v>0</v>
      </c>
      <c r="I9" s="526"/>
      <c r="J9" s="523">
        <f>SUMIF(67:67,YEAR(I9)&amp;"-"&amp;INT((MONTH(I9)+2)/3),68:68)</f>
        <v>0</v>
      </c>
      <c r="K9" s="527"/>
      <c r="L9" s="2144"/>
      <c r="M9" s="2145"/>
      <c r="N9" s="2145"/>
      <c r="O9" s="2145"/>
      <c r="P9" s="3389" t="s">
        <v>531</v>
      </c>
      <c r="Q9" s="3391"/>
      <c r="R9" s="1572" t="s">
        <v>8</v>
      </c>
      <c r="S9" s="1573">
        <f t="shared" ref="S9:S17" si="0">F9</f>
        <v>0</v>
      </c>
      <c r="T9" s="1572" t="s">
        <v>8</v>
      </c>
      <c r="U9" s="1573">
        <f t="shared" ref="U9:U17" si="1">H9</f>
        <v>0</v>
      </c>
      <c r="V9" s="1572" t="s">
        <v>8</v>
      </c>
      <c r="W9" s="1573">
        <f t="shared" ref="W9:W17" si="2">J9</f>
        <v>0</v>
      </c>
      <c r="X9" s="1574"/>
      <c r="Y9" s="3389" t="s">
        <v>531</v>
      </c>
      <c r="Z9" s="3390"/>
      <c r="AA9" s="1575" t="e">
        <f>D9/F9</f>
        <v>#DIV/0!</v>
      </c>
      <c r="AB9" s="1575" t="e">
        <f>D9/H9</f>
        <v>#DIV/0!</v>
      </c>
      <c r="AC9" s="1575" t="e">
        <f>D9/J9</f>
        <v>#DIV/0!</v>
      </c>
    </row>
    <row r="10" spans="1:29" s="1223" customFormat="1" ht="15.75" thickBot="1">
      <c r="A10" s="2951"/>
      <c r="B10" s="295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4"/>
      <c r="M10" s="2145"/>
      <c r="N10" s="2145"/>
      <c r="O10" s="2145"/>
      <c r="P10" s="3389" t="s">
        <v>534</v>
      </c>
      <c r="Q10" s="3390"/>
      <c r="R10" s="1572" t="s">
        <v>8</v>
      </c>
      <c r="S10" s="1573">
        <f t="shared" si="0"/>
        <v>0</v>
      </c>
      <c r="T10" s="1572" t="s">
        <v>8</v>
      </c>
      <c r="U10" s="1573">
        <f t="shared" si="1"/>
        <v>0</v>
      </c>
      <c r="V10" s="1572" t="s">
        <v>8</v>
      </c>
      <c r="W10" s="1573">
        <f t="shared" si="2"/>
        <v>0</v>
      </c>
      <c r="X10" s="1574"/>
      <c r="Y10" s="3389" t="s">
        <v>534</v>
      </c>
      <c r="Z10" s="3390"/>
      <c r="AA10" s="1575" t="e">
        <f t="shared" ref="AA10:AA42" si="3">D10/F10</f>
        <v>#DIV/0!</v>
      </c>
      <c r="AB10" s="1575" t="e">
        <f t="shared" ref="AB10:AB42" si="4">D10/H10</f>
        <v>#DIV/0!</v>
      </c>
      <c r="AC10" s="1575" t="e">
        <f t="shared" ref="AC10:AC42" si="5">D10/J10</f>
        <v>#DIV/0!</v>
      </c>
    </row>
    <row r="11" spans="1:29" s="1223" customFormat="1" ht="15">
      <c r="A11" s="2952"/>
      <c r="B11" s="2959" t="s">
        <v>2767</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58" t="s">
        <v>536</v>
      </c>
      <c r="Q11" s="1154" t="str">
        <f t="shared" ref="Q11:Q17" si="6">B11</f>
        <v>用途</v>
      </c>
      <c r="R11" s="1572" t="s">
        <v>8</v>
      </c>
      <c r="S11" s="1573">
        <f t="shared" si="0"/>
        <v>100</v>
      </c>
      <c r="T11" s="1572" t="s">
        <v>8</v>
      </c>
      <c r="U11" s="1573">
        <f t="shared" si="1"/>
        <v>100</v>
      </c>
      <c r="V11" s="1572" t="s">
        <v>8</v>
      </c>
      <c r="W11" s="1573">
        <f t="shared" si="2"/>
        <v>100</v>
      </c>
      <c r="X11" s="1574"/>
      <c r="Y11" s="3286" t="s">
        <v>537</v>
      </c>
      <c r="Z11" s="1153" t="str">
        <f t="shared" ref="Z11:Z17" si="7">Q11</f>
        <v>用途</v>
      </c>
      <c r="AA11" s="1575">
        <f t="shared" si="3"/>
        <v>1</v>
      </c>
      <c r="AB11" s="1575">
        <f t="shared" si="4"/>
        <v>1</v>
      </c>
      <c r="AC11" s="1575">
        <f t="shared" si="5"/>
        <v>1</v>
      </c>
    </row>
    <row r="12" spans="1:29" s="1341" customFormat="1" ht="27">
      <c r="A12" s="2953"/>
      <c r="B12" s="2958" t="s">
        <v>2768</v>
      </c>
      <c r="C12" s="531"/>
      <c r="D12" s="255">
        <v>100</v>
      </c>
      <c r="E12" s="531"/>
      <c r="F12" s="255">
        <f>ROUND(100/'数据-取费表'!G16,0)</f>
        <v>101</v>
      </c>
      <c r="G12" s="531"/>
      <c r="H12" s="255">
        <f>ROUND(100/'数据-取费表'!G16,0)</f>
        <v>101</v>
      </c>
      <c r="I12" s="531"/>
      <c r="J12" s="255">
        <f>ROUND(100/'数据-取费表'!G16,0)</f>
        <v>101</v>
      </c>
      <c r="K12" s="534"/>
      <c r="L12" s="2147"/>
      <c r="M12" s="2187"/>
      <c r="N12" s="2187"/>
      <c r="O12" s="2148"/>
      <c r="P12" s="3358"/>
      <c r="Q12" s="1154" t="str">
        <f t="shared" si="6"/>
        <v>土地使用年限（年）</v>
      </c>
      <c r="R12" s="1572" t="s">
        <v>8</v>
      </c>
      <c r="S12" s="1573">
        <f t="shared" si="0"/>
        <v>101</v>
      </c>
      <c r="T12" s="1572" t="s">
        <v>8</v>
      </c>
      <c r="U12" s="1573">
        <f t="shared" si="1"/>
        <v>101</v>
      </c>
      <c r="V12" s="1572" t="s">
        <v>8</v>
      </c>
      <c r="W12" s="1573">
        <f t="shared" si="2"/>
        <v>101</v>
      </c>
      <c r="X12" s="1574"/>
      <c r="Y12" s="3286"/>
      <c r="Z12" s="1153" t="str">
        <f t="shared" si="7"/>
        <v>土地使用年限（年）</v>
      </c>
      <c r="AA12" s="1575">
        <f t="shared" si="3"/>
        <v>0.99009900990099009</v>
      </c>
      <c r="AB12" s="1575">
        <f t="shared" si="4"/>
        <v>0.99009900990099009</v>
      </c>
      <c r="AC12" s="1575">
        <f t="shared" si="5"/>
        <v>0.99009900990099009</v>
      </c>
    </row>
    <row r="13" spans="1:29" ht="15">
      <c r="A13" s="2954"/>
      <c r="B13" s="2958" t="s">
        <v>2769</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9"/>
      <c r="M13" s="2143"/>
      <c r="N13" s="2143"/>
      <c r="O13" s="2150"/>
      <c r="P13" s="3358"/>
      <c r="Q13" s="1154" t="str">
        <f t="shared" si="6"/>
        <v>容积率</v>
      </c>
      <c r="R13" s="1572" t="s">
        <v>8</v>
      </c>
      <c r="S13" s="1573" t="e">
        <f t="shared" si="0"/>
        <v>#N/A</v>
      </c>
      <c r="T13" s="1572" t="s">
        <v>8</v>
      </c>
      <c r="U13" s="1573" t="e">
        <f t="shared" si="1"/>
        <v>#N/A</v>
      </c>
      <c r="V13" s="1572" t="s">
        <v>8</v>
      </c>
      <c r="W13" s="1573" t="e">
        <f t="shared" si="2"/>
        <v>#N/A</v>
      </c>
      <c r="X13" s="1574"/>
      <c r="Y13" s="3286"/>
      <c r="Z13" s="1153" t="str">
        <f t="shared" si="7"/>
        <v>容积率</v>
      </c>
      <c r="AA13" s="1575" t="e">
        <f t="shared" si="3"/>
        <v>#N/A</v>
      </c>
      <c r="AB13" s="1575" t="e">
        <f t="shared" si="4"/>
        <v>#N/A</v>
      </c>
      <c r="AC13" s="1575" t="e">
        <f t="shared" si="5"/>
        <v>#N/A</v>
      </c>
    </row>
    <row r="14" spans="1:29" s="1223" customFormat="1" ht="15">
      <c r="A14" s="2955"/>
      <c r="B14" s="2961">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58"/>
      <c r="Q14" s="1154">
        <f t="shared" si="6"/>
        <v>111</v>
      </c>
      <c r="R14" s="1572" t="s">
        <v>8</v>
      </c>
      <c r="S14" s="1573">
        <f t="shared" si="0"/>
        <v>100</v>
      </c>
      <c r="T14" s="1572" t="s">
        <v>8</v>
      </c>
      <c r="U14" s="1573">
        <f t="shared" si="1"/>
        <v>100</v>
      </c>
      <c r="V14" s="1572" t="s">
        <v>8</v>
      </c>
      <c r="W14" s="1573">
        <f t="shared" si="2"/>
        <v>100</v>
      </c>
      <c r="X14" s="1574"/>
      <c r="Y14" s="3286"/>
      <c r="Z14" s="1153">
        <f t="shared" si="7"/>
        <v>111</v>
      </c>
      <c r="AA14" s="1575">
        <f>D14/F14</f>
        <v>1</v>
      </c>
      <c r="AB14" s="1575">
        <f>D14/H14</f>
        <v>1</v>
      </c>
      <c r="AC14" s="1575">
        <f>D14/J14</f>
        <v>1</v>
      </c>
    </row>
    <row r="15" spans="1:29" ht="15">
      <c r="A15" s="2955"/>
      <c r="B15" s="2961">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58"/>
      <c r="Q15" s="1154">
        <f t="shared" si="6"/>
        <v>111</v>
      </c>
      <c r="R15" s="1572" t="s">
        <v>8</v>
      </c>
      <c r="S15" s="1573">
        <f t="shared" si="0"/>
        <v>100</v>
      </c>
      <c r="T15" s="1572" t="s">
        <v>8</v>
      </c>
      <c r="U15" s="1573">
        <f t="shared" si="1"/>
        <v>100</v>
      </c>
      <c r="V15" s="1572" t="s">
        <v>8</v>
      </c>
      <c r="W15" s="1573">
        <f t="shared" si="2"/>
        <v>100</v>
      </c>
      <c r="X15" s="1574"/>
      <c r="Y15" s="3286"/>
      <c r="Z15" s="1153">
        <f t="shared" si="7"/>
        <v>111</v>
      </c>
      <c r="AA15" s="1575">
        <f t="shared" si="3"/>
        <v>1</v>
      </c>
      <c r="AB15" s="1575">
        <f t="shared" si="4"/>
        <v>1</v>
      </c>
      <c r="AC15" s="1575">
        <f t="shared" si="5"/>
        <v>1</v>
      </c>
    </row>
    <row r="16" spans="1:29" ht="15.75" thickBot="1">
      <c r="A16" s="2956"/>
      <c r="B16" s="2962">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58"/>
      <c r="Q16" s="1154">
        <f t="shared" si="6"/>
        <v>111</v>
      </c>
      <c r="R16" s="1572" t="s">
        <v>8</v>
      </c>
      <c r="S16" s="1573">
        <f t="shared" si="0"/>
        <v>100</v>
      </c>
      <c r="T16" s="1572" t="s">
        <v>8</v>
      </c>
      <c r="U16" s="1573">
        <f t="shared" si="1"/>
        <v>100</v>
      </c>
      <c r="V16" s="1572" t="s">
        <v>8</v>
      </c>
      <c r="W16" s="1573">
        <f t="shared" si="2"/>
        <v>100</v>
      </c>
      <c r="X16" s="1574"/>
      <c r="Y16" s="3286"/>
      <c r="Z16" s="1153">
        <f t="shared" si="7"/>
        <v>111</v>
      </c>
      <c r="AA16" s="1575">
        <f t="shared" si="3"/>
        <v>1</v>
      </c>
      <c r="AB16" s="1575">
        <f t="shared" si="4"/>
        <v>1</v>
      </c>
      <c r="AC16" s="1575">
        <f t="shared" si="5"/>
        <v>1</v>
      </c>
    </row>
    <row r="17" spans="1:29" ht="57">
      <c r="A17" s="2948" t="s">
        <v>2765</v>
      </c>
      <c r="B17" s="166" t="s">
        <v>599</v>
      </c>
      <c r="C17" s="924" t="str">
        <f>估价对象房地状况!G15</f>
        <v>估价对象位于兴谷开发区，园区建设较成熟，产业集聚程度较好</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392" t="s">
        <v>541</v>
      </c>
      <c r="Q17" s="1576" t="str">
        <f t="shared" si="6"/>
        <v>产业集聚程度</v>
      </c>
      <c r="R17" s="1577" t="s">
        <v>8</v>
      </c>
      <c r="S17" s="1578">
        <f t="shared" si="0"/>
        <v>100</v>
      </c>
      <c r="T17" s="1577" t="s">
        <v>8</v>
      </c>
      <c r="U17" s="1578">
        <f t="shared" si="1"/>
        <v>100</v>
      </c>
      <c r="V17" s="1577" t="s">
        <v>8</v>
      </c>
      <c r="W17" s="1578">
        <f t="shared" si="2"/>
        <v>100</v>
      </c>
      <c r="X17" s="1571"/>
      <c r="Y17" s="3392"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51"/>
      <c r="M18" s="2143"/>
      <c r="N18" s="2143"/>
      <c r="O18" s="2150"/>
      <c r="P18" s="3393"/>
      <c r="Q18" s="1576"/>
      <c r="R18" s="1577"/>
      <c r="S18" s="1578"/>
      <c r="T18" s="1577"/>
      <c r="U18" s="1578"/>
      <c r="V18" s="1577"/>
      <c r="W18" s="1578"/>
      <c r="X18" s="1571"/>
      <c r="Y18" s="3393"/>
      <c r="Z18" s="1579"/>
      <c r="AA18" s="1580">
        <v>1</v>
      </c>
      <c r="AB18" s="1580">
        <v>1</v>
      </c>
      <c r="AC18" s="1580">
        <v>1</v>
      </c>
    </row>
    <row r="19" spans="1:29" ht="114">
      <c r="A19" s="535"/>
      <c r="B19" s="874" t="s">
        <v>544</v>
      </c>
      <c r="C19" s="875" t="str">
        <f>估价对象房地状况!G16</f>
        <v>估价对象周边2公里范围内有平3、平4、平30，路网密集程度较好，停车便捷程度较好，综合评价交通便捷度较好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393"/>
      <c r="Q19" s="1576" t="str">
        <f>B19</f>
        <v>交通便捷度</v>
      </c>
      <c r="R19" s="1577" t="s">
        <v>8</v>
      </c>
      <c r="S19" s="1578">
        <f>F19</f>
        <v>100</v>
      </c>
      <c r="T19" s="1577" t="s">
        <v>8</v>
      </c>
      <c r="U19" s="1578">
        <f>H19</f>
        <v>100</v>
      </c>
      <c r="V19" s="1577" t="s">
        <v>8</v>
      </c>
      <c r="W19" s="1578">
        <f>J19</f>
        <v>100</v>
      </c>
      <c r="X19" s="1571"/>
      <c r="Y19" s="3393"/>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51"/>
      <c r="M20" s="2143"/>
      <c r="N20" s="2143"/>
      <c r="O20" s="2150"/>
      <c r="P20" s="3393"/>
      <c r="Q20" s="1576"/>
      <c r="R20" s="1577"/>
      <c r="S20" s="1578"/>
      <c r="T20" s="1577"/>
      <c r="U20" s="1578"/>
      <c r="V20" s="1577"/>
      <c r="W20" s="1578"/>
      <c r="X20" s="1571"/>
      <c r="Y20" s="3393"/>
      <c r="Z20" s="1579"/>
      <c r="AA20" s="1580">
        <v>1</v>
      </c>
      <c r="AB20" s="1580">
        <v>1</v>
      </c>
      <c r="AC20" s="1580">
        <v>1</v>
      </c>
    </row>
    <row r="21" spans="1:29" ht="27">
      <c r="A21" s="518"/>
      <c r="B21" s="874" t="s">
        <v>545</v>
      </c>
      <c r="C21" s="875" t="str">
        <f>估价对象房地状况!G17</f>
        <v>较一致，工业</v>
      </c>
      <c r="D21" s="562">
        <v>100</v>
      </c>
      <c r="E21" s="565"/>
      <c r="F21" s="566">
        <f>SUMIF(89:89,E22,90:90)-SUMIF(89:89,C22,90:90)+100</f>
        <v>100</v>
      </c>
      <c r="G21" s="567"/>
      <c r="H21" s="566">
        <f>SUMIF(89:89,G22,90:90)-SUMIF(89:89,C22,90:90)+100</f>
        <v>100</v>
      </c>
      <c r="I21" s="567"/>
      <c r="J21" s="566">
        <f>SUMIF(89:89,I22,90:90)-SUMIF(89:89,C22,90:90)+100</f>
        <v>100</v>
      </c>
      <c r="K21" s="1011"/>
      <c r="L21" s="2151"/>
      <c r="M21" s="2143"/>
      <c r="N21" s="2143"/>
      <c r="O21" s="2150"/>
      <c r="P21" s="3393"/>
      <c r="Q21" s="1576" t="str">
        <f t="shared" ref="Q21:Q35" si="8">B21</f>
        <v>区域土地利用方向</v>
      </c>
      <c r="R21" s="1577" t="s">
        <v>8</v>
      </c>
      <c r="S21" s="1578">
        <f>F21</f>
        <v>100</v>
      </c>
      <c r="T21" s="1577" t="s">
        <v>8</v>
      </c>
      <c r="U21" s="1578">
        <f>H21</f>
        <v>100</v>
      </c>
      <c r="V21" s="1577" t="s">
        <v>8</v>
      </c>
      <c r="W21" s="1578">
        <f>J21</f>
        <v>100</v>
      </c>
      <c r="X21" s="1571"/>
      <c r="Y21" s="3393"/>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51"/>
      <c r="M22" s="2143"/>
      <c r="N22" s="2143"/>
      <c r="O22" s="2150"/>
      <c r="P22" s="3393"/>
      <c r="Q22" s="1576"/>
      <c r="R22" s="1577"/>
      <c r="S22" s="1578"/>
      <c r="T22" s="1577"/>
      <c r="U22" s="1578"/>
      <c r="V22" s="1577"/>
      <c r="W22" s="1578"/>
      <c r="X22" s="1571"/>
      <c r="Y22" s="3393"/>
      <c r="Z22" s="1579"/>
      <c r="AA22" s="1580"/>
      <c r="AB22" s="1580"/>
      <c r="AC22" s="1580"/>
    </row>
    <row r="23" spans="1:29" ht="71.25">
      <c r="A23" s="518"/>
      <c r="B23" s="925" t="s">
        <v>600</v>
      </c>
      <c r="C23" s="875" t="str">
        <f>估价对象房地状况!G18</f>
        <v>该园区内是否有污染型企业，绿化情况，卫生条件，整体环境状况判断：较好</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393"/>
      <c r="Q23" s="1576" t="str">
        <f t="shared" si="8"/>
        <v>环境状况</v>
      </c>
      <c r="R23" s="1577" t="s">
        <v>8</v>
      </c>
      <c r="S23" s="1578">
        <f>F23</f>
        <v>100</v>
      </c>
      <c r="T23" s="1577" t="s">
        <v>8</v>
      </c>
      <c r="U23" s="1578">
        <f>H23</f>
        <v>100</v>
      </c>
      <c r="V23" s="1577" t="s">
        <v>8</v>
      </c>
      <c r="W23" s="1578">
        <f>J23</f>
        <v>100</v>
      </c>
      <c r="X23" s="1571"/>
      <c r="Y23" s="3393"/>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51"/>
      <c r="M24" s="2143"/>
      <c r="N24" s="2143"/>
      <c r="O24" s="2150"/>
      <c r="P24" s="3393"/>
      <c r="Q24" s="1576"/>
      <c r="R24" s="1577"/>
      <c r="S24" s="1578"/>
      <c r="T24" s="1577"/>
      <c r="U24" s="1578"/>
      <c r="V24" s="1577"/>
      <c r="W24" s="1578"/>
      <c r="X24" s="1571"/>
      <c r="Y24" s="3393"/>
      <c r="Z24" s="1579"/>
      <c r="AA24" s="1580">
        <v>1</v>
      </c>
      <c r="AB24" s="1580">
        <v>1</v>
      </c>
      <c r="AC24" s="1580">
        <v>1</v>
      </c>
    </row>
    <row r="25" spans="1:29" s="1223" customFormat="1" ht="42.75">
      <c r="A25" s="580"/>
      <c r="B25" s="2627" t="s">
        <v>2556</v>
      </c>
      <c r="C25" s="875" t="str">
        <f>估价对象房地状况!G19</f>
        <v>估价对象所在区域公共配套设施齐备情况一般</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393"/>
      <c r="Q25" s="1154" t="str">
        <f t="shared" si="8"/>
        <v>公共配套设施</v>
      </c>
      <c r="R25" s="1572" t="s">
        <v>8</v>
      </c>
      <c r="S25" s="1573">
        <f>F25</f>
        <v>100</v>
      </c>
      <c r="T25" s="1572" t="s">
        <v>8</v>
      </c>
      <c r="U25" s="1573">
        <f>H25</f>
        <v>100</v>
      </c>
      <c r="V25" s="1572" t="s">
        <v>8</v>
      </c>
      <c r="W25" s="1573">
        <f>J25</f>
        <v>100</v>
      </c>
      <c r="X25" s="1574"/>
      <c r="Y25" s="3393"/>
      <c r="Z25" s="1153" t="str">
        <f>Q25</f>
        <v>公共配套设施</v>
      </c>
      <c r="AA25" s="1580">
        <f>D25/F25</f>
        <v>1</v>
      </c>
      <c r="AB25" s="1580">
        <f>D25/H25</f>
        <v>1</v>
      </c>
      <c r="AC25" s="1580">
        <f>D25/J25</f>
        <v>1</v>
      </c>
    </row>
    <row r="26" spans="1:29" s="1223" customFormat="1" ht="15">
      <c r="A26" s="580"/>
      <c r="B26" s="598"/>
      <c r="C26" s="2626"/>
      <c r="D26" s="558"/>
      <c r="E26" s="557"/>
      <c r="F26" s="558"/>
      <c r="G26" s="557"/>
      <c r="H26" s="558"/>
      <c r="I26" s="579"/>
      <c r="J26" s="558"/>
      <c r="K26" s="534"/>
      <c r="L26" s="2144"/>
      <c r="M26" s="2145"/>
      <c r="N26" s="2145"/>
      <c r="O26" s="2146"/>
      <c r="P26" s="3393"/>
      <c r="Q26" s="1154"/>
      <c r="R26" s="1572"/>
      <c r="S26" s="1573"/>
      <c r="T26" s="1572"/>
      <c r="U26" s="1573"/>
      <c r="V26" s="1572"/>
      <c r="W26" s="1573"/>
      <c r="X26" s="1574"/>
      <c r="Y26" s="3393"/>
      <c r="Z26" s="1153"/>
      <c r="AA26" s="1575">
        <v>1</v>
      </c>
      <c r="AB26" s="1575">
        <v>1</v>
      </c>
      <c r="AC26" s="1575">
        <v>1</v>
      </c>
    </row>
    <row r="27" spans="1:29" s="1223" customFormat="1" ht="42.75">
      <c r="A27" s="580"/>
      <c r="B27" s="2627" t="s">
        <v>2557</v>
      </c>
      <c r="C27" s="875" t="str">
        <f>估价对象房地状况!G20</f>
        <v>估价对象所在区域基础设施水平：七通</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393"/>
      <c r="Q27" s="2612" t="str">
        <f t="shared" ref="Q27" si="9">B27</f>
        <v>基础设施水平</v>
      </c>
      <c r="R27" s="1572" t="s">
        <v>8</v>
      </c>
      <c r="S27" s="1573">
        <f>F27</f>
        <v>100</v>
      </c>
      <c r="T27" s="1572" t="s">
        <v>8</v>
      </c>
      <c r="U27" s="1573">
        <f>H27</f>
        <v>100</v>
      </c>
      <c r="V27" s="1572" t="s">
        <v>8</v>
      </c>
      <c r="W27" s="1573">
        <f>J27</f>
        <v>100</v>
      </c>
      <c r="X27" s="1574"/>
      <c r="Y27" s="3393"/>
      <c r="Z27" s="2609" t="str">
        <f>Q27</f>
        <v>基础设施水平</v>
      </c>
      <c r="AA27" s="1580">
        <f>D27/F27</f>
        <v>1</v>
      </c>
      <c r="AB27" s="1580">
        <f>D27/H27</f>
        <v>1</v>
      </c>
      <c r="AC27" s="1580">
        <f>D27/J27</f>
        <v>1</v>
      </c>
    </row>
    <row r="28" spans="1:29" s="1223" customFormat="1" ht="15">
      <c r="A28" s="580"/>
      <c r="B28" s="598"/>
      <c r="C28" s="2626"/>
      <c r="D28" s="558"/>
      <c r="E28" s="582"/>
      <c r="F28" s="558"/>
      <c r="G28" s="582"/>
      <c r="H28" s="558"/>
      <c r="I28" s="582"/>
      <c r="J28" s="558"/>
      <c r="K28" s="534"/>
      <c r="L28" s="2144"/>
      <c r="M28" s="2145"/>
      <c r="N28" s="2145"/>
      <c r="O28" s="2146"/>
      <c r="P28" s="3393"/>
      <c r="Q28" s="2612"/>
      <c r="R28" s="1572"/>
      <c r="S28" s="1573"/>
      <c r="T28" s="1572"/>
      <c r="U28" s="1573"/>
      <c r="V28" s="1572"/>
      <c r="W28" s="1573"/>
      <c r="X28" s="1574"/>
      <c r="Y28" s="3393"/>
      <c r="Z28" s="2609"/>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393"/>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93"/>
      <c r="Z29" s="1579" t="str">
        <f t="shared" ref="Z29:Z42" si="13">Q29</f>
        <v>临街状况</v>
      </c>
      <c r="AA29" s="1580">
        <f t="shared" si="3"/>
        <v>1</v>
      </c>
      <c r="AB29" s="1580">
        <f t="shared" si="4"/>
        <v>1</v>
      </c>
      <c r="AC29" s="1580">
        <f t="shared" si="5"/>
        <v>1</v>
      </c>
    </row>
    <row r="30" spans="1:29" ht="27">
      <c r="A30" s="535"/>
      <c r="B30" s="925" t="s">
        <v>549</v>
      </c>
      <c r="C30" s="2629" t="str">
        <f>估价对象房地状况!G22</f>
        <v>次干道－平瑞路</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393"/>
      <c r="Q30" s="1576" t="str">
        <f t="shared" si="8"/>
        <v>毗邻道路的类型与等级</v>
      </c>
      <c r="R30" s="1577" t="s">
        <v>8</v>
      </c>
      <c r="S30" s="1578">
        <f t="shared" si="10"/>
        <v>100</v>
      </c>
      <c r="T30" s="1577" t="s">
        <v>8</v>
      </c>
      <c r="U30" s="1578">
        <f t="shared" si="11"/>
        <v>100</v>
      </c>
      <c r="V30" s="1577" t="s">
        <v>8</v>
      </c>
      <c r="W30" s="1578">
        <f t="shared" si="12"/>
        <v>100</v>
      </c>
      <c r="X30" s="1571"/>
      <c r="Y30" s="3393"/>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51"/>
      <c r="M31" s="2143"/>
      <c r="N31" s="2143"/>
      <c r="O31" s="2150"/>
      <c r="P31" s="3393"/>
      <c r="Q31" s="1576"/>
      <c r="R31" s="1577"/>
      <c r="S31" s="1578"/>
      <c r="T31" s="1577"/>
      <c r="U31" s="1578"/>
      <c r="V31" s="1577"/>
      <c r="W31" s="1578"/>
      <c r="X31" s="1571"/>
      <c r="Y31" s="3393"/>
      <c r="Z31" s="1579"/>
      <c r="AA31" s="1580">
        <v>1</v>
      </c>
      <c r="AB31" s="1580">
        <v>1</v>
      </c>
      <c r="AC31" s="1580">
        <v>1</v>
      </c>
    </row>
    <row r="32" spans="1:29" ht="15">
      <c r="A32" s="535"/>
      <c r="B32" s="530" t="s">
        <v>550</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393"/>
      <c r="Q32" s="1576" t="str">
        <f t="shared" si="8"/>
        <v>土地级别</v>
      </c>
      <c r="R32" s="1577" t="s">
        <v>8</v>
      </c>
      <c r="S32" s="1578">
        <f t="shared" si="10"/>
        <v>100</v>
      </c>
      <c r="T32" s="1577" t="s">
        <v>8</v>
      </c>
      <c r="U32" s="1578">
        <f t="shared" si="11"/>
        <v>100</v>
      </c>
      <c r="V32" s="1577" t="s">
        <v>8</v>
      </c>
      <c r="W32" s="1578">
        <f t="shared" si="12"/>
        <v>100</v>
      </c>
      <c r="X32" s="1571"/>
      <c r="Y32" s="3393"/>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393"/>
      <c r="Q33" s="1576">
        <f t="shared" si="8"/>
        <v>111</v>
      </c>
      <c r="R33" s="1577" t="s">
        <v>8</v>
      </c>
      <c r="S33" s="1578">
        <f t="shared" si="10"/>
        <v>100</v>
      </c>
      <c r="T33" s="1577" t="s">
        <v>8</v>
      </c>
      <c r="U33" s="1578">
        <f t="shared" si="11"/>
        <v>100</v>
      </c>
      <c r="V33" s="1577" t="s">
        <v>8</v>
      </c>
      <c r="W33" s="1578">
        <f t="shared" si="12"/>
        <v>100</v>
      </c>
      <c r="X33" s="1571"/>
      <c r="Y33" s="3393"/>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394" t="s">
        <v>551</v>
      </c>
      <c r="Q34" s="1576">
        <f t="shared" si="8"/>
        <v>111</v>
      </c>
      <c r="R34" s="1577" t="s">
        <v>8</v>
      </c>
      <c r="S34" s="1578">
        <f t="shared" si="10"/>
        <v>100</v>
      </c>
      <c r="T34" s="1577" t="s">
        <v>8</v>
      </c>
      <c r="U34" s="1578">
        <f t="shared" si="11"/>
        <v>100</v>
      </c>
      <c r="V34" s="1577" t="s">
        <v>8</v>
      </c>
      <c r="W34" s="1578">
        <f t="shared" si="12"/>
        <v>100</v>
      </c>
      <c r="X34" s="1571"/>
      <c r="Y34" s="3395" t="s">
        <v>551</v>
      </c>
      <c r="Z34" s="1579">
        <f t="shared" si="13"/>
        <v>111</v>
      </c>
      <c r="AA34" s="1580">
        <f t="shared" si="3"/>
        <v>1</v>
      </c>
      <c r="AB34" s="1580">
        <f t="shared" si="4"/>
        <v>1</v>
      </c>
      <c r="AC34" s="1580">
        <f t="shared" si="5"/>
        <v>1</v>
      </c>
    </row>
    <row r="35" spans="1:29" s="1342"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395"/>
      <c r="Q35" s="1576">
        <f t="shared" si="8"/>
        <v>111</v>
      </c>
      <c r="R35" s="1581" t="s">
        <v>8</v>
      </c>
      <c r="S35" s="1582">
        <f t="shared" si="10"/>
        <v>100</v>
      </c>
      <c r="T35" s="1581" t="s">
        <v>8</v>
      </c>
      <c r="U35" s="1582">
        <f t="shared" si="11"/>
        <v>100</v>
      </c>
      <c r="V35" s="1581" t="s">
        <v>8</v>
      </c>
      <c r="W35" s="1582">
        <f t="shared" si="12"/>
        <v>100</v>
      </c>
      <c r="X35" s="1583"/>
      <c r="Y35" s="3395"/>
      <c r="Z35" s="1584">
        <f t="shared" si="13"/>
        <v>111</v>
      </c>
      <c r="AA35" s="1580">
        <f t="shared" si="3"/>
        <v>1</v>
      </c>
      <c r="AB35" s="1580">
        <f t="shared" si="4"/>
        <v>1</v>
      </c>
      <c r="AC35" s="1580">
        <f t="shared" si="5"/>
        <v>1</v>
      </c>
    </row>
    <row r="36" spans="1:29" ht="15">
      <c r="A36" s="2945" t="s">
        <v>2766</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1"/>
      <c r="M36" s="2143"/>
      <c r="N36" s="2143"/>
      <c r="O36" s="2150"/>
      <c r="P36" s="3395"/>
      <c r="Q36" s="1576" t="str">
        <f>B36</f>
        <v>宗地面积</v>
      </c>
      <c r="R36" s="1577" t="s">
        <v>8</v>
      </c>
      <c r="S36" s="1578" t="e">
        <f t="shared" si="10"/>
        <v>#N/A</v>
      </c>
      <c r="T36" s="1577" t="s">
        <v>8</v>
      </c>
      <c r="U36" s="1578" t="e">
        <f t="shared" si="11"/>
        <v>#N/A</v>
      </c>
      <c r="V36" s="1577" t="s">
        <v>8</v>
      </c>
      <c r="W36" s="1578" t="e">
        <f t="shared" si="12"/>
        <v>#N/A</v>
      </c>
      <c r="X36" s="1571"/>
      <c r="Y36" s="3395"/>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395"/>
      <c r="Q37" s="1576" t="str">
        <f t="shared" ref="Q37:Q42" si="14">B37</f>
        <v>宗地形状</v>
      </c>
      <c r="R37" s="1577" t="s">
        <v>8</v>
      </c>
      <c r="S37" s="1578">
        <f t="shared" si="10"/>
        <v>100</v>
      </c>
      <c r="T37" s="1577" t="s">
        <v>8</v>
      </c>
      <c r="U37" s="1578">
        <f t="shared" si="11"/>
        <v>100</v>
      </c>
      <c r="V37" s="1577" t="s">
        <v>8</v>
      </c>
      <c r="W37" s="1578">
        <f t="shared" si="12"/>
        <v>100</v>
      </c>
      <c r="X37" s="1571"/>
      <c r="Y37" s="3395"/>
      <c r="Z37" s="1579" t="str">
        <f t="shared" si="13"/>
        <v>宗地形状</v>
      </c>
      <c r="AA37" s="1580">
        <f t="shared" si="3"/>
        <v>1</v>
      </c>
      <c r="AB37" s="1580">
        <f t="shared" si="4"/>
        <v>1</v>
      </c>
      <c r="AC37" s="1580">
        <f t="shared" si="5"/>
        <v>1</v>
      </c>
    </row>
    <row r="38" spans="1:29" s="1223" customFormat="1" ht="15">
      <c r="A38" s="603"/>
      <c r="B38" s="1900" t="s">
        <v>2430</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395"/>
      <c r="Q38" s="1576" t="str">
        <f t="shared" si="14"/>
        <v>宗地开发程度</v>
      </c>
      <c r="R38" s="1572" t="s">
        <v>8</v>
      </c>
      <c r="S38" s="1573">
        <f t="shared" si="10"/>
        <v>100</v>
      </c>
      <c r="T38" s="1572" t="s">
        <v>8</v>
      </c>
      <c r="U38" s="1573">
        <f t="shared" si="11"/>
        <v>100</v>
      </c>
      <c r="V38" s="1572" t="s">
        <v>8</v>
      </c>
      <c r="W38" s="1573">
        <f t="shared" si="12"/>
        <v>100</v>
      </c>
      <c r="X38" s="1574"/>
      <c r="Y38" s="3395"/>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95" t="s">
        <v>602</v>
      </c>
      <c r="Q39" s="1576" t="str">
        <f t="shared" si="14"/>
        <v>工程地质条件</v>
      </c>
      <c r="R39" s="1577" t="s">
        <v>8</v>
      </c>
      <c r="S39" s="1578">
        <f t="shared" si="10"/>
        <v>100</v>
      </c>
      <c r="T39" s="1577" t="s">
        <v>8</v>
      </c>
      <c r="U39" s="1578">
        <f t="shared" si="11"/>
        <v>100</v>
      </c>
      <c r="V39" s="1577" t="s">
        <v>8</v>
      </c>
      <c r="W39" s="1578">
        <f t="shared" si="12"/>
        <v>100</v>
      </c>
      <c r="X39" s="1571"/>
      <c r="Y39" s="3395"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395"/>
      <c r="Q40" s="1576">
        <f t="shared" si="14"/>
        <v>111</v>
      </c>
      <c r="R40" s="1577" t="s">
        <v>8</v>
      </c>
      <c r="S40" s="1578">
        <f t="shared" si="10"/>
        <v>100</v>
      </c>
      <c r="T40" s="1577" t="s">
        <v>8</v>
      </c>
      <c r="U40" s="1578">
        <f t="shared" si="11"/>
        <v>100</v>
      </c>
      <c r="V40" s="1577" t="s">
        <v>8</v>
      </c>
      <c r="W40" s="1578">
        <f t="shared" si="12"/>
        <v>100</v>
      </c>
      <c r="X40" s="1571"/>
      <c r="Y40" s="3395"/>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395"/>
      <c r="Q41" s="1576">
        <f t="shared" si="14"/>
        <v>111</v>
      </c>
      <c r="R41" s="1577" t="s">
        <v>8</v>
      </c>
      <c r="S41" s="1578">
        <f t="shared" si="10"/>
        <v>100</v>
      </c>
      <c r="T41" s="1577" t="s">
        <v>8</v>
      </c>
      <c r="U41" s="1578">
        <f t="shared" si="11"/>
        <v>100</v>
      </c>
      <c r="V41" s="1577" t="s">
        <v>8</v>
      </c>
      <c r="W41" s="1578">
        <f t="shared" si="12"/>
        <v>100</v>
      </c>
      <c r="X41" s="1571"/>
      <c r="Y41" s="3395"/>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395"/>
      <c r="Q42" s="1576">
        <f t="shared" si="14"/>
        <v>111</v>
      </c>
      <c r="R42" s="1581" t="s">
        <v>8</v>
      </c>
      <c r="S42" s="1582">
        <f t="shared" si="10"/>
        <v>100</v>
      </c>
      <c r="T42" s="1581" t="s">
        <v>8</v>
      </c>
      <c r="U42" s="1582">
        <f t="shared" si="11"/>
        <v>100</v>
      </c>
      <c r="V42" s="1581" t="s">
        <v>8</v>
      </c>
      <c r="W42" s="1582">
        <f t="shared" si="12"/>
        <v>100</v>
      </c>
      <c r="X42" s="1583"/>
      <c r="Y42" s="3395"/>
      <c r="Z42" s="1584">
        <f t="shared" si="13"/>
        <v>111</v>
      </c>
      <c r="AA42" s="1580">
        <f t="shared" si="3"/>
        <v>1</v>
      </c>
      <c r="AB42" s="1580">
        <f t="shared" si="4"/>
        <v>1</v>
      </c>
      <c r="AC42" s="1580">
        <f t="shared" si="5"/>
        <v>1</v>
      </c>
    </row>
    <row r="43" spans="1:29" ht="15">
      <c r="A43" s="610" t="s">
        <v>557</v>
      </c>
      <c r="B43" s="611" t="s">
        <v>2943</v>
      </c>
      <c r="C43" s="612" t="s">
        <v>1</v>
      </c>
      <c r="D43" s="613"/>
      <c r="E43" s="614"/>
      <c r="F43" s="615"/>
      <c r="G43" s="616"/>
      <c r="H43" s="617"/>
      <c r="I43" s="614"/>
      <c r="J43" s="617"/>
      <c r="K43" s="1343"/>
      <c r="L43" s="2153"/>
      <c r="M43" s="2143"/>
      <c r="N43" s="2143"/>
      <c r="O43" s="2154"/>
      <c r="P43" s="3358" t="str">
        <f>A43</f>
        <v>成交单价</v>
      </c>
      <c r="Q43" s="3358"/>
      <c r="R43" s="3359">
        <f>E43</f>
        <v>0</v>
      </c>
      <c r="S43" s="3359"/>
      <c r="T43" s="3359">
        <f>G43</f>
        <v>0</v>
      </c>
      <c r="U43" s="3359"/>
      <c r="V43" s="3359">
        <f>I43</f>
        <v>0</v>
      </c>
      <c r="W43" s="3359"/>
      <c r="X43" s="1563"/>
      <c r="Y43" s="1585"/>
      <c r="Z43" s="1563"/>
      <c r="AA43" s="1563"/>
      <c r="AB43" s="1563"/>
      <c r="AC43" s="1563"/>
    </row>
    <row r="44" spans="1:29" ht="15.75" thickBot="1">
      <c r="A44" s="618" t="s">
        <v>2704</v>
      </c>
      <c r="B44" s="619"/>
      <c r="C44" s="620" t="e">
        <f>R45</f>
        <v>#DIV/0!</v>
      </c>
      <c r="D44" s="621"/>
      <c r="E44" s="620" t="e">
        <f>R44</f>
        <v>#DIV/0!</v>
      </c>
      <c r="F44" s="622"/>
      <c r="G44" s="623" t="e">
        <f>T44</f>
        <v>#DIV/0!</v>
      </c>
      <c r="H44" s="621"/>
      <c r="I44" s="620" t="e">
        <f>V44</f>
        <v>#DIV/0!</v>
      </c>
      <c r="J44" s="621"/>
      <c r="K44" s="1344"/>
      <c r="L44" s="2153"/>
      <c r="M44" s="2143"/>
      <c r="N44" s="2143"/>
      <c r="O44" s="2154"/>
      <c r="P44" s="3358" t="str">
        <f>A44</f>
        <v>比较价格（元/平方米）</v>
      </c>
      <c r="Q44" s="3358"/>
      <c r="R44" s="3360" t="e">
        <f>ROUND(PRODUCT(R43,AA9:AA42),0)</f>
        <v>#DIV/0!</v>
      </c>
      <c r="S44" s="3360"/>
      <c r="T44" s="3360" t="e">
        <f>ROUND(PRODUCT(T43,AB9:AB42),0)</f>
        <v>#DIV/0!</v>
      </c>
      <c r="U44" s="3360"/>
      <c r="V44" s="3360" t="e">
        <f>ROUND(PRODUCT(V43,AC9:AC42),0)</f>
        <v>#DIV/0!</v>
      </c>
      <c r="W44" s="3360"/>
      <c r="X44" s="1563"/>
      <c r="Y44" s="1563"/>
      <c r="Z44" s="1563"/>
      <c r="AA44" s="1563"/>
      <c r="AB44" s="1563"/>
      <c r="AC44" s="1563"/>
    </row>
    <row r="45" spans="1:29" ht="15.75" thickBot="1">
      <c r="A45" s="624" t="s">
        <v>2944</v>
      </c>
      <c r="B45" s="625"/>
      <c r="C45" s="626" t="e">
        <f>R45</f>
        <v>#DIV/0!</v>
      </c>
      <c r="D45" s="626"/>
      <c r="E45" s="626"/>
      <c r="F45" s="626"/>
      <c r="G45" s="626"/>
      <c r="H45" s="626"/>
      <c r="I45" s="626"/>
      <c r="J45" s="626"/>
      <c r="K45" s="1345"/>
      <c r="L45" s="2153"/>
      <c r="M45" s="2143"/>
      <c r="N45" s="2143"/>
      <c r="O45" s="2154"/>
      <c r="P45" s="3355" t="str">
        <f>A45</f>
        <v>估价对象XX用房的比较价格（楼面单价，元/平方米）</v>
      </c>
      <c r="Q45" s="3356"/>
      <c r="R45" s="3357" t="e">
        <f>ROUND(AVERAGE(R44:V44),0)</f>
        <v>#DIV/0!</v>
      </c>
      <c r="S45" s="3357"/>
      <c r="T45" s="3357"/>
      <c r="U45" s="3357"/>
      <c r="V45" s="3357"/>
      <c r="W45" s="3357"/>
      <c r="X45" s="1563"/>
      <c r="Y45" s="1563"/>
      <c r="Z45" s="1563"/>
      <c r="AA45" s="1563"/>
      <c r="AB45" s="1563"/>
      <c r="AC45" s="1563"/>
    </row>
    <row r="46" spans="1:29">
      <c r="A46" s="2154"/>
      <c r="B46" s="2154"/>
      <c r="C46" s="2154"/>
      <c r="D46" s="2154"/>
      <c r="E46" s="2154"/>
      <c r="F46" s="2154"/>
      <c r="G46" s="2157"/>
      <c r="H46" s="2154"/>
      <c r="I46" s="2154"/>
      <c r="J46" s="2154"/>
      <c r="K46" s="2158"/>
      <c r="L46" s="2159"/>
      <c r="M46" s="2143"/>
      <c r="N46" s="2143"/>
      <c r="O46" s="2154"/>
      <c r="P46" s="1563"/>
      <c r="Q46" s="1563"/>
      <c r="R46" s="1563"/>
      <c r="S46" s="1563"/>
      <c r="T46" s="1563"/>
      <c r="U46" s="1563"/>
      <c r="V46" s="1563"/>
      <c r="W46" s="1563"/>
      <c r="X46" s="1563"/>
      <c r="Y46" s="1563"/>
      <c r="Z46" s="1563"/>
      <c r="AA46" s="1563"/>
      <c r="AB46" s="1563"/>
      <c r="AC46" s="1563"/>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8" customFormat="1" ht="13.5" customHeight="1">
      <c r="A50" s="2155"/>
      <c r="B50" s="2155"/>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8"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4" t="s">
        <v>1728</v>
      </c>
      <c r="D52" s="2236" t="s">
        <v>2299</v>
      </c>
      <c r="E52" s="634" t="s">
        <v>563</v>
      </c>
      <c r="F52" s="1956" t="s">
        <v>564</v>
      </c>
      <c r="G52" s="3408" t="s">
        <v>2290</v>
      </c>
      <c r="H52" s="3409"/>
      <c r="I52" s="1957" t="s">
        <v>1952</v>
      </c>
      <c r="J52" s="1559">
        <f>项目基本情况!F41</f>
        <v>0</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9" customFormat="1" ht="12.75">
      <c r="A53" s="636" t="s">
        <v>565</v>
      </c>
      <c r="B53" s="637" t="e">
        <f>C45</f>
        <v>#DIV/0!</v>
      </c>
      <c r="C53" s="638">
        <v>1</v>
      </c>
      <c r="D53" s="2237">
        <v>1</v>
      </c>
      <c r="E53" s="638">
        <f>'数据-汇总表'!E8+'数据-汇总表'!E9</f>
        <v>41016</v>
      </c>
      <c r="F53" s="1955" t="e">
        <f t="shared" ref="F53:F62" si="15">ROUND(B53*E53/10000,0)</f>
        <v>#DIV/0!</v>
      </c>
      <c r="G53" s="3410"/>
      <c r="H53" s="3411"/>
      <c r="I53" s="1958">
        <v>1</v>
      </c>
      <c r="J53" s="1560">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9" customFormat="1" ht="12.75">
      <c r="A54" s="640" t="s">
        <v>566</v>
      </c>
      <c r="B54" s="641" t="e">
        <f>ROUND($C$45*C54*D54,0)</f>
        <v>#DIV/0!</v>
      </c>
      <c r="C54" s="381">
        <f t="shared" ref="C54:C62" si="16">IF($C$52="北京市系数",I54,J54)</f>
        <v>0</v>
      </c>
      <c r="D54" s="2238">
        <v>0.25</v>
      </c>
      <c r="E54" s="642"/>
      <c r="F54" s="1955" t="e">
        <f t="shared" si="15"/>
        <v>#DIV/0!</v>
      </c>
      <c r="G54" s="3412" t="s">
        <v>2291</v>
      </c>
      <c r="H54" s="1959">
        <f>项目基本情况!B43</f>
        <v>0</v>
      </c>
      <c r="I54" s="1958">
        <f>SUMIF(修正!$A$45:$A$56,H54,修正!B45:B56)</f>
        <v>0</v>
      </c>
      <c r="J54" s="1562"/>
      <c r="K54" s="2164"/>
      <c r="L54" s="2164"/>
      <c r="M54" s="2164"/>
      <c r="N54" s="2164"/>
      <c r="O54" s="2164"/>
      <c r="P54" s="2164"/>
      <c r="Q54" s="2164"/>
      <c r="R54" s="2164"/>
      <c r="S54" s="2164"/>
      <c r="T54" s="2164"/>
      <c r="U54" s="2164"/>
      <c r="V54" s="2164"/>
      <c r="W54" s="2164"/>
      <c r="X54" s="2164"/>
      <c r="Y54" s="2164"/>
      <c r="Z54" s="2164"/>
      <c r="AA54" s="2164"/>
      <c r="AB54" s="2164"/>
      <c r="AC54" s="2164"/>
    </row>
    <row r="55" spans="1:29" s="1349" customFormat="1" ht="12.75">
      <c r="A55" s="640" t="s">
        <v>567</v>
      </c>
      <c r="B55" s="641" t="e">
        <f t="shared" ref="B55:B62" si="17">ROUND($C$45*C55*D55,0)</f>
        <v>#DIV/0!</v>
      </c>
      <c r="C55" s="381">
        <f t="shared" si="16"/>
        <v>0</v>
      </c>
      <c r="D55" s="2238">
        <v>0.25</v>
      </c>
      <c r="E55" s="642"/>
      <c r="F55" s="1955" t="e">
        <f t="shared" si="15"/>
        <v>#DIV/0!</v>
      </c>
      <c r="G55" s="3412"/>
      <c r="H55" s="1960">
        <f>项目基本情况!B43</f>
        <v>0</v>
      </c>
      <c r="I55" s="1958">
        <f>SUMIF(修正!$A$45:$A$56,H55,修正!C45:C56)</f>
        <v>0</v>
      </c>
      <c r="J55" s="1562"/>
      <c r="K55" s="2164"/>
      <c r="L55" s="2164"/>
      <c r="M55" s="2164"/>
      <c r="N55" s="2164"/>
      <c r="O55" s="2164"/>
      <c r="P55" s="2164"/>
      <c r="Q55" s="2164"/>
      <c r="R55" s="2164"/>
      <c r="S55" s="2164"/>
      <c r="T55" s="2164"/>
      <c r="U55" s="2164"/>
      <c r="V55" s="2164"/>
      <c r="W55" s="2164"/>
      <c r="X55" s="2164"/>
      <c r="Y55" s="2164"/>
      <c r="Z55" s="2164"/>
      <c r="AA55" s="2164"/>
      <c r="AB55" s="2164"/>
      <c r="AC55" s="2164"/>
    </row>
    <row r="56" spans="1:29" s="1349" customFormat="1" ht="12.75">
      <c r="A56" s="640" t="s">
        <v>568</v>
      </c>
      <c r="B56" s="641" t="e">
        <f t="shared" si="17"/>
        <v>#DIV/0!</v>
      </c>
      <c r="C56" s="381">
        <f t="shared" si="16"/>
        <v>0</v>
      </c>
      <c r="D56" s="2238">
        <v>0.25</v>
      </c>
      <c r="E56" s="642"/>
      <c r="F56" s="1955" t="e">
        <f t="shared" si="15"/>
        <v>#DIV/0!</v>
      </c>
      <c r="G56" s="3412"/>
      <c r="H56" s="1960">
        <f>项目基本情况!B43</f>
        <v>0</v>
      </c>
      <c r="I56" s="1958">
        <f>SUMIF(修正!$A$45:$A$56,H56,修正!D45:D56)</f>
        <v>0</v>
      </c>
      <c r="J56" s="1562"/>
      <c r="K56" s="2164"/>
      <c r="L56" s="2164"/>
      <c r="M56" s="2164"/>
      <c r="N56" s="2164"/>
      <c r="O56" s="2164"/>
      <c r="P56" s="2164"/>
      <c r="Q56" s="2164"/>
      <c r="R56" s="2164"/>
      <c r="S56" s="2164"/>
      <c r="T56" s="2164"/>
      <c r="U56" s="2164"/>
      <c r="V56" s="2164"/>
      <c r="W56" s="2164"/>
      <c r="X56" s="2164"/>
      <c r="Y56" s="2164"/>
      <c r="Z56" s="2164"/>
      <c r="AA56" s="2164"/>
      <c r="AB56" s="2164"/>
      <c r="AC56" s="2164"/>
    </row>
    <row r="57" spans="1:29" s="1349" customFormat="1" ht="12.75">
      <c r="A57" s="640" t="s">
        <v>569</v>
      </c>
      <c r="B57" s="641" t="e">
        <f t="shared" si="17"/>
        <v>#DIV/0!</v>
      </c>
      <c r="C57" s="381">
        <f t="shared" si="16"/>
        <v>0</v>
      </c>
      <c r="D57" s="2238">
        <v>0.25</v>
      </c>
      <c r="E57" s="642"/>
      <c r="F57" s="1955" t="e">
        <f t="shared" si="15"/>
        <v>#DIV/0!</v>
      </c>
      <c r="G57" s="3412"/>
      <c r="H57" s="1960">
        <f>项目基本情况!B43</f>
        <v>0</v>
      </c>
      <c r="I57" s="1958">
        <f>SUMIF(修正!$A$45:$A$56,H57,修正!E45:E56)</f>
        <v>0</v>
      </c>
      <c r="J57" s="1562"/>
      <c r="K57" s="2164"/>
      <c r="L57" s="2164"/>
      <c r="M57" s="2164"/>
      <c r="N57" s="2164"/>
      <c r="O57" s="2164"/>
      <c r="P57" s="2164"/>
      <c r="Q57" s="2164"/>
      <c r="R57" s="2164"/>
      <c r="S57" s="2164"/>
      <c r="T57" s="2164"/>
      <c r="U57" s="2164"/>
      <c r="V57" s="2164"/>
      <c r="W57" s="2164"/>
      <c r="X57" s="2164"/>
      <c r="Y57" s="2164"/>
      <c r="Z57" s="2164"/>
      <c r="AA57" s="2164"/>
      <c r="AB57" s="2164"/>
      <c r="AC57" s="2164"/>
    </row>
    <row r="58" spans="1:29" s="1349" customFormat="1" ht="12.75">
      <c r="A58" s="2340" t="s">
        <v>2333</v>
      </c>
      <c r="B58" s="641" t="e">
        <f t="shared" si="17"/>
        <v>#DIV/0!</v>
      </c>
      <c r="C58" s="381">
        <f t="shared" si="16"/>
        <v>0</v>
      </c>
      <c r="D58" s="2238">
        <v>0.25</v>
      </c>
      <c r="E58" s="644">
        <f>'数据-汇总表'!E11</f>
        <v>0</v>
      </c>
      <c r="F58" s="1955" t="e">
        <f t="shared" si="15"/>
        <v>#DIV/0!</v>
      </c>
      <c r="G58" s="1961" t="s">
        <v>2292</v>
      </c>
      <c r="H58" s="1960">
        <f>项目基本情况!C43</f>
        <v>0</v>
      </c>
      <c r="I58" s="1958">
        <f>SUMIF(修正!$A$45:$A$56,H58,修正!F45:F56)</f>
        <v>0</v>
      </c>
      <c r="J58" s="1562"/>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570</v>
      </c>
      <c r="B59" s="641" t="e">
        <f t="shared" si="17"/>
        <v>#DIV/0!</v>
      </c>
      <c r="C59" s="381">
        <f t="shared" si="16"/>
        <v>0</v>
      </c>
      <c r="D59" s="2238">
        <v>0.25</v>
      </c>
      <c r="E59" s="644">
        <f>'数据-汇总表'!E12</f>
        <v>0</v>
      </c>
      <c r="F59" s="1955" t="e">
        <f t="shared" si="15"/>
        <v>#DIV/0!</v>
      </c>
      <c r="G59" s="1951" t="s">
        <v>1681</v>
      </c>
      <c r="H59" s="1959">
        <f>IF(G59="商业",项目基本情况!B43,IF(G59="办公",项目基本情况!C43,IF(G59="住宅",项目基本情况!D43,项目基本情况!E43)))</f>
        <v>0</v>
      </c>
      <c r="I59" s="1958">
        <f>SUMIF(修正!$A$45:$A$56,H59,修正!G45:G56)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571</v>
      </c>
      <c r="B60" s="641" t="e">
        <f t="shared" si="17"/>
        <v>#DIV/0!</v>
      </c>
      <c r="C60" s="381">
        <f t="shared" si="16"/>
        <v>0</v>
      </c>
      <c r="D60" s="2238">
        <v>0.25</v>
      </c>
      <c r="E60" s="644">
        <f>'数据-汇总表'!E13</f>
        <v>0</v>
      </c>
      <c r="F60" s="1955" t="e">
        <f t="shared" si="15"/>
        <v>#DIV/0!</v>
      </c>
      <c r="G60" s="1951" t="s">
        <v>926</v>
      </c>
      <c r="H60" s="1959">
        <f>IF(G60="商业",项目基本情况!B43,IF(G60="办公",项目基本情况!C43,IF(G60="住宅",项目基本情况!D43,项目基本情况!E43)))</f>
        <v>0</v>
      </c>
      <c r="I60" s="1958">
        <f>SUMIF(修正!$A$45:$A$56,H60,修正!H45:H56)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572</v>
      </c>
      <c r="B61" s="641" t="e">
        <f t="shared" si="17"/>
        <v>#DIV/0!</v>
      </c>
      <c r="C61" s="381">
        <f t="shared" si="16"/>
        <v>0</v>
      </c>
      <c r="D61" s="2238">
        <v>0.25</v>
      </c>
      <c r="E61" s="644">
        <f>'数据-汇总表'!E14</f>
        <v>0</v>
      </c>
      <c r="F61" s="1955" t="e">
        <f t="shared" si="15"/>
        <v>#DIV/0!</v>
      </c>
      <c r="G61" s="1961" t="s">
        <v>2291</v>
      </c>
      <c r="H61" s="1960">
        <f>项目基本情况!B43</f>
        <v>0</v>
      </c>
      <c r="I61" s="1958">
        <f>SUMIF(修正!$A$45:$A$56,H61,修正!H45:H56)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3.5" thickBot="1">
      <c r="A62" s="640" t="s">
        <v>573</v>
      </c>
      <c r="B62" s="641" t="e">
        <f t="shared" si="17"/>
        <v>#DIV/0!</v>
      </c>
      <c r="C62" s="381">
        <f t="shared" si="16"/>
        <v>0</v>
      </c>
      <c r="D62" s="2238">
        <v>0.25</v>
      </c>
      <c r="E62" s="644">
        <f>'数据-汇总表'!E15</f>
        <v>0</v>
      </c>
      <c r="F62" s="1955" t="e">
        <f t="shared" si="15"/>
        <v>#DIV/0!</v>
      </c>
      <c r="G62" s="1962" t="s">
        <v>2292</v>
      </c>
      <c r="H62" s="1963">
        <f>项目基本情况!C43</f>
        <v>0</v>
      </c>
      <c r="I62" s="1958">
        <f>SUMIF(修正!$A$45:$A$56,H62,修正!H45:H56)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3.5" thickBot="1">
      <c r="A63" s="645" t="s">
        <v>574</v>
      </c>
      <c r="B63" s="646" t="s">
        <v>17</v>
      </c>
      <c r="C63" s="646" t="s">
        <v>18</v>
      </c>
      <c r="D63" s="646" t="s">
        <v>2300</v>
      </c>
      <c r="E63" s="646">
        <f>IF(B43="楼面地价",SUM(E53:E62),'数据-汇总表'!D3)</f>
        <v>41016.61</v>
      </c>
      <c r="F63" s="647"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2017-9-1</v>
      </c>
      <c r="D65" s="2837">
        <f>EDATE(C65,-3)</f>
        <v>42887</v>
      </c>
      <c r="E65" s="2837">
        <f t="shared" ref="E65:N65" si="18">EDATE(D65,-3)</f>
        <v>42795</v>
      </c>
      <c r="F65" s="2837">
        <f t="shared" si="18"/>
        <v>42705</v>
      </c>
      <c r="G65" s="2837">
        <f t="shared" si="18"/>
        <v>42614</v>
      </c>
      <c r="H65" s="2837">
        <f t="shared" si="18"/>
        <v>42522</v>
      </c>
      <c r="I65" s="2837">
        <f t="shared" si="18"/>
        <v>42430</v>
      </c>
      <c r="J65" s="2837">
        <f t="shared" si="18"/>
        <v>42339</v>
      </c>
      <c r="K65" s="2837">
        <f t="shared" si="18"/>
        <v>42248</v>
      </c>
      <c r="L65" s="2837">
        <f t="shared" si="18"/>
        <v>42156</v>
      </c>
      <c r="M65" s="2837">
        <f t="shared" si="18"/>
        <v>42064</v>
      </c>
      <c r="N65" s="2837">
        <f t="shared" si="18"/>
        <v>41974</v>
      </c>
      <c r="O65" s="2154"/>
      <c r="P65" s="2154"/>
      <c r="Q65" s="2154"/>
      <c r="R65" s="2154"/>
      <c r="S65" s="2154"/>
      <c r="T65" s="2154"/>
      <c r="U65" s="2154"/>
      <c r="V65" s="2154"/>
      <c r="W65" s="2154"/>
      <c r="X65" s="2154"/>
      <c r="Y65" s="2154"/>
      <c r="Z65" s="2154"/>
      <c r="AA65" s="2154"/>
      <c r="AB65" s="2154"/>
      <c r="AC65" s="2154"/>
    </row>
    <row r="66" spans="1:29" ht="21.75" thickBot="1">
      <c r="A66" s="1588" t="s">
        <v>575</v>
      </c>
      <c r="B66" s="1563"/>
      <c r="C66" s="1587"/>
      <c r="D66" s="1587"/>
      <c r="E66" s="1587"/>
      <c r="F66" s="1589"/>
      <c r="G66" s="1589"/>
      <c r="H66" s="1587"/>
      <c r="I66" s="1587"/>
      <c r="J66" s="1587"/>
      <c r="K66" s="1590"/>
      <c r="L66" s="1586"/>
      <c r="M66" s="1587"/>
      <c r="N66" s="1587"/>
      <c r="O66" s="2166"/>
      <c r="P66" s="2166"/>
      <c r="Q66" s="2167"/>
      <c r="R66" s="2154"/>
      <c r="S66" s="2154"/>
      <c r="T66" s="2154"/>
      <c r="U66" s="2154"/>
      <c r="V66" s="2154"/>
      <c r="W66" s="2154"/>
      <c r="X66" s="2154"/>
      <c r="Y66" s="2154"/>
      <c r="Z66" s="2154"/>
      <c r="AA66" s="2154"/>
      <c r="AB66" s="2154"/>
      <c r="AC66" s="2154"/>
    </row>
    <row r="67" spans="1:29" s="1350" customFormat="1" ht="15">
      <c r="A67" s="2602" t="s">
        <v>2541</v>
      </c>
      <c r="B67" s="649"/>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3" customFormat="1" ht="27.75" customHeight="1">
      <c r="A68" s="2836" t="s">
        <v>2660</v>
      </c>
      <c r="B68" s="482" t="str">
        <f>"北京市平均增长率"&amp;TEXT(基准地价!P24,"0.00%")</f>
        <v>北京市平均增长率1.37%</v>
      </c>
      <c r="C68" s="897">
        <v>100</v>
      </c>
      <c r="D68" s="733"/>
      <c r="E68" s="733"/>
      <c r="F68" s="733"/>
      <c r="G68" s="733"/>
      <c r="H68" s="733"/>
      <c r="I68" s="733"/>
      <c r="J68" s="733"/>
      <c r="K68" s="733"/>
      <c r="L68" s="733"/>
      <c r="M68" s="2830"/>
      <c r="N68" s="2831"/>
      <c r="O68" s="2171"/>
      <c r="P68" s="2167"/>
      <c r="Q68" s="1998"/>
      <c r="R68" s="1998"/>
      <c r="S68" s="1998"/>
      <c r="T68" s="1998"/>
      <c r="U68" s="1998"/>
      <c r="V68" s="1998"/>
      <c r="W68" s="1998"/>
      <c r="X68" s="1998"/>
      <c r="Y68" s="1998"/>
      <c r="Z68" s="1998"/>
      <c r="AA68" s="1998"/>
      <c r="AB68" s="1998"/>
      <c r="AC68" s="1998"/>
    </row>
    <row r="69" spans="1:29" s="1223" customFormat="1" ht="15.75" thickBot="1">
      <c r="A69" s="656" t="s">
        <v>576</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2"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2"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2"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2"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2"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2"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2" customFormat="1" ht="15.75" thickTop="1">
      <c r="A93" s="690"/>
      <c r="B93" s="1901" t="s">
        <v>2556</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2" customFormat="1" ht="15.75" thickTop="1">
      <c r="A95" s="690"/>
      <c r="B95" s="2631" t="s">
        <v>2558</v>
      </c>
      <c r="C95" s="2632" t="s">
        <v>2559</v>
      </c>
      <c r="D95" s="2632" t="s">
        <v>2560</v>
      </c>
      <c r="E95" s="2632" t="s">
        <v>2561</v>
      </c>
      <c r="F95" s="2632" t="s">
        <v>2562</v>
      </c>
      <c r="G95" s="2632" t="s">
        <v>2563</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2"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2"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c r="D110" s="733"/>
      <c r="E110" s="733"/>
      <c r="F110" s="733"/>
      <c r="G110" s="733"/>
      <c r="H110" s="733"/>
      <c r="I110" s="733"/>
      <c r="J110" s="734"/>
      <c r="K110" s="734"/>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c r="D111" s="729"/>
      <c r="E111" s="729"/>
      <c r="F111" s="729"/>
      <c r="G111" s="729"/>
      <c r="H111" s="729"/>
      <c r="I111" s="729"/>
      <c r="J111" s="729"/>
      <c r="K111" s="729"/>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2" customFormat="1" ht="15" thickTop="1">
      <c r="A114" s="731"/>
      <c r="B114" s="1901" t="s">
        <v>2431</v>
      </c>
      <c r="C114" s="1380"/>
      <c r="D114" s="1380"/>
      <c r="E114" s="1380"/>
      <c r="F114" s="1380"/>
      <c r="G114" s="1380"/>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2"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2"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5" priority="14" stopIfTrue="1" operator="containsText" text="超过">
      <formula>NOT(ISERROR(SEARCH("超过",F48)))</formula>
    </cfRule>
  </conditionalFormatting>
  <conditionalFormatting sqref="J50">
    <cfRule type="containsText" dxfId="104" priority="13" stopIfTrue="1" operator="containsText" text="超过">
      <formula>NOT(ISERROR(SEARCH("超过",J50)))</formula>
    </cfRule>
  </conditionalFormatting>
  <conditionalFormatting sqref="H50">
    <cfRule type="containsText" dxfId="103" priority="12" stopIfTrue="1" operator="containsText" text="超过">
      <formula>NOT(ISERROR(SEARCH("超过",H50)))</formula>
    </cfRule>
  </conditionalFormatting>
  <conditionalFormatting sqref="F50">
    <cfRule type="containsText" dxfId="102" priority="11" stopIfTrue="1" operator="containsText" text="超过">
      <formula>NOT(ISERROR(SEARCH("超过",F50)))</formula>
    </cfRule>
  </conditionalFormatting>
  <conditionalFormatting sqref="F49 H49 J49">
    <cfRule type="containsText" dxfId="101" priority="10" stopIfTrue="1" operator="containsText" text="超过">
      <formula>NOT(ISERROR(SEARCH("超过",F49)))</formula>
    </cfRule>
  </conditionalFormatting>
  <conditionalFormatting sqref="E48">
    <cfRule type="expression" dxfId="100" priority="9" stopIfTrue="1">
      <formula>$F$48="超过30%"</formula>
    </cfRule>
  </conditionalFormatting>
  <conditionalFormatting sqref="G50">
    <cfRule type="expression" dxfId="99" priority="8" stopIfTrue="1">
      <formula>$H$50="超过30%"</formula>
    </cfRule>
  </conditionalFormatting>
  <conditionalFormatting sqref="E50">
    <cfRule type="expression" dxfId="98" priority="6" stopIfTrue="1">
      <formula>$F$50="超过30%"</formula>
    </cfRule>
  </conditionalFormatting>
  <conditionalFormatting sqref="G48">
    <cfRule type="expression" dxfId="97" priority="5" stopIfTrue="1">
      <formula>$H$48="超过30%"</formula>
    </cfRule>
  </conditionalFormatting>
  <conditionalFormatting sqref="G49">
    <cfRule type="expression" dxfId="96" priority="4" stopIfTrue="1">
      <formula>$H$49="超过20%"</formula>
    </cfRule>
  </conditionalFormatting>
  <conditionalFormatting sqref="I48">
    <cfRule type="expression" dxfId="95" priority="3" stopIfTrue="1">
      <formula>$J$48="超过30%"</formula>
    </cfRule>
  </conditionalFormatting>
  <conditionalFormatting sqref="I49">
    <cfRule type="expression" dxfId="94" priority="2" stopIfTrue="1">
      <formula>$J$49="超过20%"</formula>
    </cfRule>
  </conditionalFormatting>
  <conditionalFormatting sqref="I50">
    <cfRule type="expression" dxfId="93" priority="1" stopIfTrue="1">
      <formula>$J$50="超过30%"</formula>
    </cfRule>
  </conditionalFormatting>
  <conditionalFormatting sqref="E49">
    <cfRule type="expression" dxfId="9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3" customFormat="1" ht="19.5" customHeight="1">
      <c r="A18" s="3351" t="s">
        <v>1011</v>
      </c>
      <c r="B18" s="1157" t="s">
        <v>1450</v>
      </c>
      <c r="C18" s="1134" t="s">
        <v>1451</v>
      </c>
      <c r="D18" s="1135"/>
      <c r="E18" s="1157">
        <v>1</v>
      </c>
      <c r="F18" s="1136" t="s">
        <v>1452</v>
      </c>
      <c r="G18" s="1137"/>
      <c r="H18" s="1108"/>
      <c r="I18" s="1108"/>
    </row>
    <row r="19" spans="1:9" s="1603" customFormat="1" ht="19.5" customHeight="1">
      <c r="A19" s="3351"/>
      <c r="B19" s="3351" t="s">
        <v>1453</v>
      </c>
      <c r="C19" s="1134" t="s">
        <v>1454</v>
      </c>
      <c r="D19" s="1135"/>
      <c r="E19" s="1157">
        <v>0.9</v>
      </c>
      <c r="F19" s="1136" t="s">
        <v>1455</v>
      </c>
      <c r="G19" s="1137"/>
      <c r="H19" s="1108"/>
      <c r="I19" s="1108"/>
    </row>
    <row r="20" spans="1:9" s="1603" customFormat="1" ht="19.5" customHeight="1">
      <c r="A20" s="3351"/>
      <c r="B20" s="3351"/>
      <c r="C20" s="1134" t="s">
        <v>1456</v>
      </c>
      <c r="D20" s="1135"/>
      <c r="E20" s="1157">
        <v>1.1000000000000001</v>
      </c>
      <c r="F20" s="1136" t="s">
        <v>1457</v>
      </c>
      <c r="G20" s="1137"/>
      <c r="H20" s="1108"/>
      <c r="I20" s="1108"/>
    </row>
    <row r="21" spans="1:9" s="1603" customFormat="1" ht="19.5" customHeight="1">
      <c r="A21" s="3351"/>
      <c r="B21" s="3351"/>
      <c r="C21" s="1134" t="s">
        <v>1458</v>
      </c>
      <c r="D21" s="1135"/>
      <c r="E21" s="1157">
        <v>0.8</v>
      </c>
      <c r="F21" s="1136" t="s">
        <v>1459</v>
      </c>
      <c r="G21" s="1137"/>
      <c r="H21" s="1108"/>
      <c r="I21" s="1108"/>
    </row>
    <row r="22" spans="1:9" s="1603" customFormat="1" ht="19.5" customHeight="1">
      <c r="A22" s="3351"/>
      <c r="B22" s="3351"/>
      <c r="C22" s="1134" t="s">
        <v>1460</v>
      </c>
      <c r="D22" s="1135"/>
      <c r="E22" s="1157">
        <v>0.5</v>
      </c>
      <c r="F22" s="1136"/>
      <c r="G22" s="1137"/>
      <c r="H22" s="1108"/>
      <c r="I22" s="1108"/>
    </row>
    <row r="23" spans="1:9" s="1603" customFormat="1" ht="19.5" customHeight="1">
      <c r="A23" s="3351" t="s">
        <v>1033</v>
      </c>
      <c r="B23" s="1157" t="s">
        <v>1450</v>
      </c>
      <c r="C23" s="1134" t="s">
        <v>1461</v>
      </c>
      <c r="D23" s="1135"/>
      <c r="E23" s="1157">
        <v>1</v>
      </c>
      <c r="F23" s="1136" t="s">
        <v>1462</v>
      </c>
      <c r="G23" s="1137"/>
      <c r="H23" s="1108"/>
      <c r="I23" s="1108"/>
    </row>
    <row r="24" spans="1:9" s="1603" customFormat="1" ht="19.5" customHeight="1">
      <c r="A24" s="3351"/>
      <c r="B24" s="3351" t="s">
        <v>1453</v>
      </c>
      <c r="C24" s="1134" t="s">
        <v>1463</v>
      </c>
      <c r="D24" s="1135"/>
      <c r="E24" s="1157">
        <v>0.5</v>
      </c>
      <c r="F24" s="1136"/>
      <c r="G24" s="1137"/>
      <c r="H24" s="1108"/>
      <c r="I24" s="1108"/>
    </row>
    <row r="25" spans="1:9" s="1603" customFormat="1" ht="19.5" customHeight="1">
      <c r="A25" s="3351"/>
      <c r="B25" s="3351"/>
      <c r="C25" s="1134" t="s">
        <v>1464</v>
      </c>
      <c r="D25" s="1135"/>
      <c r="E25" s="1157">
        <v>1.1000000000000001</v>
      </c>
      <c r="F25" s="1136"/>
      <c r="G25" s="1137"/>
      <c r="H25" s="1108"/>
      <c r="I25" s="1108"/>
    </row>
    <row r="26" spans="1:9" s="1603" customFormat="1" ht="19.5" customHeight="1">
      <c r="A26" s="3351"/>
      <c r="B26" s="3351"/>
      <c r="C26" s="1134" t="s">
        <v>1465</v>
      </c>
      <c r="D26" s="1135"/>
      <c r="E26" s="1157">
        <v>1.1000000000000001</v>
      </c>
      <c r="F26" s="1136"/>
      <c r="G26" s="1137"/>
      <c r="H26" s="1108"/>
      <c r="I26" s="1108"/>
    </row>
    <row r="27" spans="1:9" s="1603" customFormat="1" ht="19.5" customHeight="1">
      <c r="A27" s="3351"/>
      <c r="B27" s="3351"/>
      <c r="C27" s="1134" t="s">
        <v>1466</v>
      </c>
      <c r="D27" s="1135"/>
      <c r="E27" s="1157">
        <v>0.9</v>
      </c>
      <c r="F27" s="1136" t="s">
        <v>1467</v>
      </c>
      <c r="G27" s="1137"/>
      <c r="H27" s="1108"/>
      <c r="I27" s="1108"/>
    </row>
    <row r="28" spans="1:9" s="1603" customFormat="1" ht="19.5" customHeight="1">
      <c r="A28" s="3351"/>
      <c r="B28" s="3351"/>
      <c r="C28" s="1134" t="s">
        <v>1468</v>
      </c>
      <c r="D28" s="1135"/>
      <c r="E28" s="1157">
        <v>0.9</v>
      </c>
      <c r="F28" s="1136" t="s">
        <v>1469</v>
      </c>
      <c r="G28" s="1137"/>
      <c r="H28" s="1108"/>
      <c r="I28" s="1108"/>
    </row>
    <row r="29" spans="1:9" s="1603" customFormat="1" ht="19.5" customHeight="1">
      <c r="A29" s="3351"/>
      <c r="B29" s="3351"/>
      <c r="C29" s="1134" t="s">
        <v>1470</v>
      </c>
      <c r="D29" s="1135"/>
      <c r="E29" s="1157">
        <v>0.9</v>
      </c>
      <c r="F29" s="1136" t="s">
        <v>1471</v>
      </c>
      <c r="G29" s="1137"/>
      <c r="H29" s="1108"/>
      <c r="I29" s="1108"/>
    </row>
    <row r="30" spans="1:9" s="1603" customFormat="1" ht="19.5" customHeight="1">
      <c r="A30" s="3351"/>
      <c r="B30" s="3351"/>
      <c r="C30" s="1134" t="s">
        <v>1472</v>
      </c>
      <c r="D30" s="1135"/>
      <c r="E30" s="1157">
        <v>0.9</v>
      </c>
      <c r="F30" s="1136" t="s">
        <v>1473</v>
      </c>
      <c r="G30" s="1137"/>
      <c r="H30" s="1108"/>
      <c r="I30" s="1108"/>
    </row>
    <row r="31" spans="1:9" s="1603" customFormat="1" ht="19.5" customHeight="1">
      <c r="A31" s="3351"/>
      <c r="B31" s="3351"/>
      <c r="C31" s="1134" t="s">
        <v>1474</v>
      </c>
      <c r="D31" s="1135"/>
      <c r="E31" s="1157">
        <v>0.8</v>
      </c>
      <c r="F31" s="1136" t="s">
        <v>1475</v>
      </c>
      <c r="G31" s="1137"/>
      <c r="H31" s="1108"/>
      <c r="I31" s="1108"/>
    </row>
    <row r="32" spans="1:9" s="1603" customFormat="1" ht="19.5" customHeight="1">
      <c r="A32" s="3351"/>
      <c r="B32" s="3351"/>
      <c r="C32" s="1134" t="s">
        <v>1476</v>
      </c>
      <c r="D32" s="1135"/>
      <c r="E32" s="1157">
        <v>0.8</v>
      </c>
      <c r="F32" s="1136" t="s">
        <v>1477</v>
      </c>
      <c r="G32" s="1137"/>
      <c r="H32" s="1108"/>
      <c r="I32" s="1108"/>
    </row>
    <row r="33" spans="1:9" s="1603" customFormat="1" ht="19.5" customHeight="1">
      <c r="A33" s="3351" t="s">
        <v>1478</v>
      </c>
      <c r="B33" s="1157" t="s">
        <v>1450</v>
      </c>
      <c r="C33" s="1134" t="s">
        <v>1479</v>
      </c>
      <c r="D33" s="1135"/>
      <c r="E33" s="1157">
        <v>1</v>
      </c>
      <c r="F33" s="1136" t="s">
        <v>1480</v>
      </c>
      <c r="G33" s="1137"/>
      <c r="H33" s="1108"/>
      <c r="I33" s="1108"/>
    </row>
    <row r="34" spans="1:9" s="1603" customFormat="1" ht="19.5" customHeight="1">
      <c r="A34" s="3351"/>
      <c r="B34" s="1157" t="s">
        <v>1453</v>
      </c>
      <c r="C34" s="1134" t="s">
        <v>1481</v>
      </c>
      <c r="D34" s="1135"/>
      <c r="E34" s="1157">
        <v>1.5</v>
      </c>
      <c r="F34" s="1136" t="s">
        <v>1482</v>
      </c>
      <c r="G34" s="1137"/>
      <c r="H34" s="1108"/>
      <c r="I34" s="1108"/>
    </row>
    <row r="35" spans="1:9" s="1603" customFormat="1" ht="19.5" customHeight="1">
      <c r="A35" s="3351" t="s">
        <v>1436</v>
      </c>
      <c r="B35" s="1157" t="s">
        <v>1450</v>
      </c>
      <c r="C35" s="1134" t="s">
        <v>1483</v>
      </c>
      <c r="D35" s="1135"/>
      <c r="E35" s="1157">
        <v>1</v>
      </c>
      <c r="F35" s="1136" t="s">
        <v>1484</v>
      </c>
      <c r="G35" s="1137"/>
      <c r="H35" s="1108"/>
      <c r="I35" s="1108"/>
    </row>
    <row r="36" spans="1:9" s="1603" customFormat="1" ht="19.5" customHeight="1">
      <c r="A36" s="3351"/>
      <c r="B36" s="3351" t="s">
        <v>1453</v>
      </c>
      <c r="C36" s="1134" t="s">
        <v>1485</v>
      </c>
      <c r="D36" s="1135"/>
      <c r="E36" s="1157">
        <v>1</v>
      </c>
      <c r="F36" s="1136" t="s">
        <v>1486</v>
      </c>
      <c r="G36" s="1137"/>
      <c r="H36" s="1108"/>
      <c r="I36" s="1108"/>
    </row>
    <row r="37" spans="1:9" s="1603" customFormat="1" ht="19.5" customHeight="1">
      <c r="A37" s="3351"/>
      <c r="B37" s="3351"/>
      <c r="C37" s="1134" t="s">
        <v>1487</v>
      </c>
      <c r="D37" s="1135"/>
      <c r="E37" s="1157">
        <v>1.5</v>
      </c>
      <c r="F37" s="1136" t="s">
        <v>1488</v>
      </c>
      <c r="G37" s="1137"/>
      <c r="H37" s="1108"/>
      <c r="I37" s="1108"/>
    </row>
    <row r="38" spans="1:9" s="1603" customFormat="1" ht="19.5" customHeight="1">
      <c r="A38" s="3351"/>
      <c r="B38" s="3351"/>
      <c r="C38" s="1134" t="s">
        <v>1489</v>
      </c>
      <c r="D38" s="1135"/>
      <c r="E38" s="1157">
        <v>1</v>
      </c>
      <c r="F38" s="1136" t="s">
        <v>1490</v>
      </c>
      <c r="G38" s="1137"/>
      <c r="H38" s="1108"/>
      <c r="I38" s="1108"/>
    </row>
    <row r="39" spans="1:9" s="1603" customFormat="1" ht="19.5" customHeight="1">
      <c r="A39" s="3351"/>
      <c r="B39" s="3351"/>
      <c r="C39" s="1134" t="s">
        <v>1491</v>
      </c>
      <c r="D39" s="1135"/>
      <c r="E39" s="1157">
        <v>1</v>
      </c>
      <c r="F39" s="1136" t="s">
        <v>1492</v>
      </c>
      <c r="G39" s="1137"/>
      <c r="H39" s="1108"/>
      <c r="I39" s="1108"/>
    </row>
    <row r="40" spans="1:9" s="1603" customFormat="1" ht="19.5" customHeight="1">
      <c r="A40" s="1604" t="s">
        <v>1493</v>
      </c>
      <c r="B40" s="1604"/>
      <c r="C40" s="1604"/>
      <c r="D40" s="1604"/>
      <c r="E40" s="1604"/>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51" t="s">
        <v>1505</v>
      </c>
      <c r="C61" s="1071" t="s">
        <v>1506</v>
      </c>
      <c r="D61" s="1071" t="s">
        <v>1507</v>
      </c>
      <c r="E61" s="1142">
        <v>0.5</v>
      </c>
      <c r="F61" s="1157">
        <v>80</v>
      </c>
      <c r="H61" s="1108">
        <f>SUMIF(C59:C119,基准地价!C8,E59:E119)</f>
        <v>0</v>
      </c>
    </row>
    <row r="62" spans="1:8" s="1108" customFormat="1" ht="24">
      <c r="A62" s="1157">
        <v>2</v>
      </c>
      <c r="B62" s="3351"/>
      <c r="C62" s="1071" t="s">
        <v>1508</v>
      </c>
      <c r="D62" s="1071" t="s">
        <v>1509</v>
      </c>
      <c r="E62" s="1142">
        <v>0.5</v>
      </c>
      <c r="F62" s="1157">
        <v>80</v>
      </c>
    </row>
    <row r="63" spans="1:8" s="1108" customFormat="1" ht="36">
      <c r="A63" s="1157">
        <v>3</v>
      </c>
      <c r="B63" s="3351"/>
      <c r="C63" s="1071" t="s">
        <v>1510</v>
      </c>
      <c r="D63" s="1071" t="s">
        <v>1511</v>
      </c>
      <c r="E63" s="1142">
        <v>0.5</v>
      </c>
      <c r="F63" s="1157">
        <v>80</v>
      </c>
    </row>
    <row r="64" spans="1:8" s="1108" customFormat="1" ht="36">
      <c r="A64" s="1157">
        <v>4</v>
      </c>
      <c r="B64" s="3351"/>
      <c r="C64" s="1071" t="s">
        <v>1512</v>
      </c>
      <c r="D64" s="1071" t="s">
        <v>1513</v>
      </c>
      <c r="E64" s="1142">
        <v>0.4</v>
      </c>
      <c r="F64" s="1157">
        <v>60</v>
      </c>
    </row>
    <row r="65" spans="1:6" s="1108" customFormat="1" ht="36">
      <c r="A65" s="1157">
        <v>5</v>
      </c>
      <c r="B65" s="3351"/>
      <c r="C65" s="1071" t="s">
        <v>1514</v>
      </c>
      <c r="D65" s="1071" t="s">
        <v>1515</v>
      </c>
      <c r="E65" s="1142">
        <v>0.2</v>
      </c>
      <c r="F65" s="1157">
        <v>30</v>
      </c>
    </row>
    <row r="66" spans="1:6" s="1108" customFormat="1" ht="36">
      <c r="A66" s="1157">
        <v>6</v>
      </c>
      <c r="B66" s="3351"/>
      <c r="C66" s="1071" t="s">
        <v>1516</v>
      </c>
      <c r="D66" s="1071" t="s">
        <v>1517</v>
      </c>
      <c r="E66" s="1142">
        <v>0.3</v>
      </c>
      <c r="F66" s="1157">
        <v>50</v>
      </c>
    </row>
    <row r="67" spans="1:6" s="1108" customFormat="1" ht="36">
      <c r="A67" s="1157">
        <v>7</v>
      </c>
      <c r="B67" s="3351"/>
      <c r="C67" s="1071" t="s">
        <v>1518</v>
      </c>
      <c r="D67" s="1071" t="s">
        <v>1519</v>
      </c>
      <c r="E67" s="1142">
        <v>0.2</v>
      </c>
      <c r="F67" s="1157">
        <v>30</v>
      </c>
    </row>
    <row r="68" spans="1:6" s="1108" customFormat="1" ht="36">
      <c r="A68" s="1157">
        <v>8</v>
      </c>
      <c r="B68" s="3351"/>
      <c r="C68" s="1071" t="s">
        <v>1520</v>
      </c>
      <c r="D68" s="1071" t="s">
        <v>1521</v>
      </c>
      <c r="E68" s="1142">
        <v>0.2</v>
      </c>
      <c r="F68" s="1157">
        <v>30</v>
      </c>
    </row>
    <row r="69" spans="1:6" s="1108" customFormat="1" ht="36">
      <c r="A69" s="1157">
        <v>9</v>
      </c>
      <c r="B69" s="3351"/>
      <c r="C69" s="1071" t="s">
        <v>1522</v>
      </c>
      <c r="D69" s="1071" t="s">
        <v>1523</v>
      </c>
      <c r="E69" s="1142">
        <v>0.2</v>
      </c>
      <c r="F69" s="1157">
        <v>30</v>
      </c>
    </row>
    <row r="70" spans="1:6" s="1108" customFormat="1" ht="48">
      <c r="A70" s="1157">
        <v>10</v>
      </c>
      <c r="B70" s="3351"/>
      <c r="C70" s="1071" t="s">
        <v>1524</v>
      </c>
      <c r="D70" s="1071" t="s">
        <v>1525</v>
      </c>
      <c r="E70" s="1142">
        <v>0.2</v>
      </c>
      <c r="F70" s="1157">
        <v>30</v>
      </c>
    </row>
    <row r="71" spans="1:6" s="1108" customFormat="1" ht="48">
      <c r="A71" s="1157">
        <v>11</v>
      </c>
      <c r="B71" s="3351"/>
      <c r="C71" s="1071" t="s">
        <v>1526</v>
      </c>
      <c r="D71" s="1071" t="s">
        <v>1527</v>
      </c>
      <c r="E71" s="1142">
        <v>0.2</v>
      </c>
      <c r="F71" s="1157">
        <v>30</v>
      </c>
    </row>
    <row r="72" spans="1:6" s="1108" customFormat="1" ht="36">
      <c r="A72" s="1157">
        <v>12</v>
      </c>
      <c r="B72" s="3351"/>
      <c r="C72" s="1071" t="s">
        <v>1528</v>
      </c>
      <c r="D72" s="1071" t="s">
        <v>1529</v>
      </c>
      <c r="E72" s="1142">
        <v>0.5</v>
      </c>
      <c r="F72" s="1157">
        <v>80</v>
      </c>
    </row>
    <row r="73" spans="1:6" s="1108" customFormat="1" ht="24">
      <c r="A73" s="1157">
        <v>13</v>
      </c>
      <c r="B73" s="3351"/>
      <c r="C73" s="1071" t="s">
        <v>1530</v>
      </c>
      <c r="D73" s="1071" t="s">
        <v>1531</v>
      </c>
      <c r="E73" s="1142">
        <v>0.4</v>
      </c>
      <c r="F73" s="1157">
        <v>60</v>
      </c>
    </row>
    <row r="74" spans="1:6" s="1108" customFormat="1" ht="24">
      <c r="A74" s="1157">
        <v>14</v>
      </c>
      <c r="B74" s="3351"/>
      <c r="C74" s="1071" t="s">
        <v>1532</v>
      </c>
      <c r="D74" s="1071" t="s">
        <v>1533</v>
      </c>
      <c r="E74" s="1142">
        <v>0.2</v>
      </c>
      <c r="F74" s="1157">
        <v>30</v>
      </c>
    </row>
    <row r="75" spans="1:6" s="1108" customFormat="1" ht="24">
      <c r="A75" s="1157">
        <v>15</v>
      </c>
      <c r="B75" s="3351"/>
      <c r="C75" s="1071" t="s">
        <v>1534</v>
      </c>
      <c r="D75" s="1071" t="s">
        <v>1535</v>
      </c>
      <c r="E75" s="1142">
        <v>0.2</v>
      </c>
      <c r="F75" s="1157">
        <v>30</v>
      </c>
    </row>
    <row r="76" spans="1:6" s="1108" customFormat="1" ht="24">
      <c r="A76" s="1157">
        <v>16</v>
      </c>
      <c r="B76" s="3351" t="s">
        <v>1536</v>
      </c>
      <c r="C76" s="1071" t="s">
        <v>1537</v>
      </c>
      <c r="D76" s="1071" t="s">
        <v>1538</v>
      </c>
      <c r="E76" s="1142">
        <v>0.5</v>
      </c>
      <c r="F76" s="1157">
        <v>80</v>
      </c>
    </row>
    <row r="77" spans="1:6" s="1108" customFormat="1" ht="24">
      <c r="A77" s="1157">
        <v>17</v>
      </c>
      <c r="B77" s="3351"/>
      <c r="C77" s="1071" t="s">
        <v>1539</v>
      </c>
      <c r="D77" s="1071" t="s">
        <v>1540</v>
      </c>
      <c r="E77" s="1142">
        <v>0.5</v>
      </c>
      <c r="F77" s="1157">
        <v>80</v>
      </c>
    </row>
    <row r="78" spans="1:6" s="1108" customFormat="1" ht="24">
      <c r="A78" s="1157">
        <v>18</v>
      </c>
      <c r="B78" s="3351"/>
      <c r="C78" s="1071" t="s">
        <v>1541</v>
      </c>
      <c r="D78" s="1071" t="s">
        <v>1542</v>
      </c>
      <c r="E78" s="1142">
        <v>0.2</v>
      </c>
      <c r="F78" s="1157">
        <v>30</v>
      </c>
    </row>
    <row r="79" spans="1:6" s="1108" customFormat="1" ht="24">
      <c r="A79" s="1157">
        <v>19</v>
      </c>
      <c r="B79" s="3351"/>
      <c r="C79" s="1071" t="s">
        <v>1543</v>
      </c>
      <c r="D79" s="1071" t="s">
        <v>1544</v>
      </c>
      <c r="E79" s="1142">
        <v>0.5</v>
      </c>
      <c r="F79" s="1157">
        <v>80</v>
      </c>
    </row>
    <row r="80" spans="1:6" s="1108" customFormat="1" ht="36">
      <c r="A80" s="1157">
        <v>20</v>
      </c>
      <c r="B80" s="3351"/>
      <c r="C80" s="1071" t="s">
        <v>1545</v>
      </c>
      <c r="D80" s="1071" t="s">
        <v>1546</v>
      </c>
      <c r="E80" s="1142">
        <v>0.2</v>
      </c>
      <c r="F80" s="1157">
        <v>30</v>
      </c>
    </row>
    <row r="81" spans="1:6" s="1108" customFormat="1" ht="36">
      <c r="A81" s="1157">
        <v>21</v>
      </c>
      <c r="B81" s="3351"/>
      <c r="C81" s="1071" t="s">
        <v>1547</v>
      </c>
      <c r="D81" s="1071" t="s">
        <v>1548</v>
      </c>
      <c r="E81" s="1142">
        <v>0.2</v>
      </c>
      <c r="F81" s="1157">
        <v>30</v>
      </c>
    </row>
    <row r="82" spans="1:6" s="1108" customFormat="1" ht="48">
      <c r="A82" s="1157">
        <v>22</v>
      </c>
      <c r="B82" s="3351"/>
      <c r="C82" s="1071" t="s">
        <v>1549</v>
      </c>
      <c r="D82" s="1071" t="s">
        <v>1550</v>
      </c>
      <c r="E82" s="1142">
        <v>0.2</v>
      </c>
      <c r="F82" s="1157">
        <v>30</v>
      </c>
    </row>
    <row r="83" spans="1:6" s="1108" customFormat="1" ht="48">
      <c r="A83" s="1157">
        <v>23</v>
      </c>
      <c r="B83" s="3351"/>
      <c r="C83" s="1071" t="s">
        <v>1551</v>
      </c>
      <c r="D83" s="1071" t="s">
        <v>1552</v>
      </c>
      <c r="E83" s="1142">
        <v>0.2</v>
      </c>
      <c r="F83" s="1157">
        <v>30</v>
      </c>
    </row>
    <row r="84" spans="1:6" s="1108" customFormat="1" ht="36">
      <c r="A84" s="1157">
        <v>24</v>
      </c>
      <c r="B84" s="3351"/>
      <c r="C84" s="1071" t="s">
        <v>1553</v>
      </c>
      <c r="D84" s="1071" t="s">
        <v>1554</v>
      </c>
      <c r="E84" s="1142">
        <v>0.2</v>
      </c>
      <c r="F84" s="1157">
        <v>30</v>
      </c>
    </row>
    <row r="85" spans="1:6" s="1108" customFormat="1" ht="36">
      <c r="A85" s="1157">
        <v>25</v>
      </c>
      <c r="B85" s="3351"/>
      <c r="C85" s="1071" t="s">
        <v>1555</v>
      </c>
      <c r="D85" s="1071" t="s">
        <v>1556</v>
      </c>
      <c r="E85" s="1142">
        <v>0.5</v>
      </c>
      <c r="F85" s="1157">
        <v>80</v>
      </c>
    </row>
    <row r="86" spans="1:6" s="1108" customFormat="1" ht="36">
      <c r="A86" s="1157">
        <v>26</v>
      </c>
      <c r="B86" s="3351"/>
      <c r="C86" s="1071" t="s">
        <v>1557</v>
      </c>
      <c r="D86" s="1071" t="s">
        <v>1558</v>
      </c>
      <c r="E86" s="1142">
        <v>0.2</v>
      </c>
      <c r="F86" s="1157">
        <v>30</v>
      </c>
    </row>
    <row r="87" spans="1:6" s="1108" customFormat="1" ht="36">
      <c r="A87" s="1157">
        <v>27</v>
      </c>
      <c r="B87" s="3351"/>
      <c r="C87" s="1071" t="s">
        <v>1559</v>
      </c>
      <c r="D87" s="1071" t="s">
        <v>1560</v>
      </c>
      <c r="E87" s="1142">
        <v>0.2</v>
      </c>
      <c r="F87" s="1157">
        <v>30</v>
      </c>
    </row>
    <row r="88" spans="1:6" s="1108" customFormat="1" ht="36">
      <c r="A88" s="1157">
        <v>28</v>
      </c>
      <c r="B88" s="3351"/>
      <c r="C88" s="1071" t="s">
        <v>1561</v>
      </c>
      <c r="D88" s="1071" t="s">
        <v>1562</v>
      </c>
      <c r="E88" s="1142">
        <v>0.2</v>
      </c>
      <c r="F88" s="1157">
        <v>30</v>
      </c>
    </row>
    <row r="89" spans="1:6" s="1108" customFormat="1" ht="24">
      <c r="A89" s="1157">
        <v>29</v>
      </c>
      <c r="B89" s="3351"/>
      <c r="C89" s="1071" t="s">
        <v>1563</v>
      </c>
      <c r="D89" s="1071" t="s">
        <v>1564</v>
      </c>
      <c r="E89" s="1142">
        <v>0.2</v>
      </c>
      <c r="F89" s="1157">
        <v>30</v>
      </c>
    </row>
    <row r="90" spans="1:6" s="1108" customFormat="1" ht="24">
      <c r="A90" s="1157">
        <v>30</v>
      </c>
      <c r="B90" s="3351"/>
      <c r="C90" s="1071" t="s">
        <v>1565</v>
      </c>
      <c r="D90" s="1071" t="s">
        <v>1566</v>
      </c>
      <c r="E90" s="1142">
        <v>0.2</v>
      </c>
      <c r="F90" s="1157">
        <v>30</v>
      </c>
    </row>
    <row r="91" spans="1:6" s="1108" customFormat="1" ht="36">
      <c r="A91" s="1157">
        <v>31</v>
      </c>
      <c r="B91" s="3351"/>
      <c r="C91" s="1071" t="s">
        <v>1567</v>
      </c>
      <c r="D91" s="1071" t="s">
        <v>1568</v>
      </c>
      <c r="E91" s="1142">
        <v>0.2</v>
      </c>
      <c r="F91" s="1157">
        <v>30</v>
      </c>
    </row>
    <row r="92" spans="1:6" s="1108" customFormat="1" ht="24">
      <c r="A92" s="1157">
        <v>32</v>
      </c>
      <c r="B92" s="3351" t="s">
        <v>1569</v>
      </c>
      <c r="C92" s="1157" t="s">
        <v>1570</v>
      </c>
      <c r="D92" s="1071" t="s">
        <v>1571</v>
      </c>
      <c r="E92" s="1142">
        <v>0.2</v>
      </c>
      <c r="F92" s="1157">
        <v>30</v>
      </c>
    </row>
    <row r="93" spans="1:6" s="1108" customFormat="1" ht="36">
      <c r="A93" s="1157">
        <v>33</v>
      </c>
      <c r="B93" s="3351"/>
      <c r="C93" s="1157" t="s">
        <v>1572</v>
      </c>
      <c r="D93" s="1071" t="s">
        <v>1573</v>
      </c>
      <c r="E93" s="1142">
        <v>0.2</v>
      </c>
      <c r="F93" s="1157">
        <v>30</v>
      </c>
    </row>
    <row r="94" spans="1:6" s="1108" customFormat="1" ht="48">
      <c r="A94" s="1157">
        <v>34</v>
      </c>
      <c r="B94" s="3351"/>
      <c r="C94" s="1157" t="s">
        <v>1574</v>
      </c>
      <c r="D94" s="1071" t="s">
        <v>1575</v>
      </c>
      <c r="E94" s="1142">
        <v>0.2</v>
      </c>
      <c r="F94" s="1157">
        <v>30</v>
      </c>
    </row>
    <row r="95" spans="1:6" s="1108" customFormat="1" ht="36">
      <c r="A95" s="1157">
        <v>35</v>
      </c>
      <c r="B95" s="3351"/>
      <c r="C95" s="1157" t="s">
        <v>1576</v>
      </c>
      <c r="D95" s="1071" t="s">
        <v>1577</v>
      </c>
      <c r="E95" s="1142">
        <v>0.2</v>
      </c>
      <c r="F95" s="1157">
        <v>30</v>
      </c>
    </row>
    <row r="96" spans="1:6" s="1108" customFormat="1" ht="48">
      <c r="A96" s="1157">
        <v>36</v>
      </c>
      <c r="B96" s="3351"/>
      <c r="C96" s="1071" t="s">
        <v>1578</v>
      </c>
      <c r="D96" s="1071" t="s">
        <v>1579</v>
      </c>
      <c r="E96" s="1142">
        <v>0.2</v>
      </c>
      <c r="F96" s="1157">
        <v>30</v>
      </c>
    </row>
    <row r="97" spans="1:6" s="1108" customFormat="1" ht="36">
      <c r="A97" s="1157">
        <v>37</v>
      </c>
      <c r="B97" s="3351"/>
      <c r="C97" s="1157" t="s">
        <v>1580</v>
      </c>
      <c r="D97" s="1071" t="s">
        <v>1581</v>
      </c>
      <c r="E97" s="1142">
        <v>0.2</v>
      </c>
      <c r="F97" s="1157">
        <v>30</v>
      </c>
    </row>
    <row r="98" spans="1:6" s="1108" customFormat="1" ht="36">
      <c r="A98" s="1157">
        <v>38</v>
      </c>
      <c r="B98" s="3351"/>
      <c r="C98" s="1157" t="s">
        <v>1582</v>
      </c>
      <c r="D98" s="1071" t="s">
        <v>1583</v>
      </c>
      <c r="E98" s="1142">
        <v>0.2</v>
      </c>
      <c r="F98" s="1157">
        <v>30</v>
      </c>
    </row>
    <row r="99" spans="1:6" s="1108" customFormat="1" ht="36">
      <c r="A99" s="1157">
        <v>39</v>
      </c>
      <c r="B99" s="3351" t="s">
        <v>1584</v>
      </c>
      <c r="C99" s="1157" t="s">
        <v>1585</v>
      </c>
      <c r="D99" s="1071" t="s">
        <v>1586</v>
      </c>
      <c r="E99" s="1142">
        <v>0.3</v>
      </c>
      <c r="F99" s="1157">
        <v>50</v>
      </c>
    </row>
    <row r="100" spans="1:6" s="1108" customFormat="1" ht="24">
      <c r="A100" s="1157">
        <v>40</v>
      </c>
      <c r="B100" s="3351"/>
      <c r="C100" s="1157" t="s">
        <v>1587</v>
      </c>
      <c r="D100" s="1071" t="s">
        <v>1588</v>
      </c>
      <c r="E100" s="1142">
        <v>0.2</v>
      </c>
      <c r="F100" s="1157">
        <v>30</v>
      </c>
    </row>
    <row r="101" spans="1:6" s="1108" customFormat="1" ht="36">
      <c r="A101" s="1157">
        <v>41</v>
      </c>
      <c r="B101" s="3351"/>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51" t="s">
        <v>1599</v>
      </c>
      <c r="C105" s="1157" t="s">
        <v>1600</v>
      </c>
      <c r="D105" s="1071" t="s">
        <v>1601</v>
      </c>
      <c r="E105" s="1142">
        <v>0.2</v>
      </c>
      <c r="F105" s="1157">
        <v>30</v>
      </c>
    </row>
    <row r="106" spans="1:6" s="1108" customFormat="1" ht="36">
      <c r="A106" s="1157">
        <v>46</v>
      </c>
      <c r="B106" s="3351"/>
      <c r="C106" s="1157" t="s">
        <v>1602</v>
      </c>
      <c r="D106" s="1071" t="s">
        <v>1603</v>
      </c>
      <c r="E106" s="1142">
        <v>0.2</v>
      </c>
      <c r="F106" s="1157">
        <v>30</v>
      </c>
    </row>
    <row r="107" spans="1:6" s="1108" customFormat="1" ht="36">
      <c r="A107" s="1157">
        <v>47</v>
      </c>
      <c r="B107" s="3351" t="s">
        <v>1604</v>
      </c>
      <c r="C107" s="1157" t="s">
        <v>1605</v>
      </c>
      <c r="D107" s="1071" t="s">
        <v>1606</v>
      </c>
      <c r="E107" s="1142">
        <v>0.3</v>
      </c>
      <c r="F107" s="1157">
        <v>50</v>
      </c>
    </row>
    <row r="108" spans="1:6" s="1108" customFormat="1" ht="36">
      <c r="A108" s="1157">
        <v>48</v>
      </c>
      <c r="B108" s="3351"/>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51" t="s">
        <v>1615</v>
      </c>
      <c r="C111" s="1157" t="s">
        <v>1616</v>
      </c>
      <c r="D111" s="1071" t="s">
        <v>1617</v>
      </c>
      <c r="E111" s="1142">
        <v>0.2</v>
      </c>
      <c r="F111" s="1157">
        <v>30</v>
      </c>
    </row>
    <row r="112" spans="1:6" s="1108" customFormat="1" ht="24">
      <c r="A112" s="1157">
        <v>52</v>
      </c>
      <c r="B112" s="3351"/>
      <c r="C112" s="1157" t="s">
        <v>1618</v>
      </c>
      <c r="D112" s="1071" t="s">
        <v>1619</v>
      </c>
      <c r="E112" s="1142">
        <v>0.2</v>
      </c>
      <c r="F112" s="1157">
        <v>30</v>
      </c>
    </row>
    <row r="113" spans="1:14" s="1108" customFormat="1" ht="24">
      <c r="A113" s="1157">
        <v>53</v>
      </c>
      <c r="B113" s="3351"/>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51" t="s">
        <v>1628</v>
      </c>
      <c r="C116" s="1157" t="s">
        <v>1629</v>
      </c>
      <c r="D116" s="1071" t="s">
        <v>1630</v>
      </c>
      <c r="E116" s="1142">
        <v>0.2</v>
      </c>
      <c r="F116" s="1157">
        <v>30</v>
      </c>
    </row>
    <row r="117" spans="1:14" ht="36">
      <c r="A117" s="1157">
        <v>57</v>
      </c>
      <c r="B117" s="3351"/>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50" t="s">
        <v>1637</v>
      </c>
      <c r="B121" s="3350"/>
      <c r="C121" s="3350"/>
      <c r="D121" s="3350"/>
      <c r="E121" s="3350"/>
      <c r="F121" s="3350"/>
      <c r="G121" s="3350"/>
      <c r="H121" s="3350"/>
      <c r="I121" s="3350"/>
      <c r="J121" s="335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3" t="s">
        <v>1043</v>
      </c>
      <c r="B1" s="3413"/>
      <c r="C1" s="3413"/>
      <c r="D1" s="3413"/>
      <c r="E1" s="3413"/>
      <c r="F1" s="3413"/>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14" t="s">
        <v>1056</v>
      </c>
      <c r="B2" s="3414"/>
      <c r="C2" s="3414"/>
      <c r="D2" s="3414"/>
      <c r="E2" s="3414"/>
      <c r="F2" s="3414"/>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15"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16"/>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560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2428</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2429</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1.2383999999999999</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17" t="s">
        <v>2085</v>
      </c>
      <c r="B1" s="3417"/>
    </row>
    <row r="2" spans="1:6" ht="14.25" thickBot="1">
      <c r="A2" s="1856"/>
      <c r="B2" s="1856"/>
    </row>
    <row r="3" spans="1:6" ht="14.25" thickBot="1">
      <c r="A3" s="1856"/>
      <c r="B3" s="1856"/>
      <c r="C3" s="1857" t="s">
        <v>2086</v>
      </c>
      <c r="D3" s="1857" t="s">
        <v>2087</v>
      </c>
      <c r="E3" s="1857" t="s">
        <v>2088</v>
      </c>
      <c r="F3" s="1857" t="s">
        <v>2089</v>
      </c>
    </row>
    <row r="4" spans="1:6" ht="14.25" thickBot="1">
      <c r="A4" s="1858" t="s">
        <v>2090</v>
      </c>
      <c r="B4" s="1859" t="s">
        <v>2091</v>
      </c>
      <c r="C4" s="1857"/>
      <c r="D4" s="1857"/>
      <c r="E4" s="1857"/>
      <c r="F4" s="1857"/>
    </row>
    <row r="5" spans="1:6" ht="14.25" thickBot="1">
      <c r="A5" s="1860" t="s">
        <v>2092</v>
      </c>
      <c r="B5" s="1861" t="s">
        <v>2093</v>
      </c>
      <c r="C5" s="1862">
        <v>8.8999999999999996E-2</v>
      </c>
      <c r="D5" s="1862">
        <v>7.3999999999999996E-2</v>
      </c>
      <c r="E5" s="1862">
        <v>7.4999999999999997E-2</v>
      </c>
      <c r="F5" s="1863">
        <v>0.1</v>
      </c>
    </row>
    <row r="6" spans="1:6" ht="14.25" thickBot="1">
      <c r="A6" s="1860" t="s">
        <v>1100</v>
      </c>
      <c r="B6" s="1864" t="s">
        <v>2094</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2095</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2096</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2097</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2098</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2099</v>
      </c>
      <c r="C72" s="1874"/>
      <c r="D72" s="1874"/>
      <c r="E72" s="1874"/>
      <c r="F72" s="1866">
        <v>0.05</v>
      </c>
    </row>
    <row r="73" spans="1:6" ht="14.25" thickBot="1">
      <c r="A73" s="1860" t="s">
        <v>928</v>
      </c>
      <c r="B73" s="1864" t="s">
        <v>2100</v>
      </c>
      <c r="C73" s="1874"/>
      <c r="D73" s="1874"/>
      <c r="E73" s="1874"/>
      <c r="F73" s="1866">
        <v>0.05</v>
      </c>
    </row>
    <row r="74" spans="1:6" ht="14.25" thickBot="1">
      <c r="A74" s="1860" t="s">
        <v>928</v>
      </c>
      <c r="B74" s="1864" t="s">
        <v>2101</v>
      </c>
      <c r="C74" s="1874"/>
      <c r="D74" s="1874"/>
      <c r="E74" s="1874"/>
      <c r="F74" s="1866">
        <v>0.05</v>
      </c>
    </row>
    <row r="75" spans="1:6" ht="14.25" thickBot="1">
      <c r="A75" s="1868" t="s">
        <v>928</v>
      </c>
      <c r="B75" s="1875" t="s">
        <v>2102</v>
      </c>
      <c r="C75" s="1871"/>
      <c r="D75" s="1871"/>
      <c r="E75" s="1871"/>
      <c r="F75" s="1876">
        <v>0.05</v>
      </c>
    </row>
    <row r="76" spans="1:6" ht="14.25" thickBot="1">
      <c r="A76" s="1860" t="s">
        <v>1411</v>
      </c>
      <c r="B76" s="1861" t="s">
        <v>2103</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2104</v>
      </c>
      <c r="C102" s="1874"/>
      <c r="D102" s="1874"/>
      <c r="E102" s="1874"/>
      <c r="F102" s="1866">
        <v>0.05</v>
      </c>
    </row>
    <row r="103" spans="1:6" ht="24.75" thickBot="1">
      <c r="A103" s="1860" t="s">
        <v>1411</v>
      </c>
      <c r="B103" s="1864" t="s">
        <v>2105</v>
      </c>
      <c r="C103" s="1874"/>
      <c r="D103" s="1874"/>
      <c r="E103" s="1874"/>
      <c r="F103" s="1866">
        <v>0.05</v>
      </c>
    </row>
    <row r="104" spans="1:6" ht="14.25" thickBot="1">
      <c r="A104" s="1860" t="s">
        <v>1411</v>
      </c>
      <c r="B104" s="1864" t="s">
        <v>2106</v>
      </c>
      <c r="C104" s="1874"/>
      <c r="D104" s="1874"/>
      <c r="E104" s="1874"/>
      <c r="F104" s="1866">
        <v>0.05</v>
      </c>
    </row>
    <row r="105" spans="1:6" ht="14.25" thickBot="1">
      <c r="A105" s="1860" t="s">
        <v>1411</v>
      </c>
      <c r="B105" s="1864" t="s">
        <v>2107</v>
      </c>
      <c r="C105" s="1874"/>
      <c r="D105" s="1874"/>
      <c r="E105" s="1874"/>
      <c r="F105" s="1866">
        <v>0.05</v>
      </c>
    </row>
    <row r="106" spans="1:6" ht="14.25" thickBot="1">
      <c r="A106" s="1860" t="s">
        <v>1411</v>
      </c>
      <c r="B106" s="1864" t="s">
        <v>2108</v>
      </c>
      <c r="C106" s="1874"/>
      <c r="D106" s="1874"/>
      <c r="E106" s="1874"/>
      <c r="F106" s="1866">
        <v>0.05</v>
      </c>
    </row>
    <row r="107" spans="1:6" ht="24.75" thickBot="1">
      <c r="A107" s="1860" t="s">
        <v>1411</v>
      </c>
      <c r="B107" s="1864" t="s">
        <v>2109</v>
      </c>
      <c r="C107" s="1874"/>
      <c r="D107" s="1874"/>
      <c r="E107" s="1874"/>
      <c r="F107" s="1866">
        <v>0.05</v>
      </c>
    </row>
    <row r="108" spans="1:6" ht="24.75" thickBot="1">
      <c r="A108" s="1860" t="s">
        <v>1411</v>
      </c>
      <c r="B108" s="1864" t="s">
        <v>2110</v>
      </c>
      <c r="C108" s="1874"/>
      <c r="D108" s="1874"/>
      <c r="E108" s="1874"/>
      <c r="F108" s="1866">
        <v>0.05</v>
      </c>
    </row>
    <row r="109" spans="1:6" ht="24.75" thickBot="1">
      <c r="A109" s="1868" t="s">
        <v>1411</v>
      </c>
      <c r="B109" s="1875" t="s">
        <v>2111</v>
      </c>
      <c r="C109" s="1871"/>
      <c r="D109" s="1871"/>
      <c r="E109" s="1871"/>
      <c r="F109" s="1876">
        <v>0.05</v>
      </c>
    </row>
    <row r="110" spans="1:6" ht="14.25" thickBot="1">
      <c r="A110" s="1860" t="s">
        <v>1413</v>
      </c>
      <c r="B110" s="1861" t="s">
        <v>2112</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2113</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2114</v>
      </c>
      <c r="C138" s="1865">
        <v>0.105</v>
      </c>
      <c r="D138" s="1865">
        <v>0.125</v>
      </c>
      <c r="E138" s="1865">
        <v>0.112</v>
      </c>
      <c r="F138" s="1873"/>
    </row>
    <row r="139" spans="1:6" ht="14.25" thickBot="1">
      <c r="A139" s="1860" t="s">
        <v>1413</v>
      </c>
      <c r="B139" s="1864" t="s">
        <v>2115</v>
      </c>
      <c r="C139" s="1865">
        <v>0.127</v>
      </c>
      <c r="D139" s="1865">
        <v>0.127</v>
      </c>
      <c r="E139" s="1865">
        <v>0.122</v>
      </c>
      <c r="F139" s="1866">
        <v>0.13</v>
      </c>
    </row>
    <row r="140" spans="1:6" ht="14.25" thickBot="1">
      <c r="A140" s="1860" t="s">
        <v>1413</v>
      </c>
      <c r="B140" s="1864" t="s">
        <v>2116</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2117</v>
      </c>
      <c r="C144" s="1878">
        <v>0.126</v>
      </c>
      <c r="D144" s="1878">
        <v>0.126</v>
      </c>
      <c r="E144" s="1878">
        <v>0.121</v>
      </c>
      <c r="F144" s="1873"/>
    </row>
    <row r="145" spans="1:6" ht="14.25" thickBot="1">
      <c r="A145" s="1868" t="s">
        <v>1413</v>
      </c>
      <c r="B145" s="1879" t="s">
        <v>2118</v>
      </c>
      <c r="C145" s="1880"/>
      <c r="D145" s="1880"/>
      <c r="E145" s="1880"/>
      <c r="F145" s="1881">
        <v>0.05</v>
      </c>
    </row>
    <row r="146" spans="1:6" ht="24.75" thickBot="1">
      <c r="A146" s="1882" t="s">
        <v>1413</v>
      </c>
      <c r="B146" s="1867" t="s">
        <v>2119</v>
      </c>
      <c r="C146" s="1874"/>
      <c r="D146" s="1874"/>
      <c r="E146" s="1874"/>
      <c r="F146" s="1883">
        <v>0.05</v>
      </c>
    </row>
    <row r="147" spans="1:6" ht="24.75" thickBot="1">
      <c r="A147" s="1860" t="s">
        <v>1413</v>
      </c>
      <c r="B147" s="1864" t="s">
        <v>2120</v>
      </c>
      <c r="C147" s="1874"/>
      <c r="D147" s="1874"/>
      <c r="E147" s="1874"/>
      <c r="F147" s="1866">
        <v>0.05</v>
      </c>
    </row>
    <row r="148" spans="1:6" ht="24.75" thickBot="1">
      <c r="A148" s="1860" t="s">
        <v>1413</v>
      </c>
      <c r="B148" s="1864" t="s">
        <v>2121</v>
      </c>
      <c r="C148" s="1874"/>
      <c r="D148" s="1874"/>
      <c r="E148" s="1874"/>
      <c r="F148" s="1866">
        <v>0.05</v>
      </c>
    </row>
    <row r="149" spans="1:6" ht="24.75" thickBot="1">
      <c r="A149" s="1860" t="s">
        <v>1413</v>
      </c>
      <c r="B149" s="1864" t="s">
        <v>2122</v>
      </c>
      <c r="C149" s="1874"/>
      <c r="D149" s="1874"/>
      <c r="E149" s="1874"/>
      <c r="F149" s="1866">
        <v>0.05</v>
      </c>
    </row>
    <row r="150" spans="1:6" ht="24.75" thickBot="1">
      <c r="A150" s="1860" t="s">
        <v>1413</v>
      </c>
      <c r="B150" s="1864" t="s">
        <v>2123</v>
      </c>
      <c r="C150" s="1874"/>
      <c r="D150" s="1874"/>
      <c r="E150" s="1874"/>
      <c r="F150" s="1866">
        <v>0.05</v>
      </c>
    </row>
    <row r="151" spans="1:6" ht="24.75" thickBot="1">
      <c r="A151" s="1860" t="s">
        <v>1413</v>
      </c>
      <c r="B151" s="1864" t="s">
        <v>2124</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2125</v>
      </c>
      <c r="C153" s="1874"/>
      <c r="D153" s="1874"/>
      <c r="E153" s="1874"/>
      <c r="F153" s="1866">
        <v>0.05</v>
      </c>
    </row>
    <row r="154" spans="1:6" ht="14.25" thickBot="1">
      <c r="A154" s="1860" t="s">
        <v>1413</v>
      </c>
      <c r="B154" s="1864" t="s">
        <v>2126</v>
      </c>
      <c r="C154" s="1874"/>
      <c r="D154" s="1874"/>
      <c r="E154" s="1874"/>
      <c r="F154" s="1866">
        <v>0.05</v>
      </c>
    </row>
    <row r="155" spans="1:6" ht="24.75" thickBot="1">
      <c r="A155" s="1860" t="s">
        <v>1413</v>
      </c>
      <c r="B155" s="1864" t="s">
        <v>2127</v>
      </c>
      <c r="C155" s="1874"/>
      <c r="D155" s="1874"/>
      <c r="E155" s="1874"/>
      <c r="F155" s="1866">
        <v>0.05</v>
      </c>
    </row>
    <row r="156" spans="1:6" ht="24.75" thickBot="1">
      <c r="A156" s="1860" t="s">
        <v>1413</v>
      </c>
      <c r="B156" s="1864" t="s">
        <v>2128</v>
      </c>
      <c r="C156" s="1874"/>
      <c r="D156" s="1874"/>
      <c r="E156" s="1874"/>
      <c r="F156" s="1866">
        <v>0.05</v>
      </c>
    </row>
    <row r="157" spans="1:6" ht="14.25" thickBot="1">
      <c r="A157" s="1868" t="s">
        <v>1413</v>
      </c>
      <c r="B157" s="1875" t="s">
        <v>2129</v>
      </c>
      <c r="C157" s="1871"/>
      <c r="D157" s="1871"/>
      <c r="E157" s="1871"/>
      <c r="F157" s="1876">
        <v>0.05</v>
      </c>
    </row>
    <row r="158" spans="1:6" ht="14.25" thickBot="1">
      <c r="A158" s="1860" t="s">
        <v>1415</v>
      </c>
      <c r="B158" s="1861" t="s">
        <v>2130</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2131</v>
      </c>
      <c r="C171" s="1865">
        <v>0.127</v>
      </c>
      <c r="D171" s="1865">
        <v>0.126</v>
      </c>
      <c r="E171" s="1865">
        <v>0.126</v>
      </c>
      <c r="F171" s="1866">
        <v>0.11799999999999999</v>
      </c>
    </row>
    <row r="172" spans="1:6" ht="14.25" thickBot="1">
      <c r="A172" s="1860" t="s">
        <v>1415</v>
      </c>
      <c r="B172" s="1864" t="s">
        <v>2132</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2133</v>
      </c>
      <c r="C174" s="1865">
        <v>0.13</v>
      </c>
      <c r="D174" s="1865">
        <v>0.13</v>
      </c>
      <c r="E174" s="1865">
        <v>0.13</v>
      </c>
      <c r="F174" s="1866">
        <v>0.13</v>
      </c>
    </row>
    <row r="175" spans="1:6" ht="14.25" thickBot="1">
      <c r="A175" s="1860" t="s">
        <v>1415</v>
      </c>
      <c r="B175" s="1864" t="s">
        <v>2134</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2135</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2136</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2137</v>
      </c>
      <c r="C185" s="1865">
        <v>0.127</v>
      </c>
      <c r="D185" s="1865">
        <v>0.127</v>
      </c>
      <c r="E185" s="1865">
        <v>0.128</v>
      </c>
      <c r="F185" s="1866">
        <v>0.13</v>
      </c>
    </row>
    <row r="186" spans="1:6" ht="24.75" thickBot="1">
      <c r="A186" s="1860" t="s">
        <v>1415</v>
      </c>
      <c r="B186" s="1864" t="s">
        <v>2138</v>
      </c>
      <c r="C186" s="1874"/>
      <c r="D186" s="1874"/>
      <c r="E186" s="1874"/>
      <c r="F186" s="1866">
        <v>0.05</v>
      </c>
    </row>
    <row r="187" spans="1:6" ht="14.25" thickBot="1">
      <c r="A187" s="1860" t="s">
        <v>1415</v>
      </c>
      <c r="B187" s="1864" t="s">
        <v>2139</v>
      </c>
      <c r="C187" s="1874"/>
      <c r="D187" s="1874"/>
      <c r="E187" s="1874"/>
      <c r="F187" s="1866">
        <v>0.05</v>
      </c>
    </row>
    <row r="188" spans="1:6" ht="14.25" thickBot="1">
      <c r="A188" s="1860" t="s">
        <v>1415</v>
      </c>
      <c r="B188" s="1864" t="s">
        <v>2140</v>
      </c>
      <c r="C188" s="1874"/>
      <c r="D188" s="1874"/>
      <c r="E188" s="1874"/>
      <c r="F188" s="1866">
        <v>0.05</v>
      </c>
    </row>
    <row r="189" spans="1:6" ht="24.75" thickBot="1">
      <c r="A189" s="1860" t="s">
        <v>1415</v>
      </c>
      <c r="B189" s="1864" t="s">
        <v>2141</v>
      </c>
      <c r="C189" s="1874"/>
      <c r="D189" s="1874"/>
      <c r="E189" s="1874"/>
      <c r="F189" s="1866">
        <v>0.05</v>
      </c>
    </row>
    <row r="190" spans="1:6" ht="24.75" thickBot="1">
      <c r="A190" s="1860" t="s">
        <v>1415</v>
      </c>
      <c r="B190" s="1864" t="s">
        <v>2142</v>
      </c>
      <c r="C190" s="1874"/>
      <c r="D190" s="1874"/>
      <c r="E190" s="1874"/>
      <c r="F190" s="1866">
        <v>0.05</v>
      </c>
    </row>
    <row r="191" spans="1:6" ht="24.75" thickBot="1">
      <c r="A191" s="1860" t="s">
        <v>1415</v>
      </c>
      <c r="B191" s="1864" t="s">
        <v>2143</v>
      </c>
      <c r="C191" s="1874"/>
      <c r="D191" s="1874"/>
      <c r="E191" s="1874"/>
      <c r="F191" s="1866">
        <v>0.05</v>
      </c>
    </row>
    <row r="192" spans="1:6" ht="24.75" thickBot="1">
      <c r="A192" s="1860" t="s">
        <v>1415</v>
      </c>
      <c r="B192" s="1864" t="s">
        <v>2144</v>
      </c>
      <c r="C192" s="1874"/>
      <c r="D192" s="1874"/>
      <c r="E192" s="1874"/>
      <c r="F192" s="1866">
        <v>0.05</v>
      </c>
    </row>
    <row r="193" spans="1:6" ht="24.75" thickBot="1">
      <c r="A193" s="1860" t="s">
        <v>1415</v>
      </c>
      <c r="B193" s="1864" t="s">
        <v>2145</v>
      </c>
      <c r="C193" s="1874"/>
      <c r="D193" s="1874"/>
      <c r="E193" s="1874"/>
      <c r="F193" s="1866">
        <v>0.05</v>
      </c>
    </row>
    <row r="194" spans="1:6" ht="24.75" thickBot="1">
      <c r="A194" s="1860" t="s">
        <v>1415</v>
      </c>
      <c r="B194" s="1864" t="s">
        <v>2146</v>
      </c>
      <c r="C194" s="1874"/>
      <c r="D194" s="1874"/>
      <c r="E194" s="1874"/>
      <c r="F194" s="1866">
        <v>0.05</v>
      </c>
    </row>
    <row r="195" spans="1:6" ht="14.25" thickBot="1">
      <c r="A195" s="1860" t="s">
        <v>1415</v>
      </c>
      <c r="B195" s="1864" t="s">
        <v>2147</v>
      </c>
      <c r="C195" s="1874"/>
      <c r="D195" s="1874"/>
      <c r="E195" s="1874"/>
      <c r="F195" s="1866">
        <v>0.05</v>
      </c>
    </row>
    <row r="196" spans="1:6" ht="24.75" thickBot="1">
      <c r="A196" s="1860" t="s">
        <v>1415</v>
      </c>
      <c r="B196" s="1864" t="s">
        <v>2148</v>
      </c>
      <c r="C196" s="1874"/>
      <c r="D196" s="1874"/>
      <c r="E196" s="1874"/>
      <c r="F196" s="1866">
        <v>0.05</v>
      </c>
    </row>
    <row r="197" spans="1:6" ht="24.75" thickBot="1">
      <c r="A197" s="1860" t="s">
        <v>1415</v>
      </c>
      <c r="B197" s="1864" t="s">
        <v>2149</v>
      </c>
      <c r="C197" s="1874"/>
      <c r="D197" s="1874"/>
      <c r="E197" s="1874"/>
      <c r="F197" s="1866">
        <v>0.05</v>
      </c>
    </row>
    <row r="198" spans="1:6" ht="24.75" thickBot="1">
      <c r="A198" s="1860" t="s">
        <v>1415</v>
      </c>
      <c r="B198" s="1864" t="s">
        <v>2150</v>
      </c>
      <c r="C198" s="1874"/>
      <c r="D198" s="1874"/>
      <c r="E198" s="1874"/>
      <c r="F198" s="1866">
        <v>0.05</v>
      </c>
    </row>
    <row r="199" spans="1:6" ht="24.75" thickBot="1">
      <c r="A199" s="1860" t="s">
        <v>1415</v>
      </c>
      <c r="B199" s="1864" t="s">
        <v>2151</v>
      </c>
      <c r="C199" s="1874"/>
      <c r="D199" s="1874"/>
      <c r="E199" s="1874"/>
      <c r="F199" s="1866">
        <v>0.05</v>
      </c>
    </row>
    <row r="200" spans="1:6" ht="24.75" thickBot="1">
      <c r="A200" s="1860" t="s">
        <v>1415</v>
      </c>
      <c r="B200" s="1864" t="s">
        <v>2152</v>
      </c>
      <c r="C200" s="1874"/>
      <c r="D200" s="1874"/>
      <c r="E200" s="1874"/>
      <c r="F200" s="1866">
        <v>0.05</v>
      </c>
    </row>
    <row r="201" spans="1:6" ht="24.75" thickBot="1">
      <c r="A201" s="1860" t="s">
        <v>1415</v>
      </c>
      <c r="B201" s="1864" t="s">
        <v>2153</v>
      </c>
      <c r="C201" s="1874"/>
      <c r="D201" s="1874"/>
      <c r="E201" s="1874"/>
      <c r="F201" s="1866">
        <v>0.05</v>
      </c>
    </row>
    <row r="202" spans="1:6" ht="24.75" thickBot="1">
      <c r="A202" s="1860" t="s">
        <v>1415</v>
      </c>
      <c r="B202" s="1864" t="s">
        <v>2154</v>
      </c>
      <c r="C202" s="1874"/>
      <c r="D202" s="1874"/>
      <c r="E202" s="1874"/>
      <c r="F202" s="1866">
        <v>0.05</v>
      </c>
    </row>
    <row r="203" spans="1:6" ht="24.75" thickBot="1">
      <c r="A203" s="1860" t="s">
        <v>1415</v>
      </c>
      <c r="B203" s="1864" t="s">
        <v>2155</v>
      </c>
      <c r="C203" s="1874"/>
      <c r="D203" s="1874"/>
      <c r="E203" s="1874"/>
      <c r="F203" s="1866">
        <v>0.05</v>
      </c>
    </row>
    <row r="204" spans="1:6" ht="14.25" thickBot="1">
      <c r="A204" s="1860" t="s">
        <v>1415</v>
      </c>
      <c r="B204" s="1864" t="s">
        <v>2156</v>
      </c>
      <c r="C204" s="1874"/>
      <c r="D204" s="1874"/>
      <c r="E204" s="1874"/>
      <c r="F204" s="1866">
        <v>0.05</v>
      </c>
    </row>
    <row r="205" spans="1:6" ht="14.25" thickBot="1">
      <c r="A205" s="1868" t="s">
        <v>1415</v>
      </c>
      <c r="B205" s="1875" t="s">
        <v>2157</v>
      </c>
      <c r="C205" s="1871"/>
      <c r="D205" s="1871"/>
      <c r="E205" s="1871"/>
      <c r="F205" s="1876">
        <v>0.05</v>
      </c>
    </row>
    <row r="206" spans="1:6" ht="14.25" thickBot="1">
      <c r="A206" s="1860" t="s">
        <v>1417</v>
      </c>
      <c r="B206" s="1861" t="s">
        <v>2158</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2159</v>
      </c>
      <c r="C210" s="1865">
        <v>0.15</v>
      </c>
      <c r="D210" s="1865">
        <v>0.15</v>
      </c>
      <c r="E210" s="1865">
        <v>0.15</v>
      </c>
      <c r="F210" s="1866">
        <v>0.13800000000000001</v>
      </c>
    </row>
    <row r="211" spans="1:6" ht="14.25" thickBot="1">
      <c r="A211" s="1860" t="s">
        <v>1417</v>
      </c>
      <c r="B211" s="1864" t="s">
        <v>2160</v>
      </c>
      <c r="C211" s="1865">
        <v>0.13700000000000001</v>
      </c>
      <c r="D211" s="1865">
        <v>0.13500000000000001</v>
      </c>
      <c r="E211" s="1865">
        <v>0.13600000000000001</v>
      </c>
      <c r="F211" s="1866">
        <v>0.1</v>
      </c>
    </row>
    <row r="212" spans="1:6" ht="14.25" thickBot="1">
      <c r="A212" s="1860" t="s">
        <v>1417</v>
      </c>
      <c r="B212" s="1864" t="s">
        <v>2161</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2162</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2163</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2164</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2165</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2166</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2167</v>
      </c>
      <c r="C231" s="1865">
        <v>0.128</v>
      </c>
      <c r="D231" s="1865">
        <v>0.125</v>
      </c>
      <c r="E231" s="1865">
        <v>0.13200000000000001</v>
      </c>
      <c r="F231" s="1873"/>
    </row>
    <row r="232" spans="1:6" ht="14.25" thickBot="1">
      <c r="A232" s="1860" t="s">
        <v>1417</v>
      </c>
      <c r="B232" s="1864" t="s">
        <v>2168</v>
      </c>
      <c r="C232" s="1865">
        <v>0.14499999999999999</v>
      </c>
      <c r="D232" s="1865">
        <v>0.14399999999999999</v>
      </c>
      <c r="E232" s="1865">
        <v>0.14599999999999999</v>
      </c>
      <c r="F232" s="1866">
        <v>0.13800000000000001</v>
      </c>
    </row>
    <row r="233" spans="1:6" ht="14.25" thickBot="1">
      <c r="A233" s="1860" t="s">
        <v>1417</v>
      </c>
      <c r="B233" s="1864" t="s">
        <v>2169</v>
      </c>
      <c r="C233" s="1865">
        <v>0.14499999999999999</v>
      </c>
      <c r="D233" s="1865">
        <v>0.14299999999999999</v>
      </c>
      <c r="E233" s="1865">
        <v>0.14199999999999999</v>
      </c>
      <c r="F233" s="1873"/>
    </row>
    <row r="234" spans="1:6" ht="14.25" thickBot="1">
      <c r="A234" s="1860" t="s">
        <v>1417</v>
      </c>
      <c r="B234" s="1864" t="s">
        <v>2170</v>
      </c>
      <c r="C234" s="1865">
        <v>0.14000000000000001</v>
      </c>
      <c r="D234" s="1865">
        <v>0.14000000000000001</v>
      </c>
      <c r="E234" s="1865">
        <v>0.14399999999999999</v>
      </c>
      <c r="F234" s="1873"/>
    </row>
    <row r="235" spans="1:6" ht="14.25" thickBot="1">
      <c r="A235" s="1860" t="s">
        <v>1417</v>
      </c>
      <c r="B235" s="1864" t="s">
        <v>2171</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2172</v>
      </c>
      <c r="C237" s="1874"/>
      <c r="D237" s="1874"/>
      <c r="E237" s="1874"/>
      <c r="F237" s="1866">
        <v>0.05</v>
      </c>
    </row>
    <row r="238" spans="1:6" ht="24.75" thickBot="1">
      <c r="A238" s="1860" t="s">
        <v>1417</v>
      </c>
      <c r="B238" s="1864" t="s">
        <v>2173</v>
      </c>
      <c r="C238" s="1874"/>
      <c r="D238" s="1874"/>
      <c r="E238" s="1874"/>
      <c r="F238" s="1866">
        <v>0.05</v>
      </c>
    </row>
    <row r="239" spans="1:6" ht="24.75" thickBot="1">
      <c r="A239" s="1860" t="s">
        <v>1417</v>
      </c>
      <c r="B239" s="1864" t="s">
        <v>2174</v>
      </c>
      <c r="C239" s="1874"/>
      <c r="D239" s="1874"/>
      <c r="E239" s="1874"/>
      <c r="F239" s="1866">
        <v>0.05</v>
      </c>
    </row>
    <row r="240" spans="1:6" ht="24.75" thickBot="1">
      <c r="A240" s="1860" t="s">
        <v>1417</v>
      </c>
      <c r="B240" s="1864" t="s">
        <v>2175</v>
      </c>
      <c r="C240" s="1874"/>
      <c r="D240" s="1874"/>
      <c r="E240" s="1874"/>
      <c r="F240" s="1866">
        <v>0.05</v>
      </c>
    </row>
    <row r="241" spans="1:6" ht="24.75" thickBot="1">
      <c r="A241" s="1860" t="s">
        <v>1417</v>
      </c>
      <c r="B241" s="1864" t="s">
        <v>2176</v>
      </c>
      <c r="C241" s="1874"/>
      <c r="D241" s="1874"/>
      <c r="E241" s="1874"/>
      <c r="F241" s="1866">
        <v>0.05</v>
      </c>
    </row>
    <row r="242" spans="1:6" ht="24.75" thickBot="1">
      <c r="A242" s="1860" t="s">
        <v>1417</v>
      </c>
      <c r="B242" s="1864" t="s">
        <v>2177</v>
      </c>
      <c r="C242" s="1874"/>
      <c r="D242" s="1874"/>
      <c r="E242" s="1874"/>
      <c r="F242" s="1866">
        <v>0.05</v>
      </c>
    </row>
    <row r="243" spans="1:6" ht="24.75" thickBot="1">
      <c r="A243" s="1860" t="s">
        <v>1417</v>
      </c>
      <c r="B243" s="1864" t="s">
        <v>2178</v>
      </c>
      <c r="C243" s="1874"/>
      <c r="D243" s="1874"/>
      <c r="E243" s="1874"/>
      <c r="F243" s="1866">
        <v>0.05</v>
      </c>
    </row>
    <row r="244" spans="1:6" ht="24.75" thickBot="1">
      <c r="A244" s="1868" t="s">
        <v>1417</v>
      </c>
      <c r="B244" s="1875" t="s">
        <v>2179</v>
      </c>
      <c r="C244" s="1871"/>
      <c r="D244" s="1871"/>
      <c r="E244" s="1871"/>
      <c r="F244" s="1876">
        <v>0.05</v>
      </c>
    </row>
    <row r="245" spans="1:6" ht="14.25" thickBot="1">
      <c r="A245" s="1860" t="s">
        <v>1419</v>
      </c>
      <c r="B245" s="1861" t="s">
        <v>2180</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2181</v>
      </c>
      <c r="C247" s="1865">
        <v>0.15</v>
      </c>
      <c r="D247" s="1865">
        <v>0.15</v>
      </c>
      <c r="E247" s="1865">
        <v>0.15</v>
      </c>
      <c r="F247" s="1866">
        <v>0.15</v>
      </c>
    </row>
    <row r="248" spans="1:6" ht="14.25" thickBot="1">
      <c r="A248" s="1860" t="s">
        <v>1419</v>
      </c>
      <c r="B248" s="1864" t="s">
        <v>2182</v>
      </c>
      <c r="C248" s="1865">
        <v>0.15</v>
      </c>
      <c r="D248" s="1865">
        <v>0.15</v>
      </c>
      <c r="E248" s="1865">
        <v>0.15</v>
      </c>
      <c r="F248" s="1866">
        <v>0.14000000000000001</v>
      </c>
    </row>
    <row r="249" spans="1:6" ht="14.25" thickBot="1">
      <c r="A249" s="1860" t="s">
        <v>1419</v>
      </c>
      <c r="B249" s="1864" t="s">
        <v>2183</v>
      </c>
      <c r="C249" s="1865">
        <v>0.15</v>
      </c>
      <c r="D249" s="1865">
        <v>0.14899999999999999</v>
      </c>
      <c r="E249" s="1865">
        <v>0.15</v>
      </c>
      <c r="F249" s="1866">
        <v>0.1</v>
      </c>
    </row>
    <row r="250" spans="1:6" ht="14.25" thickBot="1">
      <c r="A250" s="1860" t="s">
        <v>1419</v>
      </c>
      <c r="B250" s="1864" t="s">
        <v>2184</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2185</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2186</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2187</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2188</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2189</v>
      </c>
      <c r="C273" s="1865">
        <v>0.14199999999999999</v>
      </c>
      <c r="D273" s="1865">
        <v>0.14299999999999999</v>
      </c>
      <c r="E273" s="1865">
        <v>0.15</v>
      </c>
      <c r="F273" s="1866">
        <v>0.1</v>
      </c>
    </row>
    <row r="274" spans="1:6" ht="14.25" thickBot="1">
      <c r="A274" s="1860" t="s">
        <v>1419</v>
      </c>
      <c r="B274" s="1864" t="s">
        <v>2190</v>
      </c>
      <c r="C274" s="1865">
        <v>0.14799999999999999</v>
      </c>
      <c r="D274" s="1865">
        <v>0.14799999999999999</v>
      </c>
      <c r="E274" s="1865">
        <v>0.15</v>
      </c>
      <c r="F274" s="1866">
        <v>6.7000000000000004E-2</v>
      </c>
    </row>
    <row r="275" spans="1:6" ht="14.25" thickBot="1">
      <c r="A275" s="1860" t="s">
        <v>1419</v>
      </c>
      <c r="B275" s="1864" t="s">
        <v>2191</v>
      </c>
      <c r="C275" s="1865">
        <v>0.15</v>
      </c>
      <c r="D275" s="1865">
        <v>0.15</v>
      </c>
      <c r="E275" s="1865">
        <v>0.15</v>
      </c>
      <c r="F275" s="1866">
        <v>0.15</v>
      </c>
    </row>
    <row r="276" spans="1:6" ht="14.25" thickBot="1">
      <c r="A276" s="1860" t="s">
        <v>1419</v>
      </c>
      <c r="B276" s="1864" t="s">
        <v>2192</v>
      </c>
      <c r="C276" s="1865">
        <v>0.14499999999999999</v>
      </c>
      <c r="D276" s="1865">
        <v>0.14299999999999999</v>
      </c>
      <c r="E276" s="1865">
        <v>0.15</v>
      </c>
      <c r="F276" s="1866">
        <v>5.8999999999999997E-2</v>
      </c>
    </row>
    <row r="277" spans="1:6" ht="14.25" thickBot="1">
      <c r="A277" s="1860" t="s">
        <v>1419</v>
      </c>
      <c r="B277" s="1864" t="s">
        <v>2193</v>
      </c>
      <c r="C277" s="1865">
        <v>0.15</v>
      </c>
      <c r="D277" s="1865">
        <v>0.15</v>
      </c>
      <c r="E277" s="1865">
        <v>0.15</v>
      </c>
      <c r="F277" s="1866">
        <v>0.121</v>
      </c>
    </row>
    <row r="278" spans="1:6" ht="14.25" thickBot="1">
      <c r="A278" s="1860" t="s">
        <v>1419</v>
      </c>
      <c r="B278" s="1864" t="s">
        <v>2194</v>
      </c>
      <c r="C278" s="1865">
        <v>0.15</v>
      </c>
      <c r="D278" s="1865">
        <v>0.15</v>
      </c>
      <c r="E278" s="1865">
        <v>0.15</v>
      </c>
      <c r="F278" s="1866">
        <v>0.13800000000000001</v>
      </c>
    </row>
    <row r="279" spans="1:6" ht="24.75" thickBot="1">
      <c r="A279" s="1860" t="s">
        <v>1419</v>
      </c>
      <c r="B279" s="1864" t="s">
        <v>2195</v>
      </c>
      <c r="C279" s="1874"/>
      <c r="D279" s="1874"/>
      <c r="E279" s="1874"/>
      <c r="F279" s="1866">
        <v>0.05</v>
      </c>
    </row>
    <row r="280" spans="1:6" ht="24.75" thickBot="1">
      <c r="A280" s="1860" t="s">
        <v>1419</v>
      </c>
      <c r="B280" s="1864" t="s">
        <v>2196</v>
      </c>
      <c r="C280" s="1874"/>
      <c r="D280" s="1874"/>
      <c r="E280" s="1874"/>
      <c r="F280" s="1866">
        <v>0.05</v>
      </c>
    </row>
    <row r="281" spans="1:6" ht="24.75" thickBot="1">
      <c r="A281" s="1860" t="s">
        <v>1419</v>
      </c>
      <c r="B281" s="1864" t="s">
        <v>2197</v>
      </c>
      <c r="C281" s="1874"/>
      <c r="D281" s="1874"/>
      <c r="E281" s="1874"/>
      <c r="F281" s="1866">
        <v>0.05</v>
      </c>
    </row>
    <row r="282" spans="1:6" ht="24.75" thickBot="1">
      <c r="A282" s="1860" t="s">
        <v>1419</v>
      </c>
      <c r="B282" s="1864" t="s">
        <v>2198</v>
      </c>
      <c r="C282" s="1874"/>
      <c r="D282" s="1874"/>
      <c r="E282" s="1874"/>
      <c r="F282" s="1866">
        <v>0.05</v>
      </c>
    </row>
    <row r="283" spans="1:6" ht="24.75" thickBot="1">
      <c r="A283" s="1860" t="s">
        <v>1419</v>
      </c>
      <c r="B283" s="1864" t="s">
        <v>2199</v>
      </c>
      <c r="C283" s="1874"/>
      <c r="D283" s="1874"/>
      <c r="E283" s="1874"/>
      <c r="F283" s="1866">
        <v>0.05</v>
      </c>
    </row>
    <row r="284" spans="1:6" ht="24.75" thickBot="1">
      <c r="A284" s="1860" t="s">
        <v>1419</v>
      </c>
      <c r="B284" s="1864" t="s">
        <v>2200</v>
      </c>
      <c r="C284" s="1874"/>
      <c r="D284" s="1874"/>
      <c r="E284" s="1874"/>
      <c r="F284" s="1866">
        <v>0.05</v>
      </c>
    </row>
    <row r="285" spans="1:6" ht="24.75" thickBot="1">
      <c r="A285" s="1860" t="s">
        <v>1419</v>
      </c>
      <c r="B285" s="1864" t="s">
        <v>2201</v>
      </c>
      <c r="C285" s="1874"/>
      <c r="D285" s="1874"/>
      <c r="E285" s="1874"/>
      <c r="F285" s="1866">
        <v>0.05</v>
      </c>
    </row>
    <row r="286" spans="1:6" ht="24.75" thickBot="1">
      <c r="A286" s="1860" t="s">
        <v>1419</v>
      </c>
      <c r="B286" s="1864" t="s">
        <v>2202</v>
      </c>
      <c r="C286" s="1874"/>
      <c r="D286" s="1874"/>
      <c r="E286" s="1874"/>
      <c r="F286" s="1866">
        <v>0.05</v>
      </c>
    </row>
    <row r="287" spans="1:6" ht="24.75" thickBot="1">
      <c r="A287" s="1860" t="s">
        <v>1419</v>
      </c>
      <c r="B287" s="1864" t="s">
        <v>2203</v>
      </c>
      <c r="C287" s="1874"/>
      <c r="D287" s="1874"/>
      <c r="E287" s="1874"/>
      <c r="F287" s="1866">
        <v>0.05</v>
      </c>
    </row>
    <row r="288" spans="1:6" ht="24.75" thickBot="1">
      <c r="A288" s="1860" t="s">
        <v>1419</v>
      </c>
      <c r="B288" s="1864" t="s">
        <v>2204</v>
      </c>
      <c r="C288" s="1874"/>
      <c r="D288" s="1874"/>
      <c r="E288" s="1874"/>
      <c r="F288" s="1866">
        <v>0.05</v>
      </c>
    </row>
    <row r="289" spans="1:6" ht="24.75" thickBot="1">
      <c r="A289" s="1868" t="s">
        <v>1419</v>
      </c>
      <c r="B289" s="1875" t="s">
        <v>2205</v>
      </c>
      <c r="C289" s="1871"/>
      <c r="D289" s="1871"/>
      <c r="E289" s="1871"/>
      <c r="F289" s="1876">
        <v>0.05</v>
      </c>
    </row>
    <row r="290" spans="1:6" ht="14.25" thickBot="1">
      <c r="A290" s="1860" t="s">
        <v>1423</v>
      </c>
      <c r="B290" s="1861" t="s">
        <v>2206</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2207</v>
      </c>
      <c r="C292" s="1865">
        <v>0.15</v>
      </c>
      <c r="D292" s="1865">
        <v>0.15</v>
      </c>
      <c r="E292" s="1865">
        <v>0.15</v>
      </c>
      <c r="F292" s="1866">
        <v>0.14699999999999999</v>
      </c>
    </row>
    <row r="293" spans="1:6" ht="14.25" thickBot="1">
      <c r="A293" s="1860" t="s">
        <v>1423</v>
      </c>
      <c r="B293" s="1864" t="s">
        <v>2208</v>
      </c>
      <c r="C293" s="1874"/>
      <c r="D293" s="1874"/>
      <c r="E293" s="1874"/>
      <c r="F293" s="1866">
        <v>0.1</v>
      </c>
    </row>
    <row r="294" spans="1:6" ht="14.25" thickBot="1">
      <c r="A294" s="1860" t="s">
        <v>1423</v>
      </c>
      <c r="B294" s="1864" t="s">
        <v>2209</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2210</v>
      </c>
      <c r="C296" s="1865">
        <v>0.15</v>
      </c>
      <c r="D296" s="1865">
        <v>0.15</v>
      </c>
      <c r="E296" s="1865">
        <v>0.15</v>
      </c>
      <c r="F296" s="1866">
        <v>0.15</v>
      </c>
    </row>
    <row r="297" spans="1:6" ht="14.25" thickBot="1">
      <c r="A297" s="1860" t="s">
        <v>1423</v>
      </c>
      <c r="B297" s="1864" t="s">
        <v>2211</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2212</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2213</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2214</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2215</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2216</v>
      </c>
      <c r="C310" s="1865">
        <v>0.15</v>
      </c>
      <c r="D310" s="1865">
        <v>0.15</v>
      </c>
      <c r="E310" s="1865">
        <v>0.15</v>
      </c>
      <c r="F310" s="1866">
        <v>0.13700000000000001</v>
      </c>
    </row>
    <row r="311" spans="1:6" ht="14.25" thickBot="1">
      <c r="A311" s="1860" t="s">
        <v>1423</v>
      </c>
      <c r="B311" s="1864" t="s">
        <v>2217</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2218</v>
      </c>
      <c r="C313" s="1865">
        <v>0.15</v>
      </c>
      <c r="D313" s="1865">
        <v>0.15</v>
      </c>
      <c r="E313" s="1865">
        <v>0.15</v>
      </c>
      <c r="F313" s="1866">
        <v>0.15</v>
      </c>
    </row>
    <row r="314" spans="1:6" ht="24.75" thickBot="1">
      <c r="A314" s="1860" t="s">
        <v>1423</v>
      </c>
      <c r="B314" s="1864" t="s">
        <v>2219</v>
      </c>
      <c r="C314" s="1874"/>
      <c r="D314" s="1874"/>
      <c r="E314" s="1874"/>
      <c r="F314" s="1866">
        <v>0.05</v>
      </c>
    </row>
    <row r="315" spans="1:6" ht="24.75" thickBot="1">
      <c r="A315" s="1860" t="s">
        <v>1423</v>
      </c>
      <c r="B315" s="1864" t="s">
        <v>2220</v>
      </c>
      <c r="C315" s="1874"/>
      <c r="D315" s="1874"/>
      <c r="E315" s="1874"/>
      <c r="F315" s="1866">
        <v>0.05</v>
      </c>
    </row>
    <row r="316" spans="1:6" ht="24.75" thickBot="1">
      <c r="A316" s="1868" t="s">
        <v>1423</v>
      </c>
      <c r="B316" s="1875" t="s">
        <v>2221</v>
      </c>
      <c r="C316" s="1871"/>
      <c r="D316" s="1871"/>
      <c r="E316" s="1871"/>
      <c r="F316" s="1876">
        <v>0.05</v>
      </c>
    </row>
    <row r="317" spans="1:6" ht="14.25" thickBot="1">
      <c r="A317" s="1860" t="s">
        <v>2222</v>
      </c>
      <c r="B317" s="1861" t="s">
        <v>2223</v>
      </c>
      <c r="C317" s="1862">
        <v>0.15</v>
      </c>
      <c r="D317" s="1862">
        <v>0.15</v>
      </c>
      <c r="E317" s="1862">
        <v>0.15</v>
      </c>
      <c r="F317" s="1863">
        <v>0.15</v>
      </c>
    </row>
    <row r="318" spans="1:6" ht="14.25" thickBot="1">
      <c r="A318" s="1860" t="s">
        <v>2222</v>
      </c>
      <c r="B318" s="1864" t="s">
        <v>2224</v>
      </c>
      <c r="C318" s="1865">
        <v>0.107</v>
      </c>
      <c r="D318" s="1865">
        <v>0.11</v>
      </c>
      <c r="E318" s="1865">
        <v>0.112</v>
      </c>
      <c r="F318" s="1873"/>
    </row>
    <row r="319" spans="1:6" ht="14.25" thickBot="1">
      <c r="A319" s="1860" t="s">
        <v>2222</v>
      </c>
      <c r="B319" s="1864" t="s">
        <v>2225</v>
      </c>
      <c r="C319" s="1865">
        <v>0.15</v>
      </c>
      <c r="D319" s="1865">
        <v>0.15</v>
      </c>
      <c r="E319" s="1865">
        <v>0.15</v>
      </c>
      <c r="F319" s="1866">
        <v>0.15</v>
      </c>
    </row>
    <row r="320" spans="1:6" ht="14.25" thickBot="1">
      <c r="A320" s="1860" t="s">
        <v>2222</v>
      </c>
      <c r="B320" s="1864" t="s">
        <v>1111</v>
      </c>
      <c r="C320" s="1865">
        <v>0.15</v>
      </c>
      <c r="D320" s="1865">
        <v>0.15</v>
      </c>
      <c r="E320" s="1865">
        <v>0.15</v>
      </c>
      <c r="F320" s="1873"/>
    </row>
    <row r="321" spans="1:6" ht="14.25" thickBot="1">
      <c r="A321" s="1860" t="s">
        <v>2222</v>
      </c>
      <c r="B321" s="1864" t="s">
        <v>2226</v>
      </c>
      <c r="C321" s="1865">
        <v>0.15</v>
      </c>
      <c r="D321" s="1865">
        <v>0.15</v>
      </c>
      <c r="E321" s="1865">
        <v>0.15</v>
      </c>
      <c r="F321" s="1873"/>
    </row>
    <row r="322" spans="1:6" ht="14.25" thickBot="1">
      <c r="A322" s="1860" t="s">
        <v>2222</v>
      </c>
      <c r="B322" s="1864" t="s">
        <v>2227</v>
      </c>
      <c r="C322" s="1865">
        <v>0.15</v>
      </c>
      <c r="D322" s="1865">
        <v>0.15</v>
      </c>
      <c r="E322" s="1865">
        <v>0.15</v>
      </c>
      <c r="F322" s="1866">
        <v>0.15</v>
      </c>
    </row>
    <row r="323" spans="1:6" ht="14.25" thickBot="1">
      <c r="A323" s="1860" t="s">
        <v>2222</v>
      </c>
      <c r="B323" s="1864" t="s">
        <v>2228</v>
      </c>
      <c r="C323" s="1865">
        <v>0.15</v>
      </c>
      <c r="D323" s="1865">
        <v>0.15</v>
      </c>
      <c r="E323" s="1865">
        <v>0.15</v>
      </c>
      <c r="F323" s="1873"/>
    </row>
    <row r="324" spans="1:6" ht="14.25" thickBot="1">
      <c r="A324" s="1860" t="s">
        <v>2222</v>
      </c>
      <c r="B324" s="1864" t="s">
        <v>2229</v>
      </c>
      <c r="C324" s="1865">
        <v>0.15</v>
      </c>
      <c r="D324" s="1865">
        <v>0.15</v>
      </c>
      <c r="E324" s="1865">
        <v>0.15</v>
      </c>
      <c r="F324" s="1873"/>
    </row>
    <row r="325" spans="1:6" ht="14.25" thickBot="1">
      <c r="A325" s="1860" t="s">
        <v>2222</v>
      </c>
      <c r="B325" s="1864" t="s">
        <v>2230</v>
      </c>
      <c r="C325" s="1865">
        <v>0.15</v>
      </c>
      <c r="D325" s="1865">
        <v>0.15</v>
      </c>
      <c r="E325" s="1865">
        <v>0.15</v>
      </c>
      <c r="F325" s="1866">
        <v>0.14699999999999999</v>
      </c>
    </row>
    <row r="326" spans="1:6" ht="14.25" thickBot="1">
      <c r="A326" s="1860" t="s">
        <v>2222</v>
      </c>
      <c r="B326" s="1864" t="s">
        <v>1180</v>
      </c>
      <c r="C326" s="1865">
        <v>0.15</v>
      </c>
      <c r="D326" s="1865">
        <v>0.15</v>
      </c>
      <c r="E326" s="1865">
        <v>0.15</v>
      </c>
      <c r="F326" s="1873"/>
    </row>
    <row r="327" spans="1:6" ht="14.25" thickBot="1">
      <c r="A327" s="1860" t="s">
        <v>2222</v>
      </c>
      <c r="B327" s="1864" t="s">
        <v>2231</v>
      </c>
      <c r="C327" s="1865">
        <v>0.15</v>
      </c>
      <c r="D327" s="1865">
        <v>0.15</v>
      </c>
      <c r="E327" s="1865">
        <v>0.15</v>
      </c>
      <c r="F327" s="1866">
        <v>0.15</v>
      </c>
    </row>
    <row r="328" spans="1:6" ht="14.25" thickBot="1">
      <c r="A328" s="1860" t="s">
        <v>2222</v>
      </c>
      <c r="B328" s="1864" t="s">
        <v>1200</v>
      </c>
      <c r="C328" s="1865">
        <v>0.15</v>
      </c>
      <c r="D328" s="1865">
        <v>0.15</v>
      </c>
      <c r="E328" s="1865">
        <v>0.15</v>
      </c>
      <c r="F328" s="1866">
        <v>0.14099999999999999</v>
      </c>
    </row>
    <row r="329" spans="1:6" ht="14.25" thickBot="1">
      <c r="A329" s="1860" t="s">
        <v>2222</v>
      </c>
      <c r="B329" s="1864" t="s">
        <v>1210</v>
      </c>
      <c r="C329" s="1865">
        <v>0.15</v>
      </c>
      <c r="D329" s="1865">
        <v>0.15</v>
      </c>
      <c r="E329" s="1865">
        <v>0.15</v>
      </c>
      <c r="F329" s="1866">
        <v>0.15</v>
      </c>
    </row>
    <row r="330" spans="1:6" ht="14.25" thickBot="1">
      <c r="A330" s="1860" t="s">
        <v>2222</v>
      </c>
      <c r="B330" s="1864" t="s">
        <v>1220</v>
      </c>
      <c r="C330" s="1865">
        <v>0.15</v>
      </c>
      <c r="D330" s="1865">
        <v>0.15</v>
      </c>
      <c r="E330" s="1865">
        <v>0.15</v>
      </c>
      <c r="F330" s="1873"/>
    </row>
    <row r="331" spans="1:6" ht="14.25" thickBot="1">
      <c r="A331" s="1860" t="s">
        <v>2222</v>
      </c>
      <c r="B331" s="1864" t="s">
        <v>2232</v>
      </c>
      <c r="C331" s="1865">
        <v>0.15</v>
      </c>
      <c r="D331" s="1865">
        <v>0.15</v>
      </c>
      <c r="E331" s="1865">
        <v>0.15</v>
      </c>
      <c r="F331" s="1866">
        <v>0.15</v>
      </c>
    </row>
    <row r="332" spans="1:6" ht="14.25" thickBot="1">
      <c r="A332" s="1860" t="s">
        <v>2222</v>
      </c>
      <c r="B332" s="1864" t="s">
        <v>1240</v>
      </c>
      <c r="C332" s="1865">
        <v>0.15</v>
      </c>
      <c r="D332" s="1865">
        <v>0.15</v>
      </c>
      <c r="E332" s="1865">
        <v>0.15</v>
      </c>
      <c r="F332" s="1866">
        <v>0.15</v>
      </c>
    </row>
    <row r="333" spans="1:6" ht="14.25" thickBot="1">
      <c r="A333" s="1860" t="s">
        <v>2222</v>
      </c>
      <c r="B333" s="1864" t="s">
        <v>2233</v>
      </c>
      <c r="C333" s="1865">
        <v>0.15</v>
      </c>
      <c r="D333" s="1865">
        <v>0.15</v>
      </c>
      <c r="E333" s="1865">
        <v>0.15</v>
      </c>
      <c r="F333" s="1866">
        <v>0.14099999999999999</v>
      </c>
    </row>
    <row r="334" spans="1:6" ht="14.25" thickBot="1">
      <c r="A334" s="1860" t="s">
        <v>2222</v>
      </c>
      <c r="B334" s="1864" t="s">
        <v>1260</v>
      </c>
      <c r="C334" s="1865">
        <v>0.15</v>
      </c>
      <c r="D334" s="1865">
        <v>0.15</v>
      </c>
      <c r="E334" s="1865">
        <v>0.15</v>
      </c>
      <c r="F334" s="1866">
        <v>0.15</v>
      </c>
    </row>
    <row r="335" spans="1:6" ht="14.25" thickBot="1">
      <c r="A335" s="1860" t="s">
        <v>2222</v>
      </c>
      <c r="B335" s="1864" t="s">
        <v>1270</v>
      </c>
      <c r="C335" s="1865">
        <v>0.15</v>
      </c>
      <c r="D335" s="1865">
        <v>0.15</v>
      </c>
      <c r="E335" s="1865">
        <v>0.15</v>
      </c>
      <c r="F335" s="1873"/>
    </row>
    <row r="336" spans="1:6" ht="14.25" thickBot="1">
      <c r="A336" s="1860" t="s">
        <v>2222</v>
      </c>
      <c r="B336" s="1864" t="s">
        <v>2234</v>
      </c>
      <c r="C336" s="1865">
        <v>0.15</v>
      </c>
      <c r="D336" s="1865">
        <v>0.15</v>
      </c>
      <c r="E336" s="1865">
        <v>0.15</v>
      </c>
      <c r="F336" s="1866">
        <v>0.11799999999999999</v>
      </c>
    </row>
    <row r="337" spans="1:6" ht="14.25" thickBot="1">
      <c r="A337" s="1868" t="s">
        <v>2222</v>
      </c>
      <c r="B337" s="1875" t="s">
        <v>1288</v>
      </c>
      <c r="C337" s="1871"/>
      <c r="D337" s="1871"/>
      <c r="E337" s="1871"/>
      <c r="F337" s="1876">
        <v>0.14299999999999999</v>
      </c>
    </row>
    <row r="338" spans="1:6" ht="14.25" thickBot="1">
      <c r="A338" s="1860" t="s">
        <v>2235</v>
      </c>
      <c r="B338" s="1861" t="s">
        <v>2236</v>
      </c>
      <c r="C338" s="1862">
        <v>0.15</v>
      </c>
      <c r="D338" s="1862">
        <v>0.15</v>
      </c>
      <c r="E338" s="1862">
        <v>0.15</v>
      </c>
      <c r="F338" s="1884"/>
    </row>
    <row r="339" spans="1:6" ht="14.25" thickBot="1">
      <c r="A339" s="1860" t="s">
        <v>2235</v>
      </c>
      <c r="B339" s="1864" t="s">
        <v>2237</v>
      </c>
      <c r="C339" s="1865">
        <v>0.15</v>
      </c>
      <c r="D339" s="1865">
        <v>0.15</v>
      </c>
      <c r="E339" s="1865">
        <v>0.15</v>
      </c>
      <c r="F339" s="1873"/>
    </row>
    <row r="340" spans="1:6" ht="14.25" thickBot="1">
      <c r="A340" s="1860" t="s">
        <v>2235</v>
      </c>
      <c r="B340" s="1864" t="s">
        <v>2238</v>
      </c>
      <c r="C340" s="1865">
        <v>0.15</v>
      </c>
      <c r="D340" s="1865">
        <v>0.15</v>
      </c>
      <c r="E340" s="1865">
        <v>0.15</v>
      </c>
      <c r="F340" s="1873"/>
    </row>
    <row r="341" spans="1:6" ht="14.25" thickBot="1">
      <c r="A341" s="1860" t="s">
        <v>2239</v>
      </c>
      <c r="B341" s="1864" t="s">
        <v>2240</v>
      </c>
      <c r="C341" s="1865">
        <v>0.15</v>
      </c>
      <c r="D341" s="1865">
        <v>0.15</v>
      </c>
      <c r="E341" s="1865">
        <v>0.15</v>
      </c>
      <c r="F341" s="1866">
        <v>0.15</v>
      </c>
    </row>
    <row r="342" spans="1:6" ht="14.25" thickBot="1">
      <c r="A342" s="1860" t="s">
        <v>2235</v>
      </c>
      <c r="B342" s="1864" t="s">
        <v>2241</v>
      </c>
      <c r="C342" s="1865">
        <v>0.15</v>
      </c>
      <c r="D342" s="1865">
        <v>0.15</v>
      </c>
      <c r="E342" s="1865">
        <v>0.15</v>
      </c>
      <c r="F342" s="1866">
        <v>0.15</v>
      </c>
    </row>
    <row r="343" spans="1:6" ht="14.25" thickBot="1">
      <c r="A343" s="1860" t="s">
        <v>2235</v>
      </c>
      <c r="B343" s="1864" t="s">
        <v>2242</v>
      </c>
      <c r="C343" s="1865">
        <v>0.15</v>
      </c>
      <c r="D343" s="1865">
        <v>0.15</v>
      </c>
      <c r="E343" s="1865">
        <v>0.15</v>
      </c>
      <c r="F343" s="1866">
        <v>0.15</v>
      </c>
    </row>
    <row r="344" spans="1:6" ht="14.25" thickBot="1">
      <c r="A344" s="1868" t="s">
        <v>2235</v>
      </c>
      <c r="B344" s="1875" t="s">
        <v>2243</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2961</v>
      </c>
      <c r="B1" s="3146"/>
      <c r="C1" s="3146"/>
      <c r="D1" s="3146"/>
      <c r="E1" s="3146"/>
      <c r="F1" s="3146"/>
    </row>
    <row r="2" spans="1:6" ht="14.25">
      <c r="A2" s="3147" t="s">
        <v>2955</v>
      </c>
      <c r="B2" s="3148">
        <f ca="1">SUMIF(B7:B14,"&lt;&gt;#ref!",B7:B14)</f>
        <v>3195</v>
      </c>
      <c r="C2" s="3147" t="s">
        <v>2956</v>
      </c>
      <c r="D2" s="3146"/>
      <c r="E2" s="3146"/>
      <c r="F2" s="3146"/>
    </row>
    <row r="3" spans="1:6" ht="14.25">
      <c r="A3" s="3147" t="s">
        <v>2958</v>
      </c>
      <c r="B3" s="3148" t="e">
        <f ca="1">ROUND(B2*10000/E3,0)</f>
        <v>#REF!</v>
      </c>
      <c r="C3" s="3147" t="s">
        <v>2084</v>
      </c>
      <c r="D3" s="3147" t="s">
        <v>2957</v>
      </c>
      <c r="E3" s="3148" t="e">
        <f ca="1">SUM(E7:E14)</f>
        <v>#REF!</v>
      </c>
      <c r="F3" s="3146"/>
    </row>
    <row r="4" spans="1:6" ht="14.25">
      <c r="A4" s="3147" t="s">
        <v>2965</v>
      </c>
      <c r="B4" s="3148" t="e">
        <f ca="1">ROUND(B2*10000/E4,0)</f>
        <v>#REF!</v>
      </c>
      <c r="C4" s="3147" t="s">
        <v>2084</v>
      </c>
      <c r="D4" s="3147" t="s">
        <v>2966</v>
      </c>
      <c r="E4" s="3148" t="e">
        <f ca="1">SUM(F7:F14)</f>
        <v>#REF!</v>
      </c>
      <c r="F4" s="3146"/>
    </row>
    <row r="5" spans="1:6" ht="14.25">
      <c r="A5" s="3149"/>
      <c r="B5" s="1886"/>
      <c r="C5" s="1886"/>
      <c r="D5" s="1886"/>
      <c r="E5" s="1886"/>
      <c r="F5" s="3146"/>
    </row>
    <row r="6" spans="1:6" ht="28.5">
      <c r="A6" s="3150" t="s">
        <v>2962</v>
      </c>
      <c r="B6" s="3147" t="s">
        <v>2959</v>
      </c>
      <c r="C6" s="3148"/>
      <c r="D6" s="1886"/>
      <c r="E6" s="3147" t="s">
        <v>2960</v>
      </c>
      <c r="F6" s="3147" t="s">
        <v>2964</v>
      </c>
    </row>
    <row r="7" spans="1:6" ht="14.25">
      <c r="A7" s="260" t="s">
        <v>2963</v>
      </c>
      <c r="B7" s="3151">
        <f ca="1">SUMIF(INDIRECT("'"&amp;A7&amp;"'"&amp;"!A:A"),"总价",INDIRECT("'"&amp;A7&amp;"'"&amp;"!B:B"))</f>
        <v>3195</v>
      </c>
      <c r="C7" s="3147" t="s">
        <v>2956</v>
      </c>
      <c r="D7" s="1886"/>
      <c r="E7" s="3152">
        <f ca="1">SUMIF(INDIRECT("'"&amp;A7&amp;"'"&amp;"!C:C"),"建筑面积",INDIRECT("'"&amp;A7&amp;"'"&amp;"!D:D"))</f>
        <v>41016</v>
      </c>
      <c r="F7" s="3152">
        <f ca="1">SUMIF(INDIRECT("'"&amp;A7&amp;"'"&amp;"!E:E"),"土地面积",INDIRECT("'"&amp;A7&amp;"'"&amp;"!F:F"))</f>
        <v>41016.61</v>
      </c>
    </row>
    <row r="8" spans="1:6" ht="14.25">
      <c r="A8" s="260"/>
      <c r="B8" s="3151" t="e">
        <f t="shared" ref="B8:B14" ca="1" si="0">SUMIF(INDIRECT("'"&amp;A8&amp;"'"&amp;"!A:A"),"总价",INDIRECT("'"&amp;A8&amp;"'"&amp;"!B:B"))</f>
        <v>#REF!</v>
      </c>
      <c r="C8" s="3147" t="s">
        <v>2956</v>
      </c>
      <c r="D8" s="1886"/>
      <c r="E8" s="3152" t="e">
        <f t="shared" ref="E8:E14" ca="1" si="1">SUMIF(INDIRECT("'"&amp;A8&amp;"'"&amp;"!C:C"),"建筑面积",INDIRECT("'"&amp;A8&amp;"'"&amp;"!D:D"))</f>
        <v>#REF!</v>
      </c>
      <c r="F8" s="3152" t="e">
        <f t="shared" ref="F8:F14" ca="1" si="2">SUMIF(INDIRECT("'"&amp;A8&amp;"'"&amp;"!E:E"),"土地面积",INDIRECT("'"&amp;A8&amp;"'"&amp;"!F:F"))</f>
        <v>#REF!</v>
      </c>
    </row>
    <row r="9" spans="1:6" ht="14.25">
      <c r="A9" s="260"/>
      <c r="B9" s="3151" t="e">
        <f t="shared" ca="1" si="0"/>
        <v>#REF!</v>
      </c>
      <c r="C9" s="3147" t="s">
        <v>2956</v>
      </c>
      <c r="D9" s="1886"/>
      <c r="E9" s="3152" t="e">
        <f t="shared" ca="1" si="1"/>
        <v>#REF!</v>
      </c>
      <c r="F9" s="3152" t="e">
        <f t="shared" ca="1" si="2"/>
        <v>#REF!</v>
      </c>
    </row>
    <row r="10" spans="1:6" ht="14.25">
      <c r="A10" s="260"/>
      <c r="B10" s="3151" t="e">
        <f t="shared" ca="1" si="0"/>
        <v>#REF!</v>
      </c>
      <c r="C10" s="3147" t="s">
        <v>2956</v>
      </c>
      <c r="D10" s="1886"/>
      <c r="E10" s="3152" t="e">
        <f t="shared" ca="1" si="1"/>
        <v>#REF!</v>
      </c>
      <c r="F10" s="3152" t="e">
        <f t="shared" ca="1" si="2"/>
        <v>#REF!</v>
      </c>
    </row>
    <row r="11" spans="1:6" ht="14.25">
      <c r="A11" s="260"/>
      <c r="B11" s="3151" t="e">
        <f t="shared" ca="1" si="0"/>
        <v>#REF!</v>
      </c>
      <c r="C11" s="3147" t="s">
        <v>2956</v>
      </c>
      <c r="D11" s="1886"/>
      <c r="E11" s="3152" t="e">
        <f t="shared" ca="1" si="1"/>
        <v>#REF!</v>
      </c>
      <c r="F11" s="3152" t="e">
        <f t="shared" ca="1" si="2"/>
        <v>#REF!</v>
      </c>
    </row>
    <row r="12" spans="1:6" ht="14.25">
      <c r="A12" s="260"/>
      <c r="B12" s="3151" t="e">
        <f t="shared" ca="1" si="0"/>
        <v>#REF!</v>
      </c>
      <c r="C12" s="3147" t="s">
        <v>2956</v>
      </c>
      <c r="D12" s="1886"/>
      <c r="E12" s="3152" t="e">
        <f t="shared" ca="1" si="1"/>
        <v>#REF!</v>
      </c>
      <c r="F12" s="3152" t="e">
        <f t="shared" ca="1" si="2"/>
        <v>#REF!</v>
      </c>
    </row>
    <row r="13" spans="1:6" ht="14.25">
      <c r="A13" s="260"/>
      <c r="B13" s="3151" t="e">
        <f t="shared" ca="1" si="0"/>
        <v>#REF!</v>
      </c>
      <c r="C13" s="3147" t="s">
        <v>2956</v>
      </c>
      <c r="D13" s="1886"/>
      <c r="E13" s="3152" t="e">
        <f t="shared" ca="1" si="1"/>
        <v>#REF!</v>
      </c>
      <c r="F13" s="3152" t="e">
        <f t="shared" ca="1" si="2"/>
        <v>#REF!</v>
      </c>
    </row>
    <row r="14" spans="1:6" ht="14.25">
      <c r="A14" s="3145"/>
      <c r="B14" s="3151" t="e">
        <f t="shared" ca="1" si="0"/>
        <v>#REF!</v>
      </c>
      <c r="C14" s="3147" t="s">
        <v>2956</v>
      </c>
      <c r="D14" s="1886"/>
      <c r="E14" s="3152" t="e">
        <f t="shared" ca="1" si="1"/>
        <v>#REF!</v>
      </c>
      <c r="F14" s="31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24" t="s">
        <v>2584</v>
      </c>
      <c r="C1" s="3424"/>
      <c r="D1" s="3424"/>
      <c r="E1" s="3424"/>
      <c r="F1" s="3424"/>
      <c r="G1" s="3423" t="s">
        <v>2585</v>
      </c>
      <c r="H1" s="3423"/>
      <c r="I1" s="3423"/>
      <c r="J1" s="3423"/>
      <c r="K1" s="3423"/>
      <c r="L1" s="3423"/>
      <c r="N1" s="3423" t="s">
        <v>2586</v>
      </c>
      <c r="O1" s="3423"/>
      <c r="P1" s="3423"/>
      <c r="Q1" s="3423"/>
      <c r="R1" s="2689"/>
      <c r="S1" s="3423" t="s">
        <v>2587</v>
      </c>
      <c r="T1" s="3423"/>
      <c r="U1" s="3423"/>
      <c r="V1" s="3423"/>
      <c r="X1" s="3422" t="s">
        <v>2649</v>
      </c>
      <c r="Y1" s="3423"/>
      <c r="Z1" s="3423"/>
      <c r="AA1" s="3423"/>
      <c r="AB1" s="3423"/>
      <c r="AD1" s="3422" t="s">
        <v>2654</v>
      </c>
      <c r="AE1" s="3423"/>
      <c r="AF1" s="3423"/>
      <c r="AG1" s="3423"/>
      <c r="AH1" s="3423"/>
    </row>
    <row r="2" spans="1:34" s="2792" customFormat="1" ht="14.25" thickBot="1">
      <c r="B2" s="2802" t="s">
        <v>2588</v>
      </c>
      <c r="C2" s="2802" t="s">
        <v>2652</v>
      </c>
      <c r="D2" s="2793" t="s">
        <v>1648</v>
      </c>
      <c r="E2" s="2793" t="s">
        <v>1956</v>
      </c>
      <c r="F2" s="2802" t="s">
        <v>2653</v>
      </c>
      <c r="G2" s="2796"/>
      <c r="H2" s="2795"/>
      <c r="I2" s="2802" t="s">
        <v>2968</v>
      </c>
      <c r="J2" s="2793" t="s">
        <v>2970</v>
      </c>
      <c r="K2" s="2793" t="s">
        <v>2971</v>
      </c>
      <c r="L2" s="2802" t="s">
        <v>2972</v>
      </c>
      <c r="N2" s="2802" t="s">
        <v>2588</v>
      </c>
      <c r="O2" s="2793" t="s">
        <v>2969</v>
      </c>
      <c r="P2" s="2793" t="s">
        <v>1956</v>
      </c>
      <c r="Q2" s="2802" t="s">
        <v>2653</v>
      </c>
      <c r="R2" s="2794"/>
      <c r="S2" s="2802" t="s">
        <v>2588</v>
      </c>
      <c r="T2" s="2793" t="s">
        <v>2969</v>
      </c>
      <c r="U2" s="2793" t="s">
        <v>1956</v>
      </c>
      <c r="V2" s="2802" t="s">
        <v>2653</v>
      </c>
      <c r="X2" s="2802" t="s">
        <v>2588</v>
      </c>
      <c r="Y2" s="2802" t="s">
        <v>2652</v>
      </c>
      <c r="Z2" s="2793" t="s">
        <v>1648</v>
      </c>
      <c r="AA2" s="2793" t="s">
        <v>1956</v>
      </c>
      <c r="AB2" s="2802" t="s">
        <v>2653</v>
      </c>
      <c r="AD2" s="2802" t="s">
        <v>2588</v>
      </c>
      <c r="AE2" s="2802" t="s">
        <v>2652</v>
      </c>
      <c r="AF2" s="2793" t="s">
        <v>1648</v>
      </c>
      <c r="AG2" s="2793" t="s">
        <v>1956</v>
      </c>
      <c r="AH2" s="2802" t="s">
        <v>2653</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2589</v>
      </c>
      <c r="B4" s="2691"/>
      <c r="C4" s="2691"/>
      <c r="D4" s="2691"/>
      <c r="E4" s="2691"/>
      <c r="F4" s="2691"/>
      <c r="G4" s="3421">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6" customFormat="1">
      <c r="A5" s="3154" t="s">
        <v>2590</v>
      </c>
      <c r="B5" s="2833">
        <f t="shared" ref="B5:C7" si="2">B6*(1+N5)</f>
        <v>429.62688667359998</v>
      </c>
      <c r="C5" s="2833">
        <f t="shared" si="2"/>
        <v>318.97763788800006</v>
      </c>
      <c r="D5" s="2833">
        <f>C5</f>
        <v>318.97763788800006</v>
      </c>
      <c r="E5" s="2833">
        <f t="shared" ref="E5:F7" si="3">E6*(1+P5)</f>
        <v>613.03761713879999</v>
      </c>
      <c r="F5" s="2833">
        <f t="shared" si="3"/>
        <v>278.506175276448</v>
      </c>
      <c r="G5" s="3419"/>
      <c r="H5" s="3155">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7"/>
      <c r="S5" s="3158"/>
      <c r="T5" s="3157"/>
      <c r="U5" s="3157"/>
      <c r="V5" s="3157"/>
      <c r="W5" s="2800" t="s">
        <v>2650</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8" customFormat="1">
      <c r="A6" s="2690" t="s">
        <v>2591</v>
      </c>
      <c r="B6" s="2705">
        <f t="shared" si="2"/>
        <v>419.31181600000002</v>
      </c>
      <c r="C6" s="2705">
        <f t="shared" si="2"/>
        <v>313.95436800000004</v>
      </c>
      <c r="D6" s="2705">
        <f>C6</f>
        <v>313.95436800000004</v>
      </c>
      <c r="E6" s="2705">
        <f t="shared" si="3"/>
        <v>596.63028431999999</v>
      </c>
      <c r="F6" s="2705">
        <f t="shared" si="3"/>
        <v>274.74220703999998</v>
      </c>
      <c r="G6" s="3419"/>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2592</v>
      </c>
      <c r="B7" s="2705">
        <f t="shared" si="2"/>
        <v>405.524</v>
      </c>
      <c r="C7" s="2705">
        <f t="shared" si="2"/>
        <v>307.79840000000002</v>
      </c>
      <c r="D7" s="2705">
        <f>C7</f>
        <v>307.79840000000002</v>
      </c>
      <c r="E7" s="2705">
        <f t="shared" si="3"/>
        <v>574.67759999999998</v>
      </c>
      <c r="F7" s="2705">
        <f t="shared" si="3"/>
        <v>270.20280000000002</v>
      </c>
      <c r="G7" s="3420"/>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21">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19"/>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1"/>
        <v>360.06949782209392</v>
      </c>
      <c r="C10" s="2705">
        <f t="shared" si="11"/>
        <v>289.84672674747821</v>
      </c>
      <c r="D10" s="2705">
        <f t="shared" si="12"/>
        <v>289.84672674747821</v>
      </c>
      <c r="E10" s="2705">
        <f t="shared" si="13"/>
        <v>501.06543001181495</v>
      </c>
      <c r="F10" s="2705">
        <f t="shared" si="13"/>
        <v>256.82882500744967</v>
      </c>
      <c r="G10" s="3419"/>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1"/>
        <v>346.720748986128</v>
      </c>
      <c r="C11" s="2705">
        <f t="shared" si="11"/>
        <v>284.30282172386285</v>
      </c>
      <c r="D11" s="2705">
        <f t="shared" si="12"/>
        <v>284.30282172386285</v>
      </c>
      <c r="E11" s="2705">
        <f t="shared" si="13"/>
        <v>479.58023546306947</v>
      </c>
      <c r="F11" s="2705">
        <f t="shared" si="13"/>
        <v>253.25788877571213</v>
      </c>
      <c r="G11" s="3420"/>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2"/>
        <v>277</v>
      </c>
      <c r="E12" s="2697">
        <v>459</v>
      </c>
      <c r="F12" s="2698">
        <v>249</v>
      </c>
      <c r="G12" s="3418">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19"/>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5"/>
        <v>322.34053690220776</v>
      </c>
      <c r="C14" s="2705">
        <f t="shared" si="15"/>
        <v>271.46160770422546</v>
      </c>
      <c r="D14" s="2705">
        <f t="shared" si="12"/>
        <v>271.46160770422546</v>
      </c>
      <c r="E14" s="2705">
        <f t="shared" si="16"/>
        <v>442.69434542172456</v>
      </c>
      <c r="F14" s="2705">
        <f t="shared" si="16"/>
        <v>241.34030753190925</v>
      </c>
      <c r="G14" s="3419"/>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5"/>
        <v>319.87748030386797</v>
      </c>
      <c r="C15" s="2705">
        <f t="shared" si="15"/>
        <v>269.60135833173649</v>
      </c>
      <c r="D15" s="2705">
        <f t="shared" si="12"/>
        <v>269.60135833173649</v>
      </c>
      <c r="E15" s="2705">
        <f t="shared" si="16"/>
        <v>439.18089823583784</v>
      </c>
      <c r="F15" s="2705">
        <f t="shared" si="16"/>
        <v>239.23503918706311</v>
      </c>
      <c r="G15" s="3420"/>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2"/>
        <v>268</v>
      </c>
      <c r="E16" s="2719">
        <v>437</v>
      </c>
      <c r="F16" s="2720">
        <v>237</v>
      </c>
      <c r="G16" s="3418">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19"/>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7"/>
        <v>314.72141172386546</v>
      </c>
      <c r="C18" s="2705">
        <f t="shared" si="17"/>
        <v>263.03901319069001</v>
      </c>
      <c r="D18" s="2705">
        <f t="shared" si="12"/>
        <v>263.03901319069001</v>
      </c>
      <c r="E18" s="2705">
        <f t="shared" si="18"/>
        <v>433.65745506782821</v>
      </c>
      <c r="F18" s="2705">
        <f t="shared" si="18"/>
        <v>233.23005080045735</v>
      </c>
      <c r="G18" s="3419"/>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964</v>
      </c>
      <c r="B19" s="2724">
        <f t="shared" si="17"/>
        <v>307.34512863658733</v>
      </c>
      <c r="C19" s="2724">
        <f t="shared" si="17"/>
        <v>257.80556031626975</v>
      </c>
      <c r="D19" s="2724">
        <f t="shared" si="12"/>
        <v>257.80556031626975</v>
      </c>
      <c r="E19" s="2724">
        <f t="shared" si="18"/>
        <v>422.70928459677179</v>
      </c>
      <c r="F19" s="2724">
        <f t="shared" si="18"/>
        <v>229.73803270336617</v>
      </c>
      <c r="G19" s="3420"/>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2651</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2593</v>
      </c>
      <c r="B20" s="2697">
        <v>299</v>
      </c>
      <c r="C20" s="2697">
        <v>252</v>
      </c>
      <c r="D20" s="2697">
        <f t="shared" si="12"/>
        <v>252</v>
      </c>
      <c r="E20" s="2697">
        <v>409</v>
      </c>
      <c r="F20" s="2698">
        <v>227</v>
      </c>
      <c r="G20" s="3425">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2594</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26"/>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2595</v>
      </c>
      <c r="B22" s="2705">
        <f t="shared" si="21"/>
        <v>288.2649053828776</v>
      </c>
      <c r="C22" s="2705">
        <f t="shared" si="21"/>
        <v>243.64564425013293</v>
      </c>
      <c r="D22" s="2705">
        <f t="shared" si="12"/>
        <v>243.64564425013293</v>
      </c>
      <c r="E22" s="2705">
        <f t="shared" si="22"/>
        <v>393.31080825986544</v>
      </c>
      <c r="F22" s="2705">
        <f t="shared" si="22"/>
        <v>223.07903790551154</v>
      </c>
      <c r="G22" s="3426"/>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2596</v>
      </c>
      <c r="B23" s="2705">
        <f t="shared" si="21"/>
        <v>282.50186729015837</v>
      </c>
      <c r="C23" s="2705">
        <f t="shared" si="21"/>
        <v>238.09796174155468</v>
      </c>
      <c r="D23" s="2705">
        <f t="shared" si="12"/>
        <v>238.09796174155468</v>
      </c>
      <c r="E23" s="2705">
        <f t="shared" si="22"/>
        <v>385.33438646014054</v>
      </c>
      <c r="F23" s="2705">
        <f t="shared" si="22"/>
        <v>221.55034055567739</v>
      </c>
      <c r="G23" s="3427"/>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2597</v>
      </c>
      <c r="B24" s="2735">
        <v>278</v>
      </c>
      <c r="C24" s="2735">
        <v>234</v>
      </c>
      <c r="D24" s="2735">
        <f t="shared" si="12"/>
        <v>234</v>
      </c>
      <c r="E24" s="2735">
        <v>379</v>
      </c>
      <c r="F24" s="2736">
        <v>220</v>
      </c>
      <c r="G24" s="3418">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2598</v>
      </c>
      <c r="B25" s="2705">
        <f>B24/(1+N24)</f>
        <v>275.49301357645425</v>
      </c>
      <c r="C25" s="2705">
        <f>C24/(1+O24)</f>
        <v>232.41954707985698</v>
      </c>
      <c r="D25" s="2705">
        <f t="shared" si="12"/>
        <v>232.41954707985698</v>
      </c>
      <c r="E25" s="2705">
        <f t="shared" ref="E25:F27" si="23">E24/(1+P24)</f>
        <v>375.32184591008121</v>
      </c>
      <c r="F25" s="2705">
        <f t="shared" si="23"/>
        <v>218.03766105054513</v>
      </c>
      <c r="G25" s="3419"/>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2599</v>
      </c>
      <c r="B26" s="2705">
        <f>B25/(1+N25)</f>
        <v>275.24529281292263</v>
      </c>
      <c r="C26" s="2705">
        <f>C25/(1+O25)</f>
        <v>231.74747938962707</v>
      </c>
      <c r="D26" s="2705">
        <f t="shared" si="12"/>
        <v>231.74747938962707</v>
      </c>
      <c r="E26" s="2705">
        <f t="shared" si="23"/>
        <v>375.35938184826603</v>
      </c>
      <c r="F26" s="2705">
        <f t="shared" si="23"/>
        <v>216.78033510692495</v>
      </c>
      <c r="G26" s="3419"/>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2600</v>
      </c>
      <c r="B27" s="2705">
        <f>B26/(1+N26)</f>
        <v>275.19025476197027</v>
      </c>
      <c r="C27" s="2737">
        <v>232</v>
      </c>
      <c r="D27" s="2737">
        <f t="shared" si="12"/>
        <v>232</v>
      </c>
      <c r="E27" s="2705">
        <f t="shared" si="23"/>
        <v>375.65990977608692</v>
      </c>
      <c r="F27" s="2705">
        <f t="shared" si="23"/>
        <v>214.12518283971252</v>
      </c>
      <c r="G27" s="3420"/>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2601</v>
      </c>
      <c r="B28" s="2697">
        <v>275</v>
      </c>
      <c r="C28" s="2697">
        <v>232</v>
      </c>
      <c r="D28" s="2697">
        <f t="shared" si="12"/>
        <v>232</v>
      </c>
      <c r="E28" s="2697">
        <v>376</v>
      </c>
      <c r="F28" s="2698">
        <v>213</v>
      </c>
      <c r="G28" s="3418">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2602</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19">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2603</v>
      </c>
      <c r="B30" s="2705">
        <f t="shared" si="24"/>
        <v>275.19335084830601</v>
      </c>
      <c r="C30" s="2705">
        <f t="shared" si="24"/>
        <v>230.18088050139744</v>
      </c>
      <c r="D30" s="2705">
        <f t="shared" si="12"/>
        <v>230.18088050139744</v>
      </c>
      <c r="E30" s="2705">
        <f t="shared" si="25"/>
        <v>377.58482925212331</v>
      </c>
      <c r="F30" s="2705">
        <f t="shared" si="25"/>
        <v>210.90687997847917</v>
      </c>
      <c r="G30" s="3419">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2604</v>
      </c>
      <c r="B31" s="2705">
        <f t="shared" si="24"/>
        <v>276.29854502841971</v>
      </c>
      <c r="C31" s="2705">
        <f t="shared" si="24"/>
        <v>229.79023709833027</v>
      </c>
      <c r="D31" s="2705">
        <f t="shared" si="12"/>
        <v>229.79023709833027</v>
      </c>
      <c r="E31" s="2705">
        <f t="shared" si="25"/>
        <v>379.78759731655936</v>
      </c>
      <c r="F31" s="2705">
        <f t="shared" si="25"/>
        <v>211.32953905659235</v>
      </c>
      <c r="G31" s="3420">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2605</v>
      </c>
      <c r="B32" s="2697">
        <v>269</v>
      </c>
      <c r="C32" s="2697">
        <v>221</v>
      </c>
      <c r="D32" s="2697">
        <f t="shared" si="12"/>
        <v>221</v>
      </c>
      <c r="E32" s="2697">
        <v>373</v>
      </c>
      <c r="F32" s="2698">
        <v>196</v>
      </c>
      <c r="G32" s="3418">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2606</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19">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2607</v>
      </c>
      <c r="B34" s="2705">
        <f t="shared" si="26"/>
        <v>242.95398227588385</v>
      </c>
      <c r="C34" s="2705">
        <f t="shared" si="26"/>
        <v>199.59137053614126</v>
      </c>
      <c r="D34" s="2705">
        <f t="shared" si="12"/>
        <v>199.59137053614126</v>
      </c>
      <c r="E34" s="2705">
        <f t="shared" si="27"/>
        <v>335.92189522342125</v>
      </c>
      <c r="F34" s="2705">
        <f t="shared" si="27"/>
        <v>183.10139991109489</v>
      </c>
      <c r="G34" s="3419">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2608</v>
      </c>
      <c r="B35" s="2705">
        <f t="shared" si="26"/>
        <v>232.06990378821649</v>
      </c>
      <c r="C35" s="2705">
        <f t="shared" si="26"/>
        <v>192.74878854286936</v>
      </c>
      <c r="D35" s="2705">
        <f t="shared" si="12"/>
        <v>192.74878854286936</v>
      </c>
      <c r="E35" s="2705">
        <f t="shared" si="27"/>
        <v>319.71247284992984</v>
      </c>
      <c r="F35" s="2705">
        <f t="shared" si="27"/>
        <v>175.67053622862409</v>
      </c>
      <c r="G35" s="3420">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2609</v>
      </c>
      <c r="B36" s="2697">
        <v>220</v>
      </c>
      <c r="C36" s="2697">
        <v>187</v>
      </c>
      <c r="D36" s="2697">
        <f t="shared" si="12"/>
        <v>187</v>
      </c>
      <c r="E36" s="2697">
        <v>301</v>
      </c>
      <c r="F36" s="2698">
        <v>168</v>
      </c>
      <c r="G36" s="3418">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2610</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19">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2611</v>
      </c>
      <c r="B38" s="2705">
        <f t="shared" si="28"/>
        <v>210.630522469011</v>
      </c>
      <c r="C38" s="2705">
        <f t="shared" si="28"/>
        <v>181.69567812247232</v>
      </c>
      <c r="D38" s="2705">
        <f t="shared" si="12"/>
        <v>181.69567812247232</v>
      </c>
      <c r="E38" s="2705">
        <f t="shared" si="29"/>
        <v>286.13517466736738</v>
      </c>
      <c r="F38" s="2705">
        <f t="shared" si="29"/>
        <v>165.47535084591149</v>
      </c>
      <c r="G38" s="3419">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2612</v>
      </c>
      <c r="B39" s="2705">
        <f t="shared" si="28"/>
        <v>208.83454537875372</v>
      </c>
      <c r="C39" s="2705">
        <f t="shared" si="28"/>
        <v>183.77230517090351</v>
      </c>
      <c r="D39" s="2705">
        <f t="shared" si="12"/>
        <v>183.77230517090351</v>
      </c>
      <c r="E39" s="2705">
        <f t="shared" si="29"/>
        <v>281.10342338870947</v>
      </c>
      <c r="F39" s="2705">
        <f t="shared" si="29"/>
        <v>168.97309388942256</v>
      </c>
      <c r="G39" s="3420">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2613</v>
      </c>
      <c r="B40" s="2735">
        <v>214</v>
      </c>
      <c r="C40" s="2735">
        <v>188</v>
      </c>
      <c r="D40" s="2735">
        <f t="shared" si="12"/>
        <v>188</v>
      </c>
      <c r="E40" s="2735">
        <v>289</v>
      </c>
      <c r="F40" s="2736">
        <v>166</v>
      </c>
      <c r="G40" s="3418">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2614</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19">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2615</v>
      </c>
      <c r="B42" s="2705">
        <f t="shared" si="30"/>
        <v>206.31694671589116</v>
      </c>
      <c r="C42" s="2705">
        <f t="shared" si="30"/>
        <v>183.61041121036101</v>
      </c>
      <c r="D42" s="2705">
        <f t="shared" si="12"/>
        <v>183.61041121036101</v>
      </c>
      <c r="E42" s="2705">
        <f t="shared" si="31"/>
        <v>276.66850301795557</v>
      </c>
      <c r="F42" s="2705">
        <f t="shared" si="31"/>
        <v>165.1360938278614</v>
      </c>
      <c r="G42" s="3419">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2616</v>
      </c>
      <c r="B43" s="2738">
        <f t="shared" si="30"/>
        <v>196.62341248059772</v>
      </c>
      <c r="C43" s="2738">
        <f t="shared" si="30"/>
        <v>170.99125648199012</v>
      </c>
      <c r="D43" s="2738">
        <f t="shared" si="12"/>
        <v>170.99125648199012</v>
      </c>
      <c r="E43" s="2738">
        <f t="shared" si="31"/>
        <v>266.07857570490052</v>
      </c>
      <c r="F43" s="2738">
        <f t="shared" si="31"/>
        <v>154.53499328828505</v>
      </c>
      <c r="G43" s="3420">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2617</v>
      </c>
      <c r="B44" s="2697">
        <v>188</v>
      </c>
      <c r="C44" s="2697">
        <v>165</v>
      </c>
      <c r="D44" s="2697">
        <f t="shared" si="12"/>
        <v>165</v>
      </c>
      <c r="E44" s="2697">
        <v>254</v>
      </c>
      <c r="F44" s="2698">
        <v>148</v>
      </c>
      <c r="G44" s="3418">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2618</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19">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2619</v>
      </c>
      <c r="B46" s="2705">
        <f t="shared" si="34"/>
        <v>168.82017748715555</v>
      </c>
      <c r="C46" s="2705">
        <f t="shared" si="34"/>
        <v>148.06267029972753</v>
      </c>
      <c r="D46" s="2705">
        <f t="shared" si="12"/>
        <v>148.06267029972753</v>
      </c>
      <c r="E46" s="2705">
        <f t="shared" si="35"/>
        <v>216.46288379323747</v>
      </c>
      <c r="F46" s="2705">
        <f t="shared" si="35"/>
        <v>134.23529411764704</v>
      </c>
      <c r="G46" s="3419">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2620</v>
      </c>
      <c r="B47" s="2705">
        <f t="shared" si="34"/>
        <v>163.84913591779542</v>
      </c>
      <c r="C47" s="2705">
        <f t="shared" si="34"/>
        <v>145.0283378746594</v>
      </c>
      <c r="D47" s="2705">
        <f t="shared" si="12"/>
        <v>145.0283378746594</v>
      </c>
      <c r="E47" s="2705">
        <f t="shared" si="35"/>
        <v>204.95180722891567</v>
      </c>
      <c r="F47" s="2705">
        <f t="shared" si="35"/>
        <v>125.95920303605313</v>
      </c>
      <c r="G47" s="3420">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2621</v>
      </c>
      <c r="B48" s="2719">
        <v>159</v>
      </c>
      <c r="C48" s="2719">
        <v>141</v>
      </c>
      <c r="D48" s="2719">
        <f t="shared" si="12"/>
        <v>141</v>
      </c>
      <c r="E48" s="2719">
        <v>195</v>
      </c>
      <c r="F48" s="2720">
        <v>122</v>
      </c>
      <c r="G48" s="3418">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2622</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19">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2623</v>
      </c>
      <c r="B50" s="2705">
        <f t="shared" si="38"/>
        <v>146.57412060301507</v>
      </c>
      <c r="C50" s="2705">
        <f t="shared" si="38"/>
        <v>136.46831955922866</v>
      </c>
      <c r="D50" s="2705">
        <f t="shared" si="12"/>
        <v>136.46831955922866</v>
      </c>
      <c r="E50" s="2705">
        <f t="shared" si="39"/>
        <v>166.73864894795128</v>
      </c>
      <c r="F50" s="2705">
        <f t="shared" si="39"/>
        <v>115.05882352941177</v>
      </c>
      <c r="G50" s="3419">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2624</v>
      </c>
      <c r="B51" s="2705">
        <f t="shared" si="38"/>
        <v>144.04145728643215</v>
      </c>
      <c r="C51" s="2705">
        <f t="shared" si="38"/>
        <v>136.12396694214877</v>
      </c>
      <c r="D51" s="2705">
        <f t="shared" si="12"/>
        <v>136.12396694214877</v>
      </c>
      <c r="E51" s="2705">
        <f t="shared" si="39"/>
        <v>158.32225913621264</v>
      </c>
      <c r="F51" s="2705">
        <f t="shared" si="39"/>
        <v>114.04278074866311</v>
      </c>
      <c r="G51" s="3420">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2625</v>
      </c>
      <c r="B52" s="2719">
        <v>138</v>
      </c>
      <c r="C52" s="2719">
        <v>131</v>
      </c>
      <c r="D52" s="2719">
        <f t="shared" si="12"/>
        <v>131</v>
      </c>
      <c r="E52" s="2719">
        <v>155</v>
      </c>
      <c r="F52" s="2720">
        <v>114</v>
      </c>
      <c r="G52" s="3418">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2626</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19">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2627</v>
      </c>
      <c r="B54" s="2705">
        <f t="shared" si="42"/>
        <v>124.29032258064517</v>
      </c>
      <c r="C54" s="2705">
        <f t="shared" si="42"/>
        <v>123.8968609865471</v>
      </c>
      <c r="D54" s="2705">
        <f t="shared" si="12"/>
        <v>123.8968609865471</v>
      </c>
      <c r="E54" s="2705">
        <f t="shared" si="43"/>
        <v>138.00507614213197</v>
      </c>
      <c r="F54" s="2705">
        <f t="shared" si="43"/>
        <v>107.96106557377048</v>
      </c>
      <c r="G54" s="3419">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2628</v>
      </c>
      <c r="B55" s="2705">
        <f t="shared" si="42"/>
        <v>122.57204301075269</v>
      </c>
      <c r="C55" s="2705">
        <f t="shared" si="42"/>
        <v>123.4932735426009</v>
      </c>
      <c r="D55" s="2705">
        <f t="shared" si="12"/>
        <v>123.4932735426009</v>
      </c>
      <c r="E55" s="2705">
        <f t="shared" si="43"/>
        <v>129.82233502538071</v>
      </c>
      <c r="F55" s="2705">
        <f t="shared" si="43"/>
        <v>107.39446721311475</v>
      </c>
      <c r="G55" s="3420">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2629</v>
      </c>
      <c r="B56" s="2735">
        <v>121</v>
      </c>
      <c r="C56" s="2735">
        <v>122</v>
      </c>
      <c r="D56" s="2735">
        <f t="shared" si="12"/>
        <v>122</v>
      </c>
      <c r="E56" s="2735">
        <v>124</v>
      </c>
      <c r="F56" s="2736">
        <v>107</v>
      </c>
      <c r="G56" s="3418">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2630</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19">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2631</v>
      </c>
      <c r="B58" s="2705">
        <f t="shared" si="46"/>
        <v>116.99099099099099</v>
      </c>
      <c r="C58" s="2705">
        <f t="shared" si="46"/>
        <v>118.84848484848486</v>
      </c>
      <c r="D58" s="2705">
        <f t="shared" si="12"/>
        <v>118.84848484848486</v>
      </c>
      <c r="E58" s="2705">
        <f t="shared" si="47"/>
        <v>117.60960960960961</v>
      </c>
      <c r="F58" s="2705">
        <f t="shared" si="47"/>
        <v>104</v>
      </c>
      <c r="G58" s="3419">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2632</v>
      </c>
      <c r="B59" s="2738">
        <f t="shared" si="46"/>
        <v>112.48648648648648</v>
      </c>
      <c r="C59" s="2738">
        <f t="shared" si="46"/>
        <v>115.21212121212122</v>
      </c>
      <c r="D59" s="2738">
        <f t="shared" si="12"/>
        <v>115.21212121212122</v>
      </c>
      <c r="E59" s="2738">
        <f t="shared" si="47"/>
        <v>110.4024024024024</v>
      </c>
      <c r="F59" s="2738">
        <f t="shared" si="47"/>
        <v>104</v>
      </c>
      <c r="G59" s="3420">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2633</v>
      </c>
      <c r="B60" s="2756">
        <v>111</v>
      </c>
      <c r="C60" s="2756">
        <v>114</v>
      </c>
      <c r="D60" s="2756">
        <f t="shared" si="12"/>
        <v>114</v>
      </c>
      <c r="E60" s="2756">
        <v>108</v>
      </c>
      <c r="F60" s="2757">
        <v>104</v>
      </c>
      <c r="G60" s="3418">
        <v>2003</v>
      </c>
      <c r="H60" s="2746">
        <v>4</v>
      </c>
      <c r="I60" s="2758"/>
      <c r="J60" s="2758"/>
      <c r="K60" s="2758"/>
      <c r="L60" s="2758"/>
      <c r="N60" s="2759"/>
      <c r="O60" s="2758"/>
      <c r="P60" s="2758"/>
      <c r="Q60" s="2758"/>
      <c r="S60" s="2759"/>
      <c r="T60" s="2758"/>
      <c r="U60" s="2758"/>
      <c r="V60" s="2758"/>
      <c r="X60" s="2750"/>
      <c r="Y60" s="2750"/>
      <c r="Z60" s="2750"/>
    </row>
    <row r="61" spans="1:26">
      <c r="A61" s="2690" t="s">
        <v>2634</v>
      </c>
      <c r="B61" s="2760">
        <f t="shared" ref="B61:C63" si="48">B62+(B$60-B$64)/4</f>
        <v>109.75</v>
      </c>
      <c r="C61" s="2760">
        <f t="shared" si="48"/>
        <v>112.25</v>
      </c>
      <c r="D61" s="2760">
        <f t="shared" si="12"/>
        <v>112.25</v>
      </c>
      <c r="E61" s="2760">
        <f t="shared" ref="E61:F63" si="49">E62+(E$60-E$64)/4</f>
        <v>107.25</v>
      </c>
      <c r="F61" s="2760">
        <f t="shared" si="49"/>
        <v>103.5</v>
      </c>
      <c r="G61" s="3419">
        <v>2003</v>
      </c>
      <c r="H61" s="2716">
        <v>3</v>
      </c>
      <c r="I61" s="2758"/>
      <c r="J61" s="2758"/>
      <c r="K61" s="2758"/>
      <c r="L61" s="2758"/>
      <c r="X61" s="2750"/>
      <c r="Y61" s="2750"/>
      <c r="Z61" s="2750"/>
    </row>
    <row r="62" spans="1:26">
      <c r="A62" s="2690" t="s">
        <v>2635</v>
      </c>
      <c r="B62" s="2760">
        <f t="shared" si="48"/>
        <v>108.5</v>
      </c>
      <c r="C62" s="2760">
        <f t="shared" si="48"/>
        <v>110.5</v>
      </c>
      <c r="D62" s="2760">
        <f t="shared" si="12"/>
        <v>110.5</v>
      </c>
      <c r="E62" s="2760">
        <f t="shared" si="49"/>
        <v>106.5</v>
      </c>
      <c r="F62" s="2760">
        <f t="shared" si="49"/>
        <v>103</v>
      </c>
      <c r="G62" s="3419">
        <v>2003</v>
      </c>
      <c r="H62" s="2696">
        <v>2</v>
      </c>
      <c r="I62" s="2758"/>
      <c r="J62" s="2758"/>
      <c r="K62" s="2758"/>
      <c r="L62" s="2758"/>
      <c r="X62" s="2750"/>
      <c r="Y62" s="2750"/>
      <c r="Z62" s="2750"/>
    </row>
    <row r="63" spans="1:26" ht="13.5" thickBot="1">
      <c r="A63" s="2690" t="s">
        <v>2636</v>
      </c>
      <c r="B63" s="2760">
        <f t="shared" si="48"/>
        <v>107.25</v>
      </c>
      <c r="C63" s="2760">
        <f t="shared" si="48"/>
        <v>108.75</v>
      </c>
      <c r="D63" s="2760">
        <f t="shared" si="12"/>
        <v>108.75</v>
      </c>
      <c r="E63" s="2760">
        <f t="shared" si="49"/>
        <v>105.75</v>
      </c>
      <c r="F63" s="2760">
        <f t="shared" si="49"/>
        <v>102.5</v>
      </c>
      <c r="G63" s="3420">
        <v>2003</v>
      </c>
      <c r="H63" s="2761">
        <v>1</v>
      </c>
      <c r="I63" s="2758"/>
      <c r="J63" s="2758"/>
      <c r="K63" s="2758"/>
      <c r="L63" s="2758"/>
      <c r="S63" s="2700"/>
      <c r="T63" s="2701"/>
      <c r="U63" s="2701"/>
      <c r="X63" s="2750"/>
      <c r="Y63" s="2750"/>
      <c r="Z63" s="2750"/>
    </row>
    <row r="64" spans="1:26" ht="13.5" thickBot="1">
      <c r="A64" s="2690" t="s">
        <v>2637</v>
      </c>
      <c r="B64" s="2762">
        <v>106</v>
      </c>
      <c r="C64" s="2762">
        <v>107</v>
      </c>
      <c r="D64" s="2762">
        <f t="shared" si="12"/>
        <v>107</v>
      </c>
      <c r="E64" s="2762">
        <v>105</v>
      </c>
      <c r="F64" s="2763">
        <v>102</v>
      </c>
      <c r="G64" s="3418">
        <v>2002</v>
      </c>
      <c r="H64" s="2711">
        <v>4</v>
      </c>
      <c r="I64" s="2758"/>
      <c r="J64" s="2758"/>
      <c r="K64" s="2758"/>
      <c r="L64" s="2758"/>
      <c r="N64" s="2759"/>
      <c r="O64" s="2758"/>
      <c r="P64" s="2758"/>
      <c r="Q64" s="2758"/>
      <c r="S64" s="2759"/>
      <c r="T64" s="2758"/>
      <c r="U64" s="2758"/>
      <c r="V64" s="2758"/>
      <c r="X64" s="2750"/>
      <c r="Y64" s="2750"/>
      <c r="Z64" s="2750"/>
    </row>
    <row r="65" spans="1:26">
      <c r="A65" s="2690" t="s">
        <v>2638</v>
      </c>
      <c r="B65" s="2760">
        <f t="shared" ref="B65:C67" si="50">B66+(B$64-B$68)/4</f>
        <v>105</v>
      </c>
      <c r="C65" s="2760">
        <f t="shared" si="50"/>
        <v>106</v>
      </c>
      <c r="D65" s="2760">
        <f t="shared" si="12"/>
        <v>106</v>
      </c>
      <c r="E65" s="2760">
        <f t="shared" ref="E65:F67" si="51">E66+(E$64-E$68)/4</f>
        <v>104.5</v>
      </c>
      <c r="F65" s="2760">
        <f t="shared" si="51"/>
        <v>101.5</v>
      </c>
      <c r="G65" s="3419">
        <v>2002</v>
      </c>
      <c r="H65" s="2716">
        <v>3</v>
      </c>
      <c r="I65" s="2758"/>
      <c r="J65" s="2758"/>
      <c r="K65" s="2758"/>
      <c r="L65" s="2758"/>
      <c r="X65" s="2750"/>
      <c r="Y65" s="2750"/>
      <c r="Z65" s="2750"/>
    </row>
    <row r="66" spans="1:26">
      <c r="A66" s="2690" t="s">
        <v>2639</v>
      </c>
      <c r="B66" s="2760">
        <f t="shared" si="50"/>
        <v>104</v>
      </c>
      <c r="C66" s="2760">
        <f t="shared" si="50"/>
        <v>105</v>
      </c>
      <c r="D66" s="2760">
        <f t="shared" si="12"/>
        <v>105</v>
      </c>
      <c r="E66" s="2760">
        <f t="shared" si="51"/>
        <v>104</v>
      </c>
      <c r="F66" s="2760">
        <f t="shared" si="51"/>
        <v>101</v>
      </c>
      <c r="G66" s="3419">
        <v>2002</v>
      </c>
      <c r="H66" s="2696">
        <v>2</v>
      </c>
      <c r="I66" s="2758"/>
      <c r="J66" s="2758"/>
      <c r="K66" s="2758"/>
      <c r="L66" s="2758"/>
      <c r="X66" s="2750"/>
      <c r="Y66" s="2750"/>
      <c r="Z66" s="2750"/>
    </row>
    <row r="67" spans="1:26" s="2727" customFormat="1" ht="13.5" thickBot="1">
      <c r="A67" s="2723" t="s">
        <v>2640</v>
      </c>
      <c r="B67" s="2764">
        <f t="shared" si="50"/>
        <v>103</v>
      </c>
      <c r="C67" s="2764">
        <f t="shared" si="50"/>
        <v>104</v>
      </c>
      <c r="D67" s="2764">
        <f t="shared" si="12"/>
        <v>104</v>
      </c>
      <c r="E67" s="2764">
        <f t="shared" si="51"/>
        <v>103.5</v>
      </c>
      <c r="F67" s="2764">
        <f t="shared" si="51"/>
        <v>100.5</v>
      </c>
      <c r="G67" s="3420">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2641</v>
      </c>
      <c r="G70" s="2774"/>
      <c r="N70" s="2774"/>
      <c r="S70" s="2774"/>
    </row>
    <row r="71" spans="1:26" s="2773" customFormat="1">
      <c r="A71" s="2773" t="s">
        <v>2642</v>
      </c>
      <c r="G71" s="2774"/>
      <c r="N71" s="2774"/>
      <c r="S71" s="2774"/>
    </row>
    <row r="72" spans="1:26" s="2773" customFormat="1">
      <c r="A72" s="2773" t="s">
        <v>2643</v>
      </c>
      <c r="G72" s="2774"/>
      <c r="I72" s="2775"/>
      <c r="J72" s="2775"/>
      <c r="K72" s="2775"/>
      <c r="L72" s="2775"/>
      <c r="N72" s="2776"/>
      <c r="O72" s="2775"/>
      <c r="P72" s="2775"/>
      <c r="Q72" s="2775"/>
      <c r="S72" s="2776"/>
      <c r="T72" s="2775"/>
      <c r="U72" s="2775"/>
      <c r="V72" s="2775"/>
    </row>
    <row r="73" spans="1:26" s="2773" customFormat="1">
      <c r="A73" s="2773" t="s">
        <v>2644</v>
      </c>
      <c r="G73" s="2774"/>
      <c r="N73" s="2774"/>
      <c r="S73" s="2774"/>
    </row>
    <row r="80" spans="1:26" ht="13.5" thickBot="1"/>
    <row r="81" spans="14:22" s="2699" customFormat="1">
      <c r="N81" s="2715"/>
      <c r="S81" s="2777" t="s">
        <v>2645</v>
      </c>
      <c r="T81" s="2778" t="s">
        <v>2646</v>
      </c>
      <c r="U81" s="2778" t="s">
        <v>2647</v>
      </c>
      <c r="V81" s="2778" t="s">
        <v>2648</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北京中纺联创投资开发有限公司：</v>
      </c>
    </row>
    <row r="4" spans="1:4" ht="37.5">
      <c r="A4" s="1796" t="str">
        <f>"受贵公司委托，我公司对"&amp;项目基本情况!K2&amp;项目基本情况!B9&amp;"进行了预评估。"</f>
        <v>受贵公司委托，我公司对北京市平谷区兴谷经济开发区内出让国有建设用地使用权抵押价格进行了预评估。</v>
      </c>
    </row>
    <row r="5" spans="1:4" ht="18.75">
      <c r="A5" s="1799" t="s">
        <v>1910</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中纺联创投资开发有限公司使用的、位于北京市平谷区兴谷经济开发区内出让国有建设用地使用权。根据《国有土地使用证》[]，估价对象（分摊）出让国有建设用地使用权面积为41016.61平方米。根据《建设工程规划许可证》[]、《出让合同》[]，估价对象规划建筑面积为41016平方米。</v>
      </c>
    </row>
    <row r="7" spans="1:4" ht="56.25">
      <c r="A7" s="1800" t="s">
        <v>2758</v>
      </c>
    </row>
    <row r="8" spans="1:4" ht="18.75">
      <c r="A8" s="1799" t="s">
        <v>1911</v>
      </c>
    </row>
    <row r="9" spans="1:4" ht="75">
      <c r="A9" s="1801" t="str">
        <f>IF(项目基本情况!B8="抵押",IF(项目基本情况!B5=项目基本情况!B6,定义!C51,定义!B51),定义!D51)</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2032</v>
      </c>
    </row>
    <row r="11" spans="1:4" ht="18.75">
      <c r="A11" s="1785" t="str">
        <f>TEXT(项目基本情况!D3,"yyyy年m月d日;;")&amp;IF(项目基本情况!B3=项目基本情况!D3,"（评估专业人员勘察现场之日）","")</f>
        <v>2017年9月27日（评估专业人员勘察现场之日）</v>
      </c>
    </row>
    <row r="12" spans="1:4" ht="18.75">
      <c r="A12" s="1802" t="s">
        <v>2031</v>
      </c>
    </row>
    <row r="13" spans="1:4" ht="18.75">
      <c r="A13" s="1796" t="s">
        <v>2952</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6"/>
      <c r="D15" s="1787"/>
    </row>
    <row r="16" spans="1:4" ht="18.75">
      <c r="A16" s="1796" t="s">
        <v>2078</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2079</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根据《国有土地使用证》[]，估价对象（分摊）出让国有建设用地使用权面积为41016.61平方米。根据《建设工程规划许可证》[]、《出让合同》[]，估价对象规划建筑面积为41016平方米。</v>
      </c>
    </row>
    <row r="21" spans="1:1" ht="18.75">
      <c r="A21" s="1796" t="s">
        <v>2080</v>
      </c>
    </row>
    <row r="22" spans="1:1" ht="56.2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本次估价对象为出让国有建设用地使用权，《国有土地使用证》[]证载土地终止日期为工业2066年7月7日。截至估价期日，出让国有建设用地使用权剩余土地使用年限为。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2081</v>
      </c>
    </row>
    <row r="25" spans="1:1" ht="93.75">
      <c r="A25" s="1796" t="str">
        <f>定义!C53</f>
        <v>本次估价的“出让国有建设用地使用权价格”是指在估价对象土地所有权为国家所有，使用权性质为出让，在公开市场条件下、于估价期日2017年9月27日，在规划利用条件下、设定土地开发程度为红线外“七通”、宗地内场地平整，设定用途为工业，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IF(项目基本情况!B9="市场价格","——",IF(项目基本情况!E9="——","",定义!C57))</f>
        <v/>
      </c>
    </row>
    <row r="29" spans="1:1" ht="18.75">
      <c r="A29" s="1802" t="s">
        <v>2033</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c r="D1" s="2055"/>
      <c r="E1" s="2056"/>
      <c r="F1" s="2056"/>
      <c r="G1" s="777">
        <f>MATCH(C1,'数据-取费表'!A6:A16,0)+5</f>
        <v>7</v>
      </c>
      <c r="H1" s="1353"/>
      <c r="I1" s="2057"/>
      <c r="J1" s="2057"/>
      <c r="K1" s="2058"/>
      <c r="L1" s="2057"/>
      <c r="M1" s="2057"/>
      <c r="N1" s="2059"/>
      <c r="O1" s="2059"/>
      <c r="P1" s="2059"/>
      <c r="Q1" s="2059"/>
      <c r="R1" s="2059"/>
      <c r="S1" s="2059"/>
      <c r="T1" s="2059"/>
      <c r="U1" s="2059"/>
      <c r="V1" s="2059"/>
      <c r="W1" s="2059"/>
      <c r="X1" s="2059"/>
      <c r="Y1" s="2059"/>
    </row>
    <row r="2" spans="1:25" ht="18" customHeight="1">
      <c r="A2" s="1648" t="s">
        <v>630</v>
      </c>
      <c r="B2" s="778">
        <f ca="1">IF(ISERROR(C45+J31),0,C45+J31)</f>
        <v>0</v>
      </c>
      <c r="C2" s="1354"/>
      <c r="D2" s="2061"/>
      <c r="E2" s="2062"/>
      <c r="F2" s="2062"/>
      <c r="G2" s="1594"/>
      <c r="H2" s="1367"/>
      <c r="I2" s="2063"/>
      <c r="J2" s="2063"/>
      <c r="K2" s="2064"/>
      <c r="L2" s="2063"/>
      <c r="M2" s="2063"/>
    </row>
    <row r="3" spans="1:25" ht="18" customHeight="1">
      <c r="A3" s="1649" t="s">
        <v>1690</v>
      </c>
      <c r="B3" s="1396">
        <f ca="1">ROUND(B2*10000/'数据-汇总表'!E3,0)</f>
        <v>0</v>
      </c>
      <c r="C3" s="1354"/>
      <c r="D3" s="2061"/>
      <c r="E3" s="2062"/>
      <c r="F3" s="2062"/>
      <c r="G3" s="1594"/>
      <c r="H3" s="779" t="s">
        <v>697</v>
      </c>
      <c r="I3" s="2063"/>
      <c r="J3" s="2063"/>
      <c r="K3" s="2064"/>
      <c r="L3" s="2063"/>
      <c r="M3" s="2063"/>
    </row>
    <row r="4" spans="1:25" ht="18" customHeight="1">
      <c r="A4" s="1650" t="s">
        <v>698</v>
      </c>
      <c r="B4" s="1355">
        <f ca="1">ROUND(B2*10000/'数据-汇总表'!D3,0)</f>
        <v>0</v>
      </c>
      <c r="C4" s="431"/>
      <c r="D4" s="2061"/>
      <c r="E4" s="2062"/>
      <c r="F4" s="2062"/>
      <c r="G4" s="1594"/>
      <c r="H4" s="779"/>
      <c r="I4" s="2063"/>
      <c r="J4" s="2063"/>
      <c r="K4" s="2064"/>
      <c r="L4" s="2063"/>
      <c r="M4" s="2063"/>
    </row>
    <row r="5" spans="1:25" ht="18" customHeight="1" thickBot="1">
      <c r="A5" s="1651"/>
      <c r="B5" s="433">
        <f ca="1">ROUND(B2/('数据-汇总表'!D3/666.67),0)</f>
        <v>0</v>
      </c>
      <c r="C5" s="434" t="s">
        <v>699</v>
      </c>
      <c r="D5" s="2061"/>
      <c r="E5" s="2062"/>
      <c r="F5" s="2062"/>
      <c r="G5" s="1594"/>
      <c r="H5" s="779"/>
      <c r="I5" s="2063"/>
      <c r="J5" s="2063"/>
      <c r="K5" s="2064"/>
      <c r="L5" s="2063"/>
      <c r="M5" s="2063"/>
    </row>
    <row r="6" spans="1:25" ht="18" customHeight="1">
      <c r="A6" s="1833" t="s">
        <v>700</v>
      </c>
      <c r="B6" s="1825" t="s">
        <v>701</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2465</v>
      </c>
      <c r="C7" s="53">
        <f ca="1">C8+C12+C14</f>
        <v>0</v>
      </c>
      <c r="D7" s="2530" t="s">
        <v>2468</v>
      </c>
      <c r="E7" s="2524"/>
      <c r="F7" s="2525"/>
      <c r="G7" s="1596"/>
      <c r="H7" s="784">
        <v>1</v>
      </c>
      <c r="I7" s="785" t="s">
        <v>2465</v>
      </c>
      <c r="J7" s="53">
        <f ca="1">J8+J12+J14</f>
        <v>0</v>
      </c>
      <c r="K7" s="2530" t="s">
        <v>2468</v>
      </c>
      <c r="L7" s="2524"/>
      <c r="M7" s="2525"/>
    </row>
    <row r="8" spans="1:25" ht="18" customHeight="1">
      <c r="A8" s="1835" t="s">
        <v>1829</v>
      </c>
      <c r="B8" s="3398" t="s">
        <v>2470</v>
      </c>
      <c r="C8" s="1830">
        <f ca="1">ROUND(F8*F10*F9*(1-F11)/10000,0)</f>
        <v>0</v>
      </c>
      <c r="D8" s="1827" t="s">
        <v>2542</v>
      </c>
      <c r="E8" s="61" t="s">
        <v>638</v>
      </c>
      <c r="F8" s="788">
        <f ca="1">INDIRECT("'数据-取费表'!u"&amp;$G$1)</f>
        <v>0</v>
      </c>
      <c r="G8" s="1596"/>
      <c r="H8" s="2538" t="s">
        <v>1829</v>
      </c>
      <c r="I8" s="3398" t="s">
        <v>2470</v>
      </c>
      <c r="J8" s="786">
        <f ca="1">ROUND(M8*M10*M9*(1-M11)/10000,0)</f>
        <v>0</v>
      </c>
      <c r="K8" s="344" t="s">
        <v>2542</v>
      </c>
      <c r="L8" s="787" t="s">
        <v>1742</v>
      </c>
      <c r="M8" s="788">
        <f ca="1">INDIRECT("'数据-取费表'!z"&amp;$G$1)</f>
        <v>0</v>
      </c>
    </row>
    <row r="9" spans="1:25" ht="18" customHeight="1">
      <c r="A9" s="2534"/>
      <c r="B9" s="3399"/>
      <c r="C9" s="1831"/>
      <c r="D9" s="1828"/>
      <c r="E9" s="61" t="s">
        <v>639</v>
      </c>
      <c r="F9" s="788">
        <f ca="1">IF(INDIRECT("'数据-取费表'!ah"&amp;$G$1)="",INDIRECT("'数据-取费表'!k"&amp;$G$1),INDIRECT("'数据-取费表'!ah"&amp;$G$1))</f>
        <v>0</v>
      </c>
      <c r="G9" s="1596"/>
      <c r="H9" s="2523"/>
      <c r="I9" s="3399"/>
      <c r="J9" s="791"/>
      <c r="K9" s="792"/>
      <c r="L9" s="787" t="s">
        <v>1743</v>
      </c>
      <c r="M9" s="788">
        <f ca="1">F9</f>
        <v>0</v>
      </c>
    </row>
    <row r="10" spans="1:25" ht="18" customHeight="1">
      <c r="A10" s="2527"/>
      <c r="B10" s="3400"/>
      <c r="C10" s="1831"/>
      <c r="D10" s="1828"/>
      <c r="E10" s="61" t="s">
        <v>640</v>
      </c>
      <c r="F10" s="788">
        <f ca="1">INDIRECT("'数据-取费表'!ai"&amp;$G$1)</f>
        <v>0</v>
      </c>
      <c r="G10" s="1596"/>
      <c r="H10" s="2523"/>
      <c r="I10" s="3400"/>
      <c r="J10" s="791"/>
      <c r="K10" s="792"/>
      <c r="L10" s="787" t="s">
        <v>1744</v>
      </c>
      <c r="M10" s="788">
        <f ca="1">INDIRECT("'数据-取费表'!ai"&amp;$G$1)</f>
        <v>0</v>
      </c>
    </row>
    <row r="11" spans="1:25" ht="18" customHeight="1">
      <c r="A11" s="789"/>
      <c r="B11" s="3401"/>
      <c r="C11" s="1831"/>
      <c r="D11" s="1828"/>
      <c r="E11" s="61" t="s">
        <v>641</v>
      </c>
      <c r="F11" s="797">
        <f ca="1">INDIRECT("'数据-取费表'!w"&amp;$G$1)</f>
        <v>0</v>
      </c>
      <c r="G11" s="1596"/>
      <c r="H11" s="2539"/>
      <c r="I11" s="3400"/>
      <c r="J11" s="791"/>
      <c r="K11" s="792"/>
      <c r="L11" s="798" t="s">
        <v>1745</v>
      </c>
      <c r="M11" s="799">
        <f ca="1">INDIRECT("'数据-取费表'!ab"&amp;$G$1)</f>
        <v>0</v>
      </c>
    </row>
    <row r="12" spans="1:25" ht="18" customHeight="1">
      <c r="A12" s="1835" t="s">
        <v>1830</v>
      </c>
      <c r="B12" s="2528" t="s">
        <v>2466</v>
      </c>
      <c r="C12" s="802">
        <f ca="1">ROUND(IF(F12="押一",F8*F10*F9/12*F13,IF(F12="押二",F8*F10*F9/12*2*F13,IF(F12="押三",F8*F10*F9/12*3*F13,C13*F13)))/10000,0)</f>
        <v>0</v>
      </c>
      <c r="D12" s="2535" t="s">
        <v>2473</v>
      </c>
      <c r="E12" s="2532" t="s">
        <v>2471</v>
      </c>
      <c r="F12" s="2655"/>
      <c r="G12" s="1596"/>
      <c r="H12" s="2595" t="s">
        <v>1830</v>
      </c>
      <c r="I12" s="2600" t="s">
        <v>2466</v>
      </c>
      <c r="J12" s="786">
        <f ca="1">ROUND(IF(M12="押一",M8*M10*M9/12*M13,IF(M12="押二",M8*M10*M9/12*2*M13,IF(M12="押三",M8*M10*M9/12*3*M13,J13*M13)))/10000,0)</f>
        <v>0</v>
      </c>
      <c r="K12" s="2535" t="s">
        <v>2473</v>
      </c>
      <c r="L12" s="2532" t="s">
        <v>2471</v>
      </c>
      <c r="M12" s="2655"/>
    </row>
    <row r="13" spans="1:25" ht="18" customHeight="1">
      <c r="A13" s="793"/>
      <c r="B13" s="2529" t="s">
        <v>2581</v>
      </c>
      <c r="C13" s="2533"/>
      <c r="D13" s="792"/>
      <c r="E13" s="2532" t="s">
        <v>2463</v>
      </c>
      <c r="F13" s="799">
        <f ca="1">'数据-取费表'!B39</f>
        <v>1.4999999999999999E-2</v>
      </c>
      <c r="G13" s="1596"/>
      <c r="H13" s="2596"/>
      <c r="I13" s="2529" t="s">
        <v>2581</v>
      </c>
      <c r="J13" s="2533"/>
      <c r="K13" s="2597"/>
      <c r="L13" s="2532" t="s">
        <v>2463</v>
      </c>
      <c r="M13" s="2526">
        <f ca="1">'数据-取费表'!B39</f>
        <v>1.4999999999999999E-2</v>
      </c>
    </row>
    <row r="14" spans="1:25" ht="18" customHeight="1" thickBot="1">
      <c r="A14" s="2571" t="s">
        <v>2475</v>
      </c>
      <c r="B14" s="2572" t="s">
        <v>2467</v>
      </c>
      <c r="C14" s="2573"/>
      <c r="D14" s="2574"/>
      <c r="E14" s="2575"/>
      <c r="F14" s="2576"/>
      <c r="G14" s="1596"/>
      <c r="H14" s="2585" t="s">
        <v>2475</v>
      </c>
      <c r="I14" s="2598" t="s">
        <v>2467</v>
      </c>
      <c r="J14" s="2599"/>
      <c r="K14" s="2574"/>
      <c r="L14" s="2575"/>
      <c r="M14" s="2588"/>
    </row>
    <row r="15" spans="1:25" ht="18" customHeight="1" thickTop="1">
      <c r="A15" s="1834" t="s">
        <v>1879</v>
      </c>
      <c r="B15" s="1832" t="s">
        <v>642</v>
      </c>
      <c r="C15" s="795">
        <f ca="1">ROUND(C31*F15,0)</f>
        <v>0</v>
      </c>
      <c r="D15" s="1839" t="s">
        <v>643</v>
      </c>
      <c r="E15" s="798" t="s">
        <v>644</v>
      </c>
      <c r="F15" s="803">
        <f ca="1">INDIRECT("'数据-取费表'!y"&amp;$G$1)</f>
        <v>0</v>
      </c>
      <c r="G15" s="1596"/>
      <c r="H15" s="1834" t="s">
        <v>1831</v>
      </c>
      <c r="I15" s="1832" t="s">
        <v>645</v>
      </c>
      <c r="J15" s="1824">
        <f ca="1">ROUND(J16*J17,0)</f>
        <v>0</v>
      </c>
      <c r="K15" s="1826" t="s">
        <v>643</v>
      </c>
      <c r="L15" s="804"/>
      <c r="M15" s="805"/>
    </row>
    <row r="16" spans="1:25" ht="18" customHeight="1">
      <c r="A16" s="806" t="s">
        <v>1880</v>
      </c>
      <c r="B16" s="787" t="s">
        <v>646</v>
      </c>
      <c r="C16" s="807">
        <f ca="1">INDIRECT("'数据-取费表'!m"&amp;$G$1)+INDIRECT("'数据-取费表'!t"&amp;$G$1)</f>
        <v>0</v>
      </c>
      <c r="D16" s="1984" t="s">
        <v>647</v>
      </c>
      <c r="E16" s="1985"/>
      <c r="F16" s="808"/>
      <c r="G16" s="1596"/>
      <c r="H16" s="806" t="s">
        <v>2075</v>
      </c>
      <c r="I16" s="2240" t="s">
        <v>2835</v>
      </c>
      <c r="J16" s="53">
        <f ca="1">C31</f>
        <v>0</v>
      </c>
      <c r="K16" s="26"/>
      <c r="L16" s="804"/>
      <c r="M16" s="805"/>
    </row>
    <row r="17" spans="1:25" s="2070" customFormat="1" ht="18" customHeight="1">
      <c r="A17" s="806" t="s">
        <v>1854</v>
      </c>
      <c r="B17" s="787" t="s">
        <v>648</v>
      </c>
      <c r="C17" s="53">
        <f ca="1">ROUND(C16*F17,0)</f>
        <v>0</v>
      </c>
      <c r="D17" s="809" t="s">
        <v>649</v>
      </c>
      <c r="E17" s="809" t="s">
        <v>650</v>
      </c>
      <c r="F17" s="810">
        <f>'数据-取费表'!B33</f>
        <v>0.03</v>
      </c>
      <c r="G17" s="1597"/>
      <c r="H17" s="806" t="s">
        <v>2076</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6"/>
      <c r="H18" s="800" t="s">
        <v>1832</v>
      </c>
      <c r="I18" s="801" t="s">
        <v>652</v>
      </c>
      <c r="J18" s="802">
        <f ca="1">ROUND(J19+J24+J25+J26,0)</f>
        <v>0</v>
      </c>
      <c r="K18" s="26" t="s">
        <v>653</v>
      </c>
      <c r="L18" s="1987"/>
      <c r="M18" s="56"/>
    </row>
    <row r="19" spans="1:25" s="2070" customFormat="1" ht="18" customHeight="1">
      <c r="A19" s="806" t="s">
        <v>1856</v>
      </c>
      <c r="B19" s="787" t="s">
        <v>654</v>
      </c>
      <c r="C19" s="53">
        <f ca="1">ROUND(F19*(INDIRECT("'数据-取费表'!k"&amp;$G$1)+INDIRECT("'数据-取费表'!S"&amp;$G$1))/10000,0)</f>
        <v>0</v>
      </c>
      <c r="D19" s="787" t="s">
        <v>655</v>
      </c>
      <c r="E19" s="787" t="s">
        <v>656</v>
      </c>
      <c r="F19" s="56">
        <f>'数据-取费表'!B35</f>
        <v>200</v>
      </c>
      <c r="G19" s="1597"/>
      <c r="H19" s="806" t="s">
        <v>2075</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0</v>
      </c>
      <c r="D20" s="787" t="s">
        <v>649</v>
      </c>
      <c r="E20" s="787" t="s">
        <v>650</v>
      </c>
      <c r="F20" s="812">
        <f>'数据-取费表'!B36</f>
        <v>1.4999999999999999E-2</v>
      </c>
      <c r="G20" s="1597"/>
      <c r="H20" s="806" t="s">
        <v>1836</v>
      </c>
      <c r="I20" s="787" t="s">
        <v>661</v>
      </c>
      <c r="J20" s="53">
        <f ca="1">ROUND(J7*M20/1.05,1)</f>
        <v>0</v>
      </c>
      <c r="K20" s="1982" t="s">
        <v>662</v>
      </c>
      <c r="L20" s="787" t="s">
        <v>650</v>
      </c>
      <c r="M20" s="812">
        <f>'数据-取费表'!B41</f>
        <v>5.5000000000000007E-2</v>
      </c>
      <c r="N20" s="2069"/>
      <c r="O20" s="2069"/>
      <c r="P20" s="2069"/>
      <c r="Q20" s="2069"/>
      <c r="R20" s="2069"/>
      <c r="S20" s="2069"/>
      <c r="T20" s="2069"/>
      <c r="U20" s="2069"/>
      <c r="V20" s="2069"/>
      <c r="W20" s="2069"/>
      <c r="X20" s="2069"/>
      <c r="Y20" s="2069"/>
    </row>
    <row r="21" spans="1:25" ht="18" customHeight="1">
      <c r="A21" s="806" t="s">
        <v>1881</v>
      </c>
      <c r="B21" s="787" t="s">
        <v>663</v>
      </c>
      <c r="C21" s="53">
        <f ca="1">SUM(C16:C20)</f>
        <v>0</v>
      </c>
      <c r="D21" s="261" t="s">
        <v>664</v>
      </c>
      <c r="E21" s="1987"/>
      <c r="F21" s="56"/>
      <c r="G21" s="1596"/>
      <c r="H21" s="1835" t="s">
        <v>1854</v>
      </c>
      <c r="I21" s="787" t="s">
        <v>665</v>
      </c>
      <c r="J21" s="53">
        <f ca="1">IF(K21="按租金收入计税",ROUND(J7*M21,1),ROUND(C31*F35*0.7,1))</f>
        <v>0</v>
      </c>
      <c r="K21" s="814" t="s">
        <v>666</v>
      </c>
      <c r="L21" s="787" t="s">
        <v>650</v>
      </c>
      <c r="M21" s="812">
        <f>IF(K21="按租金收入计税",'数据-取费表'!B51,'数据-取费表'!B50)</f>
        <v>1.2E-2</v>
      </c>
    </row>
    <row r="22" spans="1:25" s="2070" customFormat="1" ht="18" customHeight="1">
      <c r="A22" s="806" t="s">
        <v>1882</v>
      </c>
      <c r="B22" s="787" t="s">
        <v>667</v>
      </c>
      <c r="C22" s="53">
        <f ca="1">ROUND(C21*F22,0)</f>
        <v>0</v>
      </c>
      <c r="D22" s="815" t="s">
        <v>668</v>
      </c>
      <c r="E22" s="787" t="s">
        <v>650</v>
      </c>
      <c r="F22" s="812">
        <f>'数据-取费表'!B37</f>
        <v>0.02</v>
      </c>
      <c r="G22" s="1597"/>
      <c r="H22" s="1837" t="s">
        <v>1855</v>
      </c>
      <c r="I22" s="1827" t="s">
        <v>669</v>
      </c>
      <c r="J22" s="54">
        <f ca="1">ROUND(M22*M23/10000,0)</f>
        <v>0</v>
      </c>
      <c r="K22" s="817" t="s">
        <v>670</v>
      </c>
      <c r="L22" s="787" t="s">
        <v>671</v>
      </c>
      <c r="M22" s="643">
        <f>'数据-取费表'!B52</f>
        <v>1.5</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9"/>
      <c r="O23" s="2069"/>
      <c r="P23" s="2069"/>
      <c r="Q23" s="2069"/>
      <c r="R23" s="2069"/>
      <c r="S23" s="2069"/>
      <c r="T23" s="2069"/>
      <c r="U23" s="2069"/>
      <c r="V23" s="2069"/>
      <c r="W23" s="2069"/>
      <c r="X23" s="2069"/>
      <c r="Y23" s="2069"/>
    </row>
    <row r="24" spans="1:25" ht="18" customHeight="1">
      <c r="A24" s="806" t="s">
        <v>1884</v>
      </c>
      <c r="B24" s="787" t="s">
        <v>676</v>
      </c>
      <c r="C24" s="53"/>
      <c r="D24" s="2606" t="str">
        <f>IF(F25&lt;=1,"单利计息。","复利计息。")&amp;"建造成本、管理费用、销售费用产生的利息。"</f>
        <v>复利计息。建造成本、管理费用、销售费用产生的利息。</v>
      </c>
      <c r="E24" s="1987"/>
      <c r="F24" s="56"/>
      <c r="G24" s="1596"/>
      <c r="H24" s="1836" t="s">
        <v>2076</v>
      </c>
      <c r="I24" s="787" t="s">
        <v>677</v>
      </c>
      <c r="J24" s="53">
        <f ca="1">ROUND(J16*M24,0)</f>
        <v>0</v>
      </c>
      <c r="K24" s="1982" t="s">
        <v>678</v>
      </c>
      <c r="L24" s="787" t="s">
        <v>650</v>
      </c>
      <c r="M24" s="820">
        <f ca="1">INDIRECT("'数据-取费表'!Ak"&amp;$G$1)</f>
        <v>0</v>
      </c>
    </row>
    <row r="25" spans="1:25" s="2070" customFormat="1" ht="18" customHeight="1">
      <c r="A25" s="806" t="s">
        <v>1880</v>
      </c>
      <c r="B25" s="787" t="s">
        <v>2443</v>
      </c>
      <c r="C25" s="53">
        <f ca="1">ROUND(IF('数据-取费表'!B22&lt;=1,(C21+C22)*F26*F25/2,(C21+C22)*(POWER((1+F26),F25/2)-1)),0)</f>
        <v>0</v>
      </c>
      <c r="D25" s="2605" t="str">
        <f>IF(F25&lt;=1,"(建造成本+管理费用)×利率×(建设周期÷2)","(建造成本+管理费用)×((1+利率)^(建设周期÷2)-1)")</f>
        <v>(建造成本+管理费用)×((1+利率)^(建设周期÷2)-1)</v>
      </c>
      <c r="E25" s="787" t="s">
        <v>679</v>
      </c>
      <c r="F25" s="643">
        <f>'数据-取费表'!B20</f>
        <v>2</v>
      </c>
      <c r="G25" s="1597"/>
      <c r="H25" s="806" t="s">
        <v>1883</v>
      </c>
      <c r="I25" s="787" t="s">
        <v>680</v>
      </c>
      <c r="J25" s="53">
        <f ca="1">ROUND(J15*M25,0)</f>
        <v>0</v>
      </c>
      <c r="K25" s="1982" t="s">
        <v>681</v>
      </c>
      <c r="L25" s="787" t="s">
        <v>650</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1E-3</v>
      </c>
      <c r="D26" s="2605" t="str">
        <f>IF(F25&lt;=1,"销售费用×利率×(建设周期÷2)","销售费用×((1+利率)^(建设周期÷2)-1)")</f>
        <v>销售费用×((1+利率)^(建设周期÷2)-1)</v>
      </c>
      <c r="E26" s="787" t="s">
        <v>683</v>
      </c>
      <c r="F26" s="822">
        <f ca="1">'数据-取费表'!B40</f>
        <v>4.7500000000000001E-2</v>
      </c>
      <c r="G26" s="1597"/>
      <c r="H26" s="806" t="s">
        <v>1884</v>
      </c>
      <c r="I26" s="787" t="s">
        <v>667</v>
      </c>
      <c r="J26" s="53">
        <f ca="1">ROUND(J7*M26,0)</f>
        <v>0</v>
      </c>
      <c r="K26" s="1982" t="s">
        <v>684</v>
      </c>
      <c r="L26" s="787" t="s">
        <v>650</v>
      </c>
      <c r="M26" s="797">
        <f ca="1">INDIRECT("'数据-取费表'!Am"&amp;$G$1)</f>
        <v>0</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6"/>
      <c r="H27" s="800" t="s">
        <v>1833</v>
      </c>
      <c r="I27" s="3049" t="s">
        <v>2832</v>
      </c>
      <c r="J27" s="802">
        <f ca="1">J7-J18</f>
        <v>0</v>
      </c>
      <c r="K27" s="1984" t="s">
        <v>702</v>
      </c>
      <c r="L27" s="1986"/>
      <c r="M27" s="823"/>
    </row>
    <row r="28" spans="1:25" ht="18" customHeight="1">
      <c r="A28" s="806" t="s">
        <v>1880</v>
      </c>
      <c r="B28" s="787" t="s">
        <v>2444</v>
      </c>
      <c r="C28" s="53">
        <f ca="1">ROUND((C21+C22)*F28,0)</f>
        <v>0</v>
      </c>
      <c r="D28" s="815" t="s">
        <v>703</v>
      </c>
      <c r="E28" s="798" t="s">
        <v>704</v>
      </c>
      <c r="F28" s="797">
        <f ca="1">INDIRECT("'数据-取费表'!q"&amp;$G$1)</f>
        <v>0</v>
      </c>
      <c r="G28" s="1596"/>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6"/>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5.2400000000000002E-2</v>
      </c>
      <c r="D30" s="815" t="s">
        <v>711</v>
      </c>
      <c r="E30" s="787" t="s">
        <v>650</v>
      </c>
      <c r="F30" s="812">
        <f>'数据-取费表'!B41</f>
        <v>5.5000000000000007E-2</v>
      </c>
      <c r="G30" s="1597"/>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2833</v>
      </c>
      <c r="C31" s="2578">
        <f ca="1">ROUND((C21+C22+C25+C28)/(1-F23-C26-C29-C30),0)</f>
        <v>0</v>
      </c>
      <c r="D31" s="2579"/>
      <c r="E31" s="2580"/>
      <c r="F31" s="2581"/>
      <c r="G31" s="1597"/>
      <c r="H31" s="826" t="s">
        <v>1877</v>
      </c>
      <c r="I31" s="3050" t="s">
        <v>2834</v>
      </c>
      <c r="J31" s="828">
        <f ca="1">ROUND(J28/(1+F45)^F46,0)</f>
        <v>0</v>
      </c>
      <c r="K31" s="829" t="s">
        <v>689</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690</v>
      </c>
      <c r="C32" s="795">
        <f ca="1">ROUND(C33+C38+C39+C40,0)</f>
        <v>0</v>
      </c>
      <c r="D32" s="1826" t="s">
        <v>653</v>
      </c>
      <c r="E32" s="2521"/>
      <c r="F32" s="2525"/>
      <c r="G32" s="2068"/>
      <c r="H32" s="2071"/>
      <c r="I32" s="2072"/>
      <c r="J32" s="2073"/>
      <c r="K32" s="2074"/>
      <c r="L32" s="2075"/>
      <c r="M32" s="2076"/>
    </row>
    <row r="33" spans="1:13" ht="18" customHeight="1">
      <c r="A33" s="806" t="s">
        <v>1881</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8"/>
      <c r="H33" s="2071"/>
      <c r="I33" s="2072"/>
      <c r="J33" s="2073"/>
      <c r="K33" s="2074"/>
      <c r="L33" s="2075"/>
      <c r="M33" s="2076"/>
    </row>
    <row r="34" spans="1:13" ht="18" customHeight="1">
      <c r="A34" s="806" t="s">
        <v>1880</v>
      </c>
      <c r="B34" s="787" t="s">
        <v>661</v>
      </c>
      <c r="C34" s="53">
        <f ca="1">ROUND(C7*F34/1.05,1)</f>
        <v>0</v>
      </c>
      <c r="D34" s="1982" t="s">
        <v>662</v>
      </c>
      <c r="E34" s="787" t="s">
        <v>650</v>
      </c>
      <c r="F34" s="812">
        <f>'数据-取费表'!B41</f>
        <v>5.5000000000000007E-2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0</v>
      </c>
      <c r="D36" s="817" t="s">
        <v>670</v>
      </c>
      <c r="E36" s="787" t="s">
        <v>671</v>
      </c>
      <c r="F36" s="643">
        <f>'数据-取费表'!B52</f>
        <v>1.5</v>
      </c>
      <c r="G36" s="2068"/>
      <c r="H36" s="2071"/>
      <c r="I36" s="3428"/>
      <c r="J36" s="2085"/>
      <c r="K36" s="2086"/>
      <c r="L36" s="2085"/>
      <c r="M36" s="2085"/>
    </row>
    <row r="37" spans="1:13" ht="18" customHeight="1">
      <c r="A37" s="818"/>
      <c r="B37" s="796"/>
      <c r="C37" s="69"/>
      <c r="D37" s="819"/>
      <c r="E37" s="787" t="s">
        <v>675</v>
      </c>
      <c r="F37" s="788">
        <f ca="1">INDIRECT("'数据-取费表'!r"&amp;$G$1)</f>
        <v>0</v>
      </c>
      <c r="G37" s="2068"/>
      <c r="H37" s="2071"/>
      <c r="I37" s="3428"/>
      <c r="J37" s="2083"/>
      <c r="K37" s="2084"/>
      <c r="L37" s="2083"/>
      <c r="M37" s="2083"/>
    </row>
    <row r="38" spans="1:13" ht="18" customHeight="1">
      <c r="A38" s="806" t="s">
        <v>1882</v>
      </c>
      <c r="B38" s="787" t="s">
        <v>677</v>
      </c>
      <c r="C38" s="53">
        <f ca="1">ROUND(C31*F38,1)</f>
        <v>0</v>
      </c>
      <c r="D38" s="1982" t="s">
        <v>693</v>
      </c>
      <c r="E38" s="787" t="s">
        <v>650</v>
      </c>
      <c r="F38" s="820">
        <f ca="1">INDIRECT("'数据-取费表'!Ak"&amp;$G$1)</f>
        <v>0</v>
      </c>
      <c r="G38" s="2068"/>
      <c r="H38" s="2083"/>
      <c r="I38" s="2087"/>
      <c r="J38" s="1993"/>
      <c r="K38" s="2088"/>
      <c r="L38" s="2083"/>
      <c r="M38" s="2083"/>
    </row>
    <row r="39" spans="1:13" ht="18" customHeight="1">
      <c r="A39" s="806" t="s">
        <v>1883</v>
      </c>
      <c r="B39" s="787" t="s">
        <v>680</v>
      </c>
      <c r="C39" s="53">
        <f ca="1">ROUND(C15*F39,1)</f>
        <v>0</v>
      </c>
      <c r="D39" s="1982" t="s">
        <v>681</v>
      </c>
      <c r="E39" s="787" t="s">
        <v>650</v>
      </c>
      <c r="F39" s="821">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4">
        <v>4</v>
      </c>
      <c r="B41" s="1832" t="s">
        <v>694</v>
      </c>
      <c r="C41" s="1356"/>
      <c r="D41" s="1357"/>
      <c r="E41" s="1357"/>
      <c r="F41" s="1358"/>
      <c r="G41" s="2068"/>
      <c r="H41" s="2068"/>
      <c r="I41" s="2068"/>
      <c r="J41" s="2068"/>
      <c r="K41" s="2089"/>
      <c r="L41" s="2068"/>
      <c r="M41" s="2068"/>
    </row>
    <row r="42" spans="1:13" ht="18" customHeight="1">
      <c r="A42" s="806" t="s">
        <v>1881</v>
      </c>
      <c r="B42" s="838" t="s">
        <v>695</v>
      </c>
      <c r="C42" s="832">
        <f ca="1">C7-C32</f>
        <v>0</v>
      </c>
      <c r="D42" s="1984" t="s">
        <v>696</v>
      </c>
      <c r="E42" s="1986"/>
      <c r="F42" s="823"/>
      <c r="G42" s="2068"/>
      <c r="H42" s="2068"/>
      <c r="I42" s="2068"/>
      <c r="J42" s="2068"/>
      <c r="K42" s="2089"/>
      <c r="L42" s="2068"/>
      <c r="M42" s="2068"/>
    </row>
    <row r="43" spans="1:13" ht="18" customHeight="1">
      <c r="A43" s="806" t="s">
        <v>1882</v>
      </c>
      <c r="B43" s="838" t="s">
        <v>713</v>
      </c>
      <c r="C43" s="839">
        <f ca="1">ROUND(C15*F43,0)</f>
        <v>0</v>
      </c>
      <c r="D43" s="1359" t="s">
        <v>714</v>
      </c>
      <c r="E43" s="1359" t="s">
        <v>715</v>
      </c>
      <c r="F43" s="1360">
        <f ca="1">INDIRECT("'数据-取费表'!j"&amp;$G$1)</f>
        <v>0</v>
      </c>
      <c r="G43" s="2068"/>
      <c r="H43" s="2068"/>
      <c r="I43" s="2068"/>
      <c r="J43" s="2068"/>
      <c r="K43" s="2089"/>
      <c r="L43" s="2068"/>
      <c r="M43" s="2068"/>
    </row>
    <row r="44" spans="1:13" ht="18" customHeight="1">
      <c r="A44" s="806" t="s">
        <v>1883</v>
      </c>
      <c r="B44" s="838" t="s">
        <v>716</v>
      </c>
      <c r="C44" s="1361">
        <f ca="1">C42-C43</f>
        <v>0</v>
      </c>
      <c r="D44" s="466" t="s">
        <v>717</v>
      </c>
      <c r="E44" s="467"/>
      <c r="F44" s="468"/>
      <c r="G44" s="2068"/>
      <c r="H44" s="2068"/>
      <c r="I44" s="2068"/>
      <c r="J44" s="2068"/>
      <c r="K44" s="2089"/>
      <c r="L44" s="2068"/>
      <c r="M44" s="2068"/>
    </row>
    <row r="45" spans="1:13" ht="18" customHeight="1">
      <c r="A45" s="806" t="s">
        <v>1884</v>
      </c>
      <c r="B45" s="1359" t="s">
        <v>718</v>
      </c>
      <c r="C45" s="3076">
        <f ca="1">ROUND(-PV(F45,F46,C44,0),0)</f>
        <v>0</v>
      </c>
      <c r="D45" s="1362" t="s">
        <v>719</v>
      </c>
      <c r="E45" s="809" t="s">
        <v>720</v>
      </c>
      <c r="F45" s="833">
        <f ca="1">INDIRECT("'数据-取费表'!h"&amp;$G$1)</f>
        <v>0</v>
      </c>
      <c r="G45" s="2068"/>
      <c r="H45" s="2068"/>
      <c r="I45" s="2068"/>
      <c r="J45" s="2068"/>
      <c r="K45" s="2089"/>
      <c r="L45" s="2068"/>
      <c r="M45" s="2068"/>
    </row>
    <row r="46" spans="1:13" ht="18" customHeight="1" thickBot="1">
      <c r="A46" s="834"/>
      <c r="B46" s="1363"/>
      <c r="C46" s="1364"/>
      <c r="D46" s="1365"/>
      <c r="E46" s="830" t="s">
        <v>710</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1" priority="2">
      <formula>$F$12="自定义"</formula>
    </cfRule>
  </conditionalFormatting>
  <conditionalFormatting sqref="J13">
    <cfRule type="expression" dxfId="90"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9" t="s">
        <v>2479</v>
      </c>
      <c r="B1" s="3430"/>
      <c r="C1" s="3431"/>
      <c r="D1" s="3432">
        <f>SUM(I10,I15,I20,I21,I23)</f>
        <v>0</v>
      </c>
      <c r="E1" s="3432"/>
      <c r="F1" s="3432"/>
      <c r="G1" s="3432"/>
      <c r="H1" s="3432"/>
      <c r="I1" s="3433"/>
    </row>
    <row r="2" spans="1:9">
      <c r="A2" s="3434" t="s">
        <v>2480</v>
      </c>
      <c r="B2" s="3435" t="s">
        <v>2481</v>
      </c>
      <c r="C2" s="3435"/>
      <c r="D2" s="2541" t="s">
        <v>2482</v>
      </c>
      <c r="E2" s="2541" t="s">
        <v>2483</v>
      </c>
      <c r="F2" s="2541" t="s">
        <v>2484</v>
      </c>
      <c r="G2" s="2541" t="s">
        <v>2485</v>
      </c>
      <c r="H2" s="2541" t="s">
        <v>2486</v>
      </c>
      <c r="I2" s="2542" t="s">
        <v>2487</v>
      </c>
    </row>
    <row r="3" spans="1:9">
      <c r="A3" s="3434"/>
      <c r="B3" s="3435" t="s">
        <v>2488</v>
      </c>
      <c r="C3" s="3435"/>
      <c r="D3" s="2543"/>
      <c r="E3" s="2541"/>
      <c r="F3" s="2544"/>
      <c r="G3" s="2544"/>
      <c r="H3" s="2545"/>
      <c r="I3" s="2546">
        <f>ROUND(D3*E3*F3*G3*H3/10000,0)</f>
        <v>0</v>
      </c>
    </row>
    <row r="4" spans="1:9">
      <c r="A4" s="3434"/>
      <c r="B4" s="3435" t="s">
        <v>2489</v>
      </c>
      <c r="C4" s="3435"/>
      <c r="D4" s="2543"/>
      <c r="E4" s="2541"/>
      <c r="F4" s="2544"/>
      <c r="G4" s="2544"/>
      <c r="H4" s="2545"/>
      <c r="I4" s="2546">
        <f t="shared" ref="I4:I9" si="0">ROUND(D4*E4*F4*G4*H4/10000,0)</f>
        <v>0</v>
      </c>
    </row>
    <row r="5" spans="1:9">
      <c r="A5" s="3434"/>
      <c r="B5" s="3435" t="s">
        <v>2490</v>
      </c>
      <c r="C5" s="3435"/>
      <c r="D5" s="2543"/>
      <c r="E5" s="2541"/>
      <c r="F5" s="2544"/>
      <c r="G5" s="2544"/>
      <c r="H5" s="2545"/>
      <c r="I5" s="2546">
        <f t="shared" si="0"/>
        <v>0</v>
      </c>
    </row>
    <row r="6" spans="1:9">
      <c r="A6" s="3434"/>
      <c r="B6" s="3435" t="s">
        <v>2491</v>
      </c>
      <c r="C6" s="3435"/>
      <c r="D6" s="2543"/>
      <c r="E6" s="2541"/>
      <c r="F6" s="2544"/>
      <c r="G6" s="2544"/>
      <c r="H6" s="2545"/>
      <c r="I6" s="2546">
        <f t="shared" si="0"/>
        <v>0</v>
      </c>
    </row>
    <row r="7" spans="1:9">
      <c r="A7" s="3434"/>
      <c r="B7" s="3435" t="s">
        <v>2492</v>
      </c>
      <c r="C7" s="3435"/>
      <c r="D7" s="2543"/>
      <c r="E7" s="2541"/>
      <c r="F7" s="2544"/>
      <c r="G7" s="2544"/>
      <c r="H7" s="2545"/>
      <c r="I7" s="2546">
        <f t="shared" si="0"/>
        <v>0</v>
      </c>
    </row>
    <row r="8" spans="1:9">
      <c r="A8" s="3434"/>
      <c r="B8" s="3435" t="s">
        <v>2493</v>
      </c>
      <c r="C8" s="3435"/>
      <c r="D8" s="2543"/>
      <c r="E8" s="2541"/>
      <c r="F8" s="2544"/>
      <c r="G8" s="2544"/>
      <c r="H8" s="2545"/>
      <c r="I8" s="2546">
        <f t="shared" si="0"/>
        <v>0</v>
      </c>
    </row>
    <row r="9" spans="1:9">
      <c r="A9" s="3434"/>
      <c r="B9" s="3435" t="s">
        <v>2494</v>
      </c>
      <c r="C9" s="3435"/>
      <c r="D9" s="2543"/>
      <c r="E9" s="2541"/>
      <c r="F9" s="2544"/>
      <c r="G9" s="2544"/>
      <c r="H9" s="2545"/>
      <c r="I9" s="2546">
        <f t="shared" si="0"/>
        <v>0</v>
      </c>
    </row>
    <row r="10" spans="1:9">
      <c r="A10" s="3434"/>
      <c r="B10" s="3436" t="s">
        <v>2495</v>
      </c>
      <c r="C10" s="3436"/>
      <c r="D10" s="2547">
        <v>527</v>
      </c>
      <c r="E10" s="2547" t="e">
        <f>ROUND(D1*10000/D10/H9,0)</f>
        <v>#DIV/0!</v>
      </c>
      <c r="F10" s="2548"/>
      <c r="G10" s="2548"/>
      <c r="H10" s="2549"/>
      <c r="I10" s="2550">
        <f>SUM(I3:I9)</f>
        <v>0</v>
      </c>
    </row>
    <row r="11" spans="1:9" ht="14.25">
      <c r="A11" s="3434" t="s">
        <v>2496</v>
      </c>
      <c r="B11" s="3435" t="s">
        <v>2497</v>
      </c>
      <c r="C11" s="3435"/>
      <c r="D11" s="2543" t="s">
        <v>2498</v>
      </c>
      <c r="E11" s="2543" t="s">
        <v>2499</v>
      </c>
      <c r="F11" s="2544" t="s">
        <v>2500</v>
      </c>
      <c r="G11" s="2544" t="s">
        <v>2501</v>
      </c>
      <c r="H11" s="2551" t="s">
        <v>2502</v>
      </c>
      <c r="I11" s="2542" t="s">
        <v>2503</v>
      </c>
    </row>
    <row r="12" spans="1:9">
      <c r="A12" s="3434"/>
      <c r="B12" s="3435" t="s">
        <v>2504</v>
      </c>
      <c r="C12" s="3435"/>
      <c r="D12" s="2543"/>
      <c r="E12" s="2543"/>
      <c r="F12" s="2544"/>
      <c r="G12" s="2545"/>
      <c r="H12" s="2552"/>
      <c r="I12" s="2542">
        <f>ROUND(D12*E12*F12*G12/10000,0)</f>
        <v>0</v>
      </c>
    </row>
    <row r="13" spans="1:9">
      <c r="A13" s="3434"/>
      <c r="B13" s="3435" t="s">
        <v>2505</v>
      </c>
      <c r="C13" s="3435"/>
      <c r="D13" s="2543"/>
      <c r="E13" s="2543"/>
      <c r="F13" s="2544"/>
      <c r="G13" s="2545"/>
      <c r="H13" s="2552"/>
      <c r="I13" s="2542">
        <f>ROUND(D13*E13*F13*G13/10000,0)</f>
        <v>0</v>
      </c>
    </row>
    <row r="14" spans="1:9">
      <c r="A14" s="3434"/>
      <c r="B14" s="3435" t="s">
        <v>2506</v>
      </c>
      <c r="C14" s="3435"/>
      <c r="D14" s="2543"/>
      <c r="E14" s="2543"/>
      <c r="F14" s="2544"/>
      <c r="G14" s="2545"/>
      <c r="H14" s="2552"/>
      <c r="I14" s="2542">
        <f>ROUND(D14*E14*F14*G14/10000,0)</f>
        <v>0</v>
      </c>
    </row>
    <row r="15" spans="1:9">
      <c r="A15" s="3434"/>
      <c r="B15" s="3436" t="s">
        <v>2495</v>
      </c>
      <c r="C15" s="3436"/>
      <c r="D15" s="2547"/>
      <c r="E15" s="2547">
        <f>SUM(E12:E14)</f>
        <v>0</v>
      </c>
      <c r="F15" s="2548"/>
      <c r="G15" s="2545"/>
      <c r="H15" s="2552"/>
      <c r="I15" s="2553">
        <f>SUM(I12:I14)</f>
        <v>0</v>
      </c>
    </row>
    <row r="16" spans="1:9" ht="24">
      <c r="A16" s="3434" t="s">
        <v>2507</v>
      </c>
      <c r="B16" s="3435" t="s">
        <v>2508</v>
      </c>
      <c r="C16" s="3435"/>
      <c r="D16" s="2543" t="s">
        <v>2509</v>
      </c>
      <c r="E16" s="2554" t="s">
        <v>2510</v>
      </c>
      <c r="F16" s="2544" t="s">
        <v>2511</v>
      </c>
      <c r="G16" s="2545" t="s">
        <v>2501</v>
      </c>
      <c r="H16" s="2551" t="s">
        <v>2502</v>
      </c>
      <c r="I16" s="2542" t="s">
        <v>2503</v>
      </c>
    </row>
    <row r="17" spans="1:9" ht="14.25">
      <c r="A17" s="3434"/>
      <c r="B17" s="3435" t="s">
        <v>2512</v>
      </c>
      <c r="C17" s="3435"/>
      <c r="D17" s="2543"/>
      <c r="E17" s="2543"/>
      <c r="F17" s="2544"/>
      <c r="G17" s="2545"/>
      <c r="H17" s="2555"/>
      <c r="I17" s="2556">
        <f>ROUND(D17*E17*F17*G17/10000,0)</f>
        <v>0</v>
      </c>
    </row>
    <row r="18" spans="1:9" ht="14.25">
      <c r="A18" s="3434"/>
      <c r="B18" s="3435" t="s">
        <v>2513</v>
      </c>
      <c r="C18" s="3435"/>
      <c r="D18" s="2543"/>
      <c r="E18" s="2543"/>
      <c r="F18" s="2544"/>
      <c r="G18" s="2545"/>
      <c r="H18" s="2555"/>
      <c r="I18" s="2556">
        <f>ROUND(D18*E18*F18*G18/10000,0)</f>
        <v>0</v>
      </c>
    </row>
    <row r="19" spans="1:9" ht="14.25">
      <c r="A19" s="3434"/>
      <c r="B19" s="3435" t="s">
        <v>2514</v>
      </c>
      <c r="C19" s="3435"/>
      <c r="D19" s="2543"/>
      <c r="E19" s="2543"/>
      <c r="F19" s="2544"/>
      <c r="G19" s="2545"/>
      <c r="H19" s="2555"/>
      <c r="I19" s="2556">
        <f>ROUND(D19*E19*F19*G19/10000,0)</f>
        <v>0</v>
      </c>
    </row>
    <row r="20" spans="1:9">
      <c r="A20" s="3434"/>
      <c r="B20" s="3436" t="s">
        <v>2495</v>
      </c>
      <c r="C20" s="3436"/>
      <c r="D20" s="2547">
        <f>SUM(D17:D19)</f>
        <v>0</v>
      </c>
      <c r="E20" s="2547"/>
      <c r="F20" s="2548"/>
      <c r="G20" s="2545"/>
      <c r="H20" s="2552"/>
      <c r="I20" s="2553">
        <f>SUM(I17:I19)</f>
        <v>0</v>
      </c>
    </row>
    <row r="21" spans="1:9">
      <c r="A21" s="3434" t="s">
        <v>2515</v>
      </c>
      <c r="B21" s="3438"/>
      <c r="C21" s="3438"/>
      <c r="D21" s="3438"/>
      <c r="E21" s="3438"/>
      <c r="F21" s="3438"/>
      <c r="G21" s="3438"/>
      <c r="H21" s="2557">
        <v>0.1</v>
      </c>
      <c r="I21" s="2550">
        <f>ROUND(I10*H21,0)</f>
        <v>0</v>
      </c>
    </row>
    <row r="22" spans="1:9" ht="14.25">
      <c r="A22" s="3439" t="s">
        <v>2516</v>
      </c>
      <c r="B22" s="3440"/>
      <c r="C22" s="3441"/>
      <c r="D22" s="2558" t="s">
        <v>2517</v>
      </c>
      <c r="E22" s="2558" t="s">
        <v>2518</v>
      </c>
      <c r="F22" s="2559" t="s">
        <v>2519</v>
      </c>
      <c r="G22" s="2559" t="s">
        <v>2520</v>
      </c>
      <c r="H22" s="2551" t="s">
        <v>2521</v>
      </c>
      <c r="I22" s="2542" t="s">
        <v>2522</v>
      </c>
    </row>
    <row r="23" spans="1:9" ht="14.25" thickBot="1">
      <c r="A23" s="3442"/>
      <c r="B23" s="3443"/>
      <c r="C23" s="3444"/>
      <c r="D23" s="2560"/>
      <c r="E23" s="2560"/>
      <c r="F23" s="2560"/>
      <c r="G23" s="2561"/>
      <c r="H23" s="2562"/>
      <c r="I23" s="2563">
        <f>ROUND(E23*D23*F23*(1-G23)/10000,0)</f>
        <v>0</v>
      </c>
    </row>
    <row r="26" spans="1:9">
      <c r="A26" s="2564" t="s">
        <v>2523</v>
      </c>
      <c r="B26" s="2564"/>
      <c r="C26" s="2564"/>
      <c r="D26" s="2564"/>
      <c r="E26" s="3445">
        <f>C27-C30-C31-C32</f>
        <v>0</v>
      </c>
      <c r="F26" s="3445"/>
      <c r="G26" s="3445"/>
      <c r="H26" s="3082" t="s">
        <v>2853</v>
      </c>
    </row>
    <row r="27" spans="1:9">
      <c r="A27" s="2565">
        <v>1</v>
      </c>
      <c r="B27" s="2566" t="s">
        <v>2524</v>
      </c>
      <c r="C27" s="2566"/>
      <c r="D27" s="2566"/>
      <c r="E27" s="3446"/>
      <c r="F27" s="3446"/>
      <c r="G27" s="3446"/>
    </row>
    <row r="28" spans="1:9">
      <c r="A28" s="2567" t="s">
        <v>2525</v>
      </c>
      <c r="B28" s="2566" t="s">
        <v>2526</v>
      </c>
      <c r="C28" s="2566"/>
      <c r="D28" s="2566"/>
      <c r="E28" s="3446"/>
      <c r="F28" s="3446"/>
      <c r="G28" s="3446"/>
    </row>
    <row r="29" spans="1:9">
      <c r="A29" s="2567" t="s">
        <v>2527</v>
      </c>
      <c r="B29" s="2566" t="s">
        <v>2467</v>
      </c>
      <c r="C29" s="2566"/>
      <c r="D29" s="2566"/>
      <c r="E29" s="2566" t="s">
        <v>2528</v>
      </c>
      <c r="F29" s="2566"/>
      <c r="G29" s="2566"/>
    </row>
    <row r="30" spans="1:9">
      <c r="A30" s="2565">
        <v>2</v>
      </c>
      <c r="B30" s="2566" t="s">
        <v>2529</v>
      </c>
      <c r="C30" s="2566">
        <f>C27*D30</f>
        <v>0</v>
      </c>
      <c r="D30" s="2568">
        <v>0.2</v>
      </c>
      <c r="E30" s="2566" t="s">
        <v>2530</v>
      </c>
      <c r="F30" s="2566"/>
      <c r="G30" s="2566"/>
    </row>
    <row r="31" spans="1:9">
      <c r="A31" s="2565">
        <v>3</v>
      </c>
      <c r="B31" s="2566" t="s">
        <v>2531</v>
      </c>
      <c r="C31" s="2566">
        <f>C25*D31</f>
        <v>0</v>
      </c>
      <c r="D31" s="2568">
        <v>0.15</v>
      </c>
      <c r="E31" s="2566" t="s">
        <v>2532</v>
      </c>
      <c r="F31" s="2566"/>
      <c r="G31" s="2566"/>
    </row>
    <row r="32" spans="1:9">
      <c r="A32" s="2565">
        <v>4</v>
      </c>
      <c r="B32" s="2566" t="s">
        <v>2533</v>
      </c>
      <c r="C32" s="2566">
        <f>C27*D32</f>
        <v>0</v>
      </c>
      <c r="D32" s="2568">
        <v>0.05</v>
      </c>
      <c r="E32" s="3437"/>
      <c r="F32" s="3437"/>
      <c r="G32" s="3437"/>
    </row>
    <row r="33" spans="1:7" hidden="1">
      <c r="A33" s="3447" t="s">
        <v>2534</v>
      </c>
      <c r="B33" s="3448"/>
      <c r="C33" s="3448"/>
      <c r="D33" s="3449"/>
      <c r="E33" s="3445"/>
      <c r="F33" s="3445"/>
      <c r="G33" s="3445"/>
    </row>
    <row r="34" spans="1:7" hidden="1">
      <c r="A34" s="2569">
        <v>1</v>
      </c>
      <c r="B34" s="2566" t="s">
        <v>2535</v>
      </c>
      <c r="C34" s="2566"/>
      <c r="D34" s="2566"/>
      <c r="E34" s="3446"/>
      <c r="F34" s="3446"/>
      <c r="G34" s="3446"/>
    </row>
    <row r="35" spans="1:7" hidden="1">
      <c r="A35" s="2569">
        <v>2</v>
      </c>
      <c r="B35" s="2566" t="s">
        <v>2536</v>
      </c>
      <c r="C35" s="2566"/>
      <c r="D35" s="2566"/>
      <c r="E35" s="3446"/>
      <c r="F35" s="3446"/>
      <c r="G35" s="3446"/>
    </row>
    <row r="36" spans="1:7" hidden="1">
      <c r="A36" s="2569">
        <v>3</v>
      </c>
      <c r="B36" s="2566" t="s">
        <v>2537</v>
      </c>
      <c r="C36" s="2566"/>
      <c r="D36" s="2566"/>
      <c r="E36" s="3446"/>
      <c r="F36" s="3446"/>
      <c r="G36" s="3446"/>
    </row>
    <row r="37" spans="1:7" hidden="1">
      <c r="A37" s="2569">
        <v>4</v>
      </c>
      <c r="B37" s="2566" t="s">
        <v>2538</v>
      </c>
      <c r="C37" s="2566"/>
      <c r="D37" s="2566"/>
      <c r="E37" s="3446"/>
      <c r="F37" s="3446"/>
      <c r="G37" s="3446"/>
    </row>
    <row r="38" spans="1:7" hidden="1">
      <c r="A38" s="3447" t="s">
        <v>2539</v>
      </c>
      <c r="B38" s="3448"/>
      <c r="C38" s="3448"/>
      <c r="D38" s="3449"/>
      <c r="E38" s="3445"/>
      <c r="F38" s="3445"/>
      <c r="G38" s="34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4"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503">
        <v>1</v>
      </c>
      <c r="B7" s="751" t="s">
        <v>610</v>
      </c>
      <c r="C7" s="752">
        <f>C8+C9</f>
        <v>0</v>
      </c>
      <c r="D7" s="752"/>
      <c r="E7" s="753"/>
      <c r="F7" s="753"/>
      <c r="G7" s="2513"/>
    </row>
    <row r="8" spans="1:25" s="2192" customFormat="1" ht="13.5" customHeight="1">
      <c r="A8" s="2503" t="s">
        <v>2446</v>
      </c>
      <c r="B8" s="2506" t="s">
        <v>2448</v>
      </c>
      <c r="C8" s="2507"/>
      <c r="D8" s="752"/>
      <c r="E8" s="753"/>
      <c r="F8" s="753"/>
      <c r="G8" s="754"/>
    </row>
    <row r="9" spans="1:25" s="2192" customFormat="1" ht="13.5" customHeight="1">
      <c r="A9" s="2503" t="s">
        <v>2447</v>
      </c>
      <c r="B9" s="2506" t="s">
        <v>2449</v>
      </c>
      <c r="C9" s="2507"/>
      <c r="D9" s="752"/>
      <c r="E9" s="753"/>
      <c r="F9" s="753"/>
      <c r="G9" s="754"/>
    </row>
    <row r="10" spans="1:25" s="2192" customFormat="1" ht="36">
      <c r="A10" s="2503">
        <v>2</v>
      </c>
      <c r="B10" s="751" t="s">
        <v>614</v>
      </c>
      <c r="C10" s="752">
        <f>C11+C14+C15</f>
        <v>0</v>
      </c>
      <c r="D10" s="763">
        <f>'数据-汇总表'!E3</f>
        <v>41016</v>
      </c>
      <c r="E10" s="752">
        <f>'数据-取费表'!B31</f>
        <v>200</v>
      </c>
      <c r="F10" s="764"/>
      <c r="G10" s="762" t="s">
        <v>615</v>
      </c>
    </row>
    <row r="11" spans="1:25" s="2192" customFormat="1" ht="13.5" customHeight="1">
      <c r="A11" s="2503" t="s">
        <v>2446</v>
      </c>
      <c r="B11" s="755" t="s">
        <v>611</v>
      </c>
      <c r="C11" s="756">
        <f>'数据-取费表'!B29</f>
        <v>0</v>
      </c>
      <c r="D11" s="757"/>
      <c r="E11" s="756"/>
      <c r="F11" s="758"/>
      <c r="G11" s="2512" t="s">
        <v>2457</v>
      </c>
    </row>
    <row r="12" spans="1:25" s="2192" customFormat="1" ht="13.5" customHeight="1">
      <c r="A12" s="2510" t="s">
        <v>2454</v>
      </c>
      <c r="B12" s="759" t="s">
        <v>612</v>
      </c>
      <c r="C12" s="760">
        <f>ROUND(D12*E12/10000,0)</f>
        <v>0</v>
      </c>
      <c r="D12" s="761">
        <f>'数据-汇总表'!E5</f>
        <v>0</v>
      </c>
      <c r="E12" s="760">
        <f>'数据-取费表'!B27</f>
        <v>0</v>
      </c>
      <c r="F12" s="758"/>
      <c r="G12" s="762"/>
    </row>
    <row r="13" spans="1:25" s="2192" customFormat="1" ht="13.5" customHeight="1">
      <c r="A13" s="2510" t="s">
        <v>2453</v>
      </c>
      <c r="B13" s="759" t="s">
        <v>613</v>
      </c>
      <c r="C13" s="760">
        <f>ROUND(D13*E13/10000,0)</f>
        <v>328</v>
      </c>
      <c r="D13" s="761">
        <f>'数据-汇总表'!E6</f>
        <v>41016</v>
      </c>
      <c r="E13" s="760">
        <f>'数据-取费表'!B28</f>
        <v>80</v>
      </c>
      <c r="F13" s="758"/>
      <c r="G13" s="762"/>
    </row>
    <row r="14" spans="1:25" s="2192" customFormat="1" ht="13.5" customHeight="1">
      <c r="A14" s="2503" t="s">
        <v>2447</v>
      </c>
      <c r="B14" s="2509" t="s">
        <v>2450</v>
      </c>
      <c r="C14" s="2507"/>
      <c r="D14" s="761"/>
      <c r="E14" s="760"/>
      <c r="F14" s="2508"/>
      <c r="G14" s="2511" t="s">
        <v>2455</v>
      </c>
    </row>
    <row r="15" spans="1:25" s="2192" customFormat="1" ht="13.5" customHeight="1">
      <c r="A15" s="2503" t="s">
        <v>2452</v>
      </c>
      <c r="B15" s="2509" t="s">
        <v>2451</v>
      </c>
      <c r="C15" s="2507"/>
      <c r="D15" s="761"/>
      <c r="E15" s="760"/>
      <c r="F15" s="2508"/>
      <c r="G15" s="2511" t="s">
        <v>2456</v>
      </c>
    </row>
    <row r="16" spans="1:25" s="2193" customFormat="1" ht="48">
      <c r="A16" s="2503">
        <v>3</v>
      </c>
      <c r="B16" s="751" t="s">
        <v>616</v>
      </c>
      <c r="C16" s="2507"/>
      <c r="D16" s="763"/>
      <c r="E16" s="752"/>
      <c r="F16" s="764"/>
      <c r="G16" s="762" t="s">
        <v>2458</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617</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618</v>
      </c>
      <c r="C18" s="752">
        <f>ROUND((C7+C10+C16)*F18,0)</f>
        <v>0</v>
      </c>
      <c r="D18" s="765"/>
      <c r="E18" s="766"/>
      <c r="F18" s="764">
        <f>'数据-取费表'!Q16</f>
        <v>0.1</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622</v>
      </c>
      <c r="C20" s="752">
        <f ca="1">ROUND(C19*F20,0)</f>
        <v>0</v>
      </c>
      <c r="D20" s="763"/>
      <c r="E20" s="752"/>
      <c r="F20" s="1352"/>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626</v>
      </c>
      <c r="C22" s="752">
        <f ca="1">ROUND(C21*F22,0)</f>
        <v>0</v>
      </c>
      <c r="D22" s="763"/>
      <c r="E22" s="752"/>
      <c r="F22" s="769">
        <f>'数据-取费表'!AP16</f>
        <v>0.85299999999999998</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c r="E1" s="2660"/>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6" customFormat="1" ht="28.5" customHeight="1">
      <c r="A2" s="426" t="s">
        <v>467</v>
      </c>
      <c r="B2" s="2656" t="e">
        <f>ROUND(B3*D3/10000,0)</f>
        <v>#DIV/0!</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6" customFormat="1" ht="28.5" customHeight="1" thickBot="1">
      <c r="A3" s="512" t="s">
        <v>520</v>
      </c>
      <c r="B3" s="854" t="e">
        <f>C49</f>
        <v>#DIV/0!</v>
      </c>
      <c r="C3" s="855" t="s">
        <v>725</v>
      </c>
      <c r="D3" s="854">
        <f>SUMIF('数据-汇总表'!$C19:$C33,D1,'数据-汇总表'!$E19:$E33)</f>
        <v>0</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5" t="s">
        <v>522</v>
      </c>
      <c r="B4" s="516"/>
      <c r="C4" s="3364" t="s">
        <v>523</v>
      </c>
      <c r="D4" s="3365"/>
      <c r="E4" s="3404" t="s">
        <v>524</v>
      </c>
      <c r="F4" s="3405"/>
      <c r="G4" s="3364" t="s">
        <v>525</v>
      </c>
      <c r="H4" s="3365"/>
      <c r="I4" s="3364" t="s">
        <v>526</v>
      </c>
      <c r="J4" s="3365"/>
      <c r="K4" s="856" t="s">
        <v>527</v>
      </c>
      <c r="L4" s="2142"/>
      <c r="M4" s="2143"/>
      <c r="N4" s="2143"/>
      <c r="O4" s="2143"/>
      <c r="P4" s="3366" t="s">
        <v>528</v>
      </c>
      <c r="Q4" s="3367"/>
      <c r="R4" s="3372" t="s">
        <v>524</v>
      </c>
      <c r="S4" s="3373"/>
      <c r="T4" s="3372" t="s">
        <v>525</v>
      </c>
      <c r="U4" s="3373"/>
      <c r="V4" s="3359" t="s">
        <v>526</v>
      </c>
      <c r="W4" s="3359"/>
      <c r="X4" s="1571"/>
      <c r="Y4" s="3372" t="s">
        <v>528</v>
      </c>
      <c r="Z4" s="3373"/>
      <c r="AA4" s="3361" t="s">
        <v>524</v>
      </c>
      <c r="AB4" s="3361" t="s">
        <v>525</v>
      </c>
      <c r="AC4" s="3361" t="s">
        <v>526</v>
      </c>
    </row>
    <row r="5" spans="1:29" ht="15">
      <c r="A5" s="518"/>
      <c r="B5" s="519"/>
      <c r="C5" s="3380" t="s">
        <v>2938</v>
      </c>
      <c r="D5" s="3381"/>
      <c r="E5" s="3406" t="s">
        <v>2939</v>
      </c>
      <c r="F5" s="3407"/>
      <c r="G5" s="3380" t="s">
        <v>2940</v>
      </c>
      <c r="H5" s="3381"/>
      <c r="I5" s="3380" t="s">
        <v>2941</v>
      </c>
      <c r="J5" s="3381"/>
      <c r="K5" s="857"/>
      <c r="L5" s="2142"/>
      <c r="M5" s="2143"/>
      <c r="N5" s="2143"/>
      <c r="O5" s="2143"/>
      <c r="P5" s="3368"/>
      <c r="Q5" s="3369"/>
      <c r="R5" s="3374"/>
      <c r="S5" s="3375"/>
      <c r="T5" s="3374"/>
      <c r="U5" s="3375"/>
      <c r="V5" s="3359"/>
      <c r="W5" s="3359"/>
      <c r="X5" s="1571"/>
      <c r="Y5" s="3374"/>
      <c r="Z5" s="3375"/>
      <c r="AA5" s="3362"/>
      <c r="AB5" s="3362"/>
      <c r="AC5" s="3362"/>
    </row>
    <row r="6" spans="1:29" ht="15.75" thickBot="1">
      <c r="A6" s="520"/>
      <c r="B6" s="521"/>
      <c r="C6" s="3378" t="s">
        <v>2942</v>
      </c>
      <c r="D6" s="3379"/>
      <c r="E6" s="3402" t="s">
        <v>2942</v>
      </c>
      <c r="F6" s="3403"/>
      <c r="G6" s="3378" t="s">
        <v>2942</v>
      </c>
      <c r="H6" s="3379"/>
      <c r="I6" s="3378" t="s">
        <v>2942</v>
      </c>
      <c r="J6" s="3379"/>
      <c r="K6" s="857" t="s">
        <v>529</v>
      </c>
      <c r="L6" s="2142"/>
      <c r="M6" s="2143"/>
      <c r="N6" s="2143"/>
      <c r="O6" s="2143"/>
      <c r="P6" s="3370"/>
      <c r="Q6" s="3371"/>
      <c r="R6" s="3374"/>
      <c r="S6" s="3375"/>
      <c r="T6" s="3376"/>
      <c r="U6" s="3377"/>
      <c r="V6" s="3359"/>
      <c r="W6" s="3359"/>
      <c r="X6" s="1571"/>
      <c r="Y6" s="3376"/>
      <c r="Z6" s="3377"/>
      <c r="AA6" s="3363"/>
      <c r="AB6" s="3363"/>
      <c r="AC6" s="3363"/>
    </row>
    <row r="7" spans="1:29" s="1223" customFormat="1" ht="15.75" thickBot="1">
      <c r="A7" s="2950"/>
      <c r="B7" s="2957" t="s">
        <v>530</v>
      </c>
      <c r="C7" s="522">
        <f>'数据-取费表'!B2</f>
        <v>43005</v>
      </c>
      <c r="D7" s="523">
        <v>100</v>
      </c>
      <c r="E7" s="524"/>
      <c r="F7" s="525">
        <f>SUMIF(58:58,YEAR(E7)&amp;"-"&amp;MONTH(E7),59:59)</f>
        <v>0</v>
      </c>
      <c r="G7" s="526"/>
      <c r="H7" s="523">
        <f>SUMIF(58:58,YEAR(G7)&amp;"-"&amp;MONTH(G7),59:59)</f>
        <v>0</v>
      </c>
      <c r="I7" s="526"/>
      <c r="J7" s="523">
        <f>SUMIF(58:58,YEAR(I7)&amp;"-"&amp;MONTH(I7),59:59)</f>
        <v>0</v>
      </c>
      <c r="K7" s="858"/>
      <c r="L7" s="2144"/>
      <c r="M7" s="2145"/>
      <c r="N7" s="2145"/>
      <c r="O7" s="2145"/>
      <c r="P7" s="3389" t="s">
        <v>531</v>
      </c>
      <c r="Q7" s="3391"/>
      <c r="R7" s="1572" t="s">
        <v>13</v>
      </c>
      <c r="S7" s="1573">
        <f t="shared" ref="S7:S15" si="0">F7</f>
        <v>0</v>
      </c>
      <c r="T7" s="1572" t="s">
        <v>13</v>
      </c>
      <c r="U7" s="1573">
        <f t="shared" ref="U7:U15" si="1">H7</f>
        <v>0</v>
      </c>
      <c r="V7" s="1572" t="s">
        <v>13</v>
      </c>
      <c r="W7" s="1573">
        <f t="shared" ref="W7:W15" si="2">J7</f>
        <v>0</v>
      </c>
      <c r="X7" s="1574"/>
      <c r="Y7" s="3389" t="s">
        <v>531</v>
      </c>
      <c r="Z7" s="3390"/>
      <c r="AA7" s="1575" t="e">
        <f>D7/F7</f>
        <v>#DIV/0!</v>
      </c>
      <c r="AB7" s="1575" t="e">
        <f>D7/H7</f>
        <v>#DIV/0!</v>
      </c>
      <c r="AC7" s="1575" t="e">
        <f>D7/J7</f>
        <v>#DIV/0!</v>
      </c>
    </row>
    <row r="8" spans="1:29" s="1223" customFormat="1" ht="15.75" thickBot="1">
      <c r="A8" s="2951"/>
      <c r="B8" s="2958" t="s">
        <v>532</v>
      </c>
      <c r="C8" s="528" t="s">
        <v>577</v>
      </c>
      <c r="D8" s="523">
        <v>100</v>
      </c>
      <c r="E8" s="859"/>
      <c r="F8" s="525">
        <f>SUMIF(61:61,E8,62:62)-SUMIF(61:61,C8,62:62)+100</f>
        <v>0</v>
      </c>
      <c r="G8" s="528"/>
      <c r="H8" s="523">
        <f>SUMIF(61:61,G8,62:62)-SUMIF(61:61,C8,62:62)+100</f>
        <v>0</v>
      </c>
      <c r="I8" s="859"/>
      <c r="J8" s="523">
        <f>SUMIF(61:61,I8,62:62)-SUMIF(61:61,C8,62:62)+100</f>
        <v>0</v>
      </c>
      <c r="K8" s="858"/>
      <c r="L8" s="2144"/>
      <c r="M8" s="2145"/>
      <c r="N8" s="2145"/>
      <c r="O8" s="2145"/>
      <c r="P8" s="3389" t="s">
        <v>534</v>
      </c>
      <c r="Q8" s="3390"/>
      <c r="R8" s="1572" t="s">
        <v>13</v>
      </c>
      <c r="S8" s="1573">
        <f t="shared" si="0"/>
        <v>0</v>
      </c>
      <c r="T8" s="1572" t="s">
        <v>13</v>
      </c>
      <c r="U8" s="1573">
        <f t="shared" si="1"/>
        <v>0</v>
      </c>
      <c r="V8" s="1572" t="s">
        <v>13</v>
      </c>
      <c r="W8" s="1573">
        <f t="shared" si="2"/>
        <v>0</v>
      </c>
      <c r="X8" s="1574"/>
      <c r="Y8" s="3389" t="s">
        <v>534</v>
      </c>
      <c r="Z8" s="3390"/>
      <c r="AA8" s="1575" t="e">
        <f t="shared" ref="AA8:AA46" si="3">D8/F8</f>
        <v>#DIV/0!</v>
      </c>
      <c r="AB8" s="1575" t="e">
        <f t="shared" ref="AB8:AB46" si="4">D8/H8</f>
        <v>#DIV/0!</v>
      </c>
      <c r="AC8" s="1575" t="e">
        <f t="shared" ref="AC8:AC46" si="5">D8/J8</f>
        <v>#DIV/0!</v>
      </c>
    </row>
    <row r="9" spans="1:29" s="1223" customFormat="1" ht="15">
      <c r="A9" s="2952"/>
      <c r="B9" s="2959" t="s">
        <v>2767</v>
      </c>
      <c r="C9" s="860"/>
      <c r="D9" s="254">
        <v>100</v>
      </c>
      <c r="E9" s="861"/>
      <c r="F9" s="862">
        <f>SUMIF(63:63,E9,64:64)-SUMIF(63:63,C9,64:64)+100</f>
        <v>100</v>
      </c>
      <c r="G9" s="863"/>
      <c r="H9" s="254">
        <f>SUMIF(63:63,G9,64:64)-SUMIF(63:63,C9,64:64)+100</f>
        <v>100</v>
      </c>
      <c r="I9" s="863"/>
      <c r="J9" s="254">
        <f>SUMIF(63:63,I9,64:64)-SUMIF(63:63,C9,64:64)+100</f>
        <v>100</v>
      </c>
      <c r="K9" s="858"/>
      <c r="L9" s="2144"/>
      <c r="M9" s="2145"/>
      <c r="N9" s="2145"/>
      <c r="O9" s="2146"/>
      <c r="P9" s="3358" t="s">
        <v>536</v>
      </c>
      <c r="Q9" s="1154" t="str">
        <f t="shared" ref="Q9:Q15" si="6">B9</f>
        <v>用途</v>
      </c>
      <c r="R9" s="1572" t="s">
        <v>8</v>
      </c>
      <c r="S9" s="1573">
        <f t="shared" si="0"/>
        <v>100</v>
      </c>
      <c r="T9" s="1572" t="s">
        <v>8</v>
      </c>
      <c r="U9" s="1573">
        <f t="shared" si="1"/>
        <v>100</v>
      </c>
      <c r="V9" s="1572" t="s">
        <v>8</v>
      </c>
      <c r="W9" s="1573">
        <f t="shared" si="2"/>
        <v>100</v>
      </c>
      <c r="X9" s="1574"/>
      <c r="Y9" s="3286"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5"/>
      <c r="F10" s="866">
        <f>SUMIF(65:65,E10,66:66)-SUMIF(65:65,C10,66:66)+100</f>
        <v>100</v>
      </c>
      <c r="G10" s="864"/>
      <c r="H10" s="255">
        <f>SUMIF(65:65,G10,66:66)-SUMIF(65:65,C10,66:66)+100</f>
        <v>100</v>
      </c>
      <c r="I10" s="864"/>
      <c r="J10" s="255">
        <f>SUMIF(65:65,I10,66:66)-SUMIF(65:65,C10,66:66)+100</f>
        <v>100</v>
      </c>
      <c r="K10" s="867"/>
      <c r="L10" s="2147"/>
      <c r="M10" s="2187"/>
      <c r="N10" s="2187"/>
      <c r="O10" s="2148"/>
      <c r="P10" s="3358"/>
      <c r="Q10" s="1154" t="str">
        <f t="shared" si="6"/>
        <v>土地使用年限（年）</v>
      </c>
      <c r="R10" s="1572" t="s">
        <v>8</v>
      </c>
      <c r="S10" s="1573">
        <f t="shared" si="0"/>
        <v>100</v>
      </c>
      <c r="T10" s="1572" t="s">
        <v>8</v>
      </c>
      <c r="U10" s="1573">
        <f t="shared" si="1"/>
        <v>100</v>
      </c>
      <c r="V10" s="1572" t="s">
        <v>8</v>
      </c>
      <c r="W10" s="1573">
        <f t="shared" si="2"/>
        <v>100</v>
      </c>
      <c r="X10" s="1574"/>
      <c r="Y10" s="3286"/>
      <c r="Z10" s="1153" t="str">
        <f t="shared" si="7"/>
        <v>土地使用年限（年）</v>
      </c>
      <c r="AA10" s="1575">
        <f t="shared" si="3"/>
        <v>1</v>
      </c>
      <c r="AB10" s="1575">
        <f t="shared" si="4"/>
        <v>1</v>
      </c>
      <c r="AC10" s="1575">
        <f t="shared" si="5"/>
        <v>1</v>
      </c>
    </row>
    <row r="11" spans="1:29" ht="15">
      <c r="A11" s="2954"/>
      <c r="B11" s="2958" t="s">
        <v>2769</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9"/>
      <c r="M11" s="2143"/>
      <c r="N11" s="2143"/>
      <c r="O11" s="2150"/>
      <c r="P11" s="3358"/>
      <c r="Q11" s="1154" t="str">
        <f t="shared" si="6"/>
        <v>容积率</v>
      </c>
      <c r="R11" s="1572" t="s">
        <v>11</v>
      </c>
      <c r="S11" s="1573" t="e">
        <f t="shared" si="0"/>
        <v>#N/A</v>
      </c>
      <c r="T11" s="1572" t="s">
        <v>11</v>
      </c>
      <c r="U11" s="1573" t="e">
        <f t="shared" si="1"/>
        <v>#N/A</v>
      </c>
      <c r="V11" s="1572" t="s">
        <v>11</v>
      </c>
      <c r="W11" s="1573" t="e">
        <f t="shared" si="2"/>
        <v>#N/A</v>
      </c>
      <c r="X11" s="1574"/>
      <c r="Y11" s="3286"/>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58"/>
      <c r="Q12" s="1154">
        <f t="shared" si="6"/>
        <v>111</v>
      </c>
      <c r="R12" s="1572" t="s">
        <v>11</v>
      </c>
      <c r="S12" s="1573">
        <f t="shared" si="0"/>
        <v>100</v>
      </c>
      <c r="T12" s="1572" t="s">
        <v>11</v>
      </c>
      <c r="U12" s="1573">
        <f t="shared" si="1"/>
        <v>100</v>
      </c>
      <c r="V12" s="1572" t="s">
        <v>11</v>
      </c>
      <c r="W12" s="1573">
        <f t="shared" si="2"/>
        <v>100</v>
      </c>
      <c r="X12" s="1574"/>
      <c r="Y12" s="3286"/>
      <c r="Z12" s="1153">
        <f t="shared" si="7"/>
        <v>111</v>
      </c>
      <c r="AA12" s="1575">
        <f>D12/F12</f>
        <v>1</v>
      </c>
      <c r="AB12" s="1575">
        <f>D12/H12</f>
        <v>1</v>
      </c>
      <c r="AC12" s="1575">
        <f>D12/J12</f>
        <v>1</v>
      </c>
    </row>
    <row r="13" spans="1:29" ht="15">
      <c r="A13" s="2955"/>
      <c r="B13" s="2961">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58"/>
      <c r="Q13" s="1154">
        <f t="shared" si="6"/>
        <v>111</v>
      </c>
      <c r="R13" s="1572" t="s">
        <v>11</v>
      </c>
      <c r="S13" s="1573">
        <f t="shared" si="0"/>
        <v>100</v>
      </c>
      <c r="T13" s="1572" t="s">
        <v>11</v>
      </c>
      <c r="U13" s="1573">
        <f t="shared" si="1"/>
        <v>100</v>
      </c>
      <c r="V13" s="1572" t="s">
        <v>11</v>
      </c>
      <c r="W13" s="1573">
        <f t="shared" si="2"/>
        <v>100</v>
      </c>
      <c r="X13" s="1574"/>
      <c r="Y13" s="3286"/>
      <c r="Z13" s="1153">
        <f t="shared" si="7"/>
        <v>111</v>
      </c>
      <c r="AA13" s="1575">
        <f t="shared" si="3"/>
        <v>1</v>
      </c>
      <c r="AB13" s="1575">
        <f t="shared" si="4"/>
        <v>1</v>
      </c>
      <c r="AC13" s="1575">
        <f t="shared" si="5"/>
        <v>1</v>
      </c>
    </row>
    <row r="14" spans="1:29" ht="15.75" thickBot="1">
      <c r="A14" s="2956"/>
      <c r="B14" s="2962">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58"/>
      <c r="Q14" s="1154">
        <f t="shared" si="6"/>
        <v>111</v>
      </c>
      <c r="R14" s="1572" t="s">
        <v>11</v>
      </c>
      <c r="S14" s="1573">
        <f t="shared" si="0"/>
        <v>100</v>
      </c>
      <c r="T14" s="1572" t="s">
        <v>11</v>
      </c>
      <c r="U14" s="1573">
        <f t="shared" si="1"/>
        <v>100</v>
      </c>
      <c r="V14" s="1572" t="s">
        <v>11</v>
      </c>
      <c r="W14" s="1573">
        <f t="shared" si="2"/>
        <v>100</v>
      </c>
      <c r="X14" s="1574"/>
      <c r="Y14" s="3286"/>
      <c r="Z14" s="1153">
        <f t="shared" si="7"/>
        <v>111</v>
      </c>
      <c r="AA14" s="1575">
        <f t="shared" si="3"/>
        <v>1</v>
      </c>
      <c r="AB14" s="1575">
        <f t="shared" si="4"/>
        <v>1</v>
      </c>
      <c r="AC14" s="1575">
        <f t="shared" si="5"/>
        <v>1</v>
      </c>
    </row>
    <row r="15" spans="1:29" ht="99.75">
      <c r="A15" s="2948" t="s">
        <v>2765</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1"/>
      <c r="M15" s="2143"/>
      <c r="N15" s="2143"/>
      <c r="O15" s="2150"/>
      <c r="P15" s="3392" t="s">
        <v>541</v>
      </c>
      <c r="Q15" s="1576" t="str">
        <f t="shared" si="6"/>
        <v>居住社区成熟度</v>
      </c>
      <c r="R15" s="1577" t="s">
        <v>11</v>
      </c>
      <c r="S15" s="1578">
        <f t="shared" si="0"/>
        <v>100</v>
      </c>
      <c r="T15" s="1577" t="s">
        <v>11</v>
      </c>
      <c r="U15" s="1578">
        <f t="shared" si="1"/>
        <v>100</v>
      </c>
      <c r="V15" s="1577" t="s">
        <v>11</v>
      </c>
      <c r="W15" s="1578">
        <f t="shared" si="2"/>
        <v>100</v>
      </c>
      <c r="X15" s="1571"/>
      <c r="Y15" s="3392"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51"/>
      <c r="M16" s="2143"/>
      <c r="N16" s="2143"/>
      <c r="O16" s="2150"/>
      <c r="P16" s="3393"/>
      <c r="Q16" s="1576"/>
      <c r="R16" s="1577"/>
      <c r="S16" s="1578"/>
      <c r="T16" s="1577"/>
      <c r="U16" s="1578"/>
      <c r="V16" s="1577"/>
      <c r="W16" s="1578"/>
      <c r="X16" s="1571"/>
      <c r="Y16" s="3393"/>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1"/>
      <c r="M17" s="2143"/>
      <c r="N17" s="2143"/>
      <c r="O17" s="2150"/>
      <c r="P17" s="3393"/>
      <c r="Q17" s="1576" t="str">
        <f>B17</f>
        <v>交通便捷度</v>
      </c>
      <c r="R17" s="1577" t="s">
        <v>11</v>
      </c>
      <c r="S17" s="1578">
        <f>F17</f>
        <v>100</v>
      </c>
      <c r="T17" s="1577" t="s">
        <v>11</v>
      </c>
      <c r="U17" s="1578">
        <f>H17</f>
        <v>100</v>
      </c>
      <c r="V17" s="1577" t="s">
        <v>11</v>
      </c>
      <c r="W17" s="1578">
        <f>J17</f>
        <v>100</v>
      </c>
      <c r="X17" s="1571"/>
      <c r="Y17" s="339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51"/>
      <c r="M18" s="2143"/>
      <c r="N18" s="2143"/>
      <c r="O18" s="2150"/>
      <c r="P18" s="3393"/>
      <c r="Q18" s="1576"/>
      <c r="R18" s="1577"/>
      <c r="S18" s="1578"/>
      <c r="T18" s="1577"/>
      <c r="U18" s="1578"/>
      <c r="V18" s="1577"/>
      <c r="W18" s="1578"/>
      <c r="X18" s="1571"/>
      <c r="Y18" s="3393"/>
      <c r="Z18" s="1579"/>
      <c r="AA18" s="1580">
        <v>1</v>
      </c>
      <c r="AB18" s="1580">
        <v>1</v>
      </c>
      <c r="AC18" s="1580">
        <v>1</v>
      </c>
    </row>
    <row r="19" spans="1:29" ht="42.75">
      <c r="A19" s="535"/>
      <c r="B19" s="2634" t="s">
        <v>2554</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1"/>
      <c r="M19" s="2143"/>
      <c r="N19" s="2143"/>
      <c r="O19" s="2150"/>
      <c r="P19" s="3393"/>
      <c r="Q19" s="1576" t="str">
        <f>B19</f>
        <v>公共配套设施</v>
      </c>
      <c r="R19" s="1577" t="s">
        <v>11</v>
      </c>
      <c r="S19" s="1578">
        <f>F19</f>
        <v>100</v>
      </c>
      <c r="T19" s="1577" t="s">
        <v>11</v>
      </c>
      <c r="U19" s="1578">
        <f>H19</f>
        <v>100</v>
      </c>
      <c r="V19" s="1577" t="s">
        <v>11</v>
      </c>
      <c r="W19" s="1578">
        <f>J19</f>
        <v>100</v>
      </c>
      <c r="X19" s="1571"/>
      <c r="Y19" s="3393"/>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51"/>
      <c r="M20" s="2143"/>
      <c r="N20" s="2143"/>
      <c r="O20" s="2150"/>
      <c r="P20" s="3393"/>
      <c r="Q20" s="1576"/>
      <c r="R20" s="1577"/>
      <c r="S20" s="1578"/>
      <c r="T20" s="1577"/>
      <c r="U20" s="1578"/>
      <c r="V20" s="1577"/>
      <c r="W20" s="1578"/>
      <c r="X20" s="1571"/>
      <c r="Y20" s="3393"/>
      <c r="Z20" s="1579"/>
      <c r="AA20" s="1580">
        <v>1</v>
      </c>
      <c r="AB20" s="1580">
        <v>1</v>
      </c>
      <c r="AC20" s="1580">
        <v>1</v>
      </c>
    </row>
    <row r="21" spans="1:29" ht="28.5">
      <c r="A21" s="535"/>
      <c r="B21" s="2627" t="s">
        <v>2566</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1"/>
      <c r="M21" s="2143"/>
      <c r="N21" s="2143"/>
      <c r="O21" s="2150"/>
      <c r="P21" s="3393"/>
      <c r="Q21" s="2613" t="str">
        <f>B21</f>
        <v>基础设施水平</v>
      </c>
      <c r="R21" s="1577" t="s">
        <v>11</v>
      </c>
      <c r="S21" s="1578">
        <f>F21</f>
        <v>100</v>
      </c>
      <c r="T21" s="1577" t="s">
        <v>11</v>
      </c>
      <c r="U21" s="1578">
        <f>H21</f>
        <v>100</v>
      </c>
      <c r="V21" s="1577" t="s">
        <v>11</v>
      </c>
      <c r="W21" s="1578">
        <f>J21</f>
        <v>100</v>
      </c>
      <c r="X21" s="2615"/>
      <c r="Y21" s="3393"/>
      <c r="Z21" s="2614"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3"/>
      <c r="L22" s="2151"/>
      <c r="M22" s="2143"/>
      <c r="N22" s="2143"/>
      <c r="O22" s="2150"/>
      <c r="P22" s="3393"/>
      <c r="Q22" s="2613"/>
      <c r="R22" s="1577"/>
      <c r="S22" s="1578"/>
      <c r="T22" s="1577"/>
      <c r="U22" s="1578"/>
      <c r="V22" s="1577"/>
      <c r="W22" s="1578"/>
      <c r="X22" s="2615"/>
      <c r="Y22" s="3393"/>
      <c r="Z22" s="2614"/>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1"/>
      <c r="M23" s="2143"/>
      <c r="N23" s="2143"/>
      <c r="O23" s="2150"/>
      <c r="P23" s="3393"/>
      <c r="Q23" s="1576" t="str">
        <f>B23</f>
        <v>自然及人文环境</v>
      </c>
      <c r="R23" s="1577" t="s">
        <v>11</v>
      </c>
      <c r="S23" s="1578">
        <f>F23</f>
        <v>100</v>
      </c>
      <c r="T23" s="1577" t="s">
        <v>11</v>
      </c>
      <c r="U23" s="1578">
        <f>H23</f>
        <v>100</v>
      </c>
      <c r="V23" s="1577" t="s">
        <v>11</v>
      </c>
      <c r="W23" s="1578">
        <f>J23</f>
        <v>100</v>
      </c>
      <c r="X23" s="1571"/>
      <c r="Y23" s="3393"/>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51"/>
      <c r="M24" s="2143"/>
      <c r="N24" s="2143"/>
      <c r="O24" s="2150"/>
      <c r="P24" s="3393"/>
      <c r="Q24" s="1576"/>
      <c r="R24" s="1577"/>
      <c r="S24" s="1578"/>
      <c r="T24" s="1577"/>
      <c r="U24" s="1578"/>
      <c r="V24" s="1577"/>
      <c r="W24" s="1578"/>
      <c r="X24" s="1571"/>
      <c r="Y24" s="3393"/>
      <c r="Z24" s="1579"/>
      <c r="AA24" s="1580">
        <v>1</v>
      </c>
      <c r="AB24" s="1580">
        <v>1</v>
      </c>
      <c r="AC24" s="1580">
        <v>1</v>
      </c>
    </row>
    <row r="25" spans="1:29" ht="15">
      <c r="A25" s="535"/>
      <c r="B25" s="1900" t="s">
        <v>2262</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393"/>
      <c r="Q25" s="1576" t="str">
        <f t="shared" ref="Q25:Q46" si="11">B25</f>
        <v>楼层-1</v>
      </c>
      <c r="R25" s="1577" t="s">
        <v>11</v>
      </c>
      <c r="S25" s="1578">
        <f>F25</f>
        <v>100</v>
      </c>
      <c r="T25" s="1577" t="s">
        <v>11</v>
      </c>
      <c r="U25" s="1578">
        <f>H25</f>
        <v>100</v>
      </c>
      <c r="V25" s="1577" t="s">
        <v>11</v>
      </c>
      <c r="W25" s="1578">
        <f>J25</f>
        <v>100</v>
      </c>
      <c r="X25" s="1571"/>
      <c r="Y25" s="3393"/>
      <c r="Z25" s="1579" t="str">
        <f>Q25</f>
        <v>楼层-1</v>
      </c>
      <c r="AA25" s="1580">
        <f t="shared" si="3"/>
        <v>1</v>
      </c>
      <c r="AB25" s="1580">
        <f t="shared" si="4"/>
        <v>1</v>
      </c>
      <c r="AC25" s="1580">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393"/>
      <c r="Q26" s="1576" t="str">
        <f t="shared" si="11"/>
        <v>朝向</v>
      </c>
      <c r="R26" s="1577" t="s">
        <v>11</v>
      </c>
      <c r="S26" s="1578">
        <f>F26</f>
        <v>100</v>
      </c>
      <c r="T26" s="1577" t="s">
        <v>11</v>
      </c>
      <c r="U26" s="1578">
        <f>H26</f>
        <v>100</v>
      </c>
      <c r="V26" s="1577" t="s">
        <v>11</v>
      </c>
      <c r="W26" s="1578">
        <f>J26</f>
        <v>100</v>
      </c>
      <c r="X26" s="1571"/>
      <c r="Y26" s="3393"/>
      <c r="Z26" s="1579" t="str">
        <f>Q26</f>
        <v>朝向</v>
      </c>
      <c r="AA26" s="1580">
        <f t="shared" si="3"/>
        <v>1</v>
      </c>
      <c r="AB26" s="1580">
        <f t="shared" si="4"/>
        <v>1</v>
      </c>
      <c r="AC26" s="1580">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4"/>
      <c r="M27" s="2145"/>
      <c r="N27" s="2145"/>
      <c r="O27" s="2146"/>
      <c r="P27" s="3393"/>
      <c r="Q27" s="1154" t="str">
        <f t="shared" si="11"/>
        <v>道路级别</v>
      </c>
      <c r="R27" s="1572" t="s">
        <v>11</v>
      </c>
      <c r="S27" s="1573">
        <f>F27</f>
        <v>100</v>
      </c>
      <c r="T27" s="1572" t="s">
        <v>11</v>
      </c>
      <c r="U27" s="1573">
        <f>H27</f>
        <v>100</v>
      </c>
      <c r="V27" s="1572" t="s">
        <v>11</v>
      </c>
      <c r="W27" s="1573">
        <f>J27</f>
        <v>100</v>
      </c>
      <c r="X27" s="1574"/>
      <c r="Y27" s="3393"/>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393"/>
      <c r="Q28" s="1576">
        <f t="shared" si="11"/>
        <v>111</v>
      </c>
      <c r="R28" s="1577" t="s">
        <v>11</v>
      </c>
      <c r="S28" s="1578">
        <f t="shared" ref="S28:S46" si="12">F28</f>
        <v>100</v>
      </c>
      <c r="T28" s="1577" t="s">
        <v>11</v>
      </c>
      <c r="U28" s="1578">
        <f t="shared" ref="U28:U46" si="13">H28</f>
        <v>100</v>
      </c>
      <c r="V28" s="1577" t="s">
        <v>11</v>
      </c>
      <c r="W28" s="1578">
        <f t="shared" ref="W28:W46" si="14">J28</f>
        <v>100</v>
      </c>
      <c r="X28" s="1571"/>
      <c r="Y28" s="3393"/>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393"/>
      <c r="Q29" s="1576">
        <f t="shared" si="11"/>
        <v>111</v>
      </c>
      <c r="R29" s="1577" t="s">
        <v>11</v>
      </c>
      <c r="S29" s="1578">
        <f t="shared" si="12"/>
        <v>100</v>
      </c>
      <c r="T29" s="1577" t="s">
        <v>11</v>
      </c>
      <c r="U29" s="1578">
        <f t="shared" si="13"/>
        <v>100</v>
      </c>
      <c r="V29" s="1577" t="s">
        <v>11</v>
      </c>
      <c r="W29" s="1578">
        <f t="shared" si="14"/>
        <v>100</v>
      </c>
      <c r="X29" s="1571"/>
      <c r="Y29" s="3393"/>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393"/>
      <c r="Q30" s="1576">
        <f t="shared" si="11"/>
        <v>111</v>
      </c>
      <c r="R30" s="1577" t="s">
        <v>11</v>
      </c>
      <c r="S30" s="1578">
        <f t="shared" si="12"/>
        <v>100</v>
      </c>
      <c r="T30" s="1577" t="s">
        <v>11</v>
      </c>
      <c r="U30" s="1578">
        <f t="shared" si="13"/>
        <v>100</v>
      </c>
      <c r="V30" s="1577" t="s">
        <v>11</v>
      </c>
      <c r="W30" s="1578">
        <f t="shared" si="14"/>
        <v>100</v>
      </c>
      <c r="X30" s="1571"/>
      <c r="Y30" s="3393"/>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393"/>
      <c r="Q31" s="1576">
        <f t="shared" si="11"/>
        <v>111</v>
      </c>
      <c r="R31" s="1577" t="s">
        <v>11</v>
      </c>
      <c r="S31" s="1578">
        <f t="shared" si="12"/>
        <v>100</v>
      </c>
      <c r="T31" s="1577" t="s">
        <v>11</v>
      </c>
      <c r="U31" s="1578">
        <f t="shared" si="13"/>
        <v>100</v>
      </c>
      <c r="V31" s="1577" t="s">
        <v>11</v>
      </c>
      <c r="W31" s="1578">
        <f t="shared" si="14"/>
        <v>100</v>
      </c>
      <c r="X31" s="1571"/>
      <c r="Y31" s="3393"/>
      <c r="Z31" s="1579">
        <f t="shared" si="15"/>
        <v>111</v>
      </c>
      <c r="AA31" s="1580">
        <f t="shared" si="3"/>
        <v>1</v>
      </c>
      <c r="AB31" s="1580">
        <f t="shared" si="4"/>
        <v>1</v>
      </c>
      <c r="AC31" s="1580">
        <f t="shared" si="5"/>
        <v>1</v>
      </c>
    </row>
    <row r="32" spans="1:29" ht="15">
      <c r="A32" s="2945" t="s">
        <v>2766</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1"/>
      <c r="M32" s="2143"/>
      <c r="N32" s="2143"/>
      <c r="O32" s="2150"/>
      <c r="P32" s="3394" t="s">
        <v>551</v>
      </c>
      <c r="Q32" s="1576" t="str">
        <f t="shared" si="11"/>
        <v>建筑类型</v>
      </c>
      <c r="R32" s="1577" t="s">
        <v>11</v>
      </c>
      <c r="S32" s="1578">
        <f t="shared" si="12"/>
        <v>100</v>
      </c>
      <c r="T32" s="1577" t="s">
        <v>11</v>
      </c>
      <c r="U32" s="1578">
        <f t="shared" si="13"/>
        <v>100</v>
      </c>
      <c r="V32" s="1577" t="s">
        <v>11</v>
      </c>
      <c r="W32" s="1578">
        <f t="shared" si="14"/>
        <v>100</v>
      </c>
      <c r="X32" s="1571"/>
      <c r="Y32" s="3395" t="s">
        <v>551</v>
      </c>
      <c r="Z32" s="1579" t="str">
        <f t="shared" si="15"/>
        <v>建筑类型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9"/>
      <c r="M33" s="2180"/>
      <c r="N33" s="2180"/>
      <c r="O33" s="2152"/>
      <c r="P33" s="3395"/>
      <c r="Q33" s="1609" t="str">
        <f t="shared" si="11"/>
        <v>项目建筑规模</v>
      </c>
      <c r="R33" s="1581" t="s">
        <v>11</v>
      </c>
      <c r="S33" s="1582" t="e">
        <f t="shared" si="12"/>
        <v>#N/A</v>
      </c>
      <c r="T33" s="1581" t="s">
        <v>11</v>
      </c>
      <c r="U33" s="1582" t="e">
        <f t="shared" si="13"/>
        <v>#N/A</v>
      </c>
      <c r="V33" s="1581" t="s">
        <v>11</v>
      </c>
      <c r="W33" s="1582" t="e">
        <f t="shared" si="14"/>
        <v>#N/A</v>
      </c>
      <c r="X33" s="1583"/>
      <c r="Y33" s="3395"/>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1"/>
      <c r="M34" s="2143"/>
      <c r="N34" s="2143"/>
      <c r="O34" s="2150"/>
      <c r="P34" s="3395"/>
      <c r="Q34" s="1576" t="str">
        <f t="shared" si="11"/>
        <v>建筑结构</v>
      </c>
      <c r="R34" s="1577" t="s">
        <v>11</v>
      </c>
      <c r="S34" s="1578">
        <f t="shared" si="12"/>
        <v>100</v>
      </c>
      <c r="T34" s="1577" t="s">
        <v>11</v>
      </c>
      <c r="U34" s="1578">
        <f t="shared" si="13"/>
        <v>100</v>
      </c>
      <c r="V34" s="1577" t="s">
        <v>11</v>
      </c>
      <c r="W34" s="1578">
        <f t="shared" si="14"/>
        <v>100</v>
      </c>
      <c r="X34" s="1571"/>
      <c r="Y34" s="3395"/>
      <c r="Z34" s="1579" t="str">
        <f t="shared" si="15"/>
        <v>建筑结构</v>
      </c>
      <c r="AA34" s="1580">
        <f t="shared" si="3"/>
        <v>1</v>
      </c>
      <c r="AB34" s="1580">
        <f t="shared" si="4"/>
        <v>1</v>
      </c>
      <c r="AC34" s="1580">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1"/>
      <c r="M35" s="2143"/>
      <c r="N35" s="2143"/>
      <c r="O35" s="2150"/>
      <c r="P35" s="3395"/>
      <c r="Q35" s="1576" t="str">
        <f t="shared" si="11"/>
        <v>建筑品质</v>
      </c>
      <c r="R35" s="1577" t="s">
        <v>11</v>
      </c>
      <c r="S35" s="1578">
        <f t="shared" si="12"/>
        <v>100</v>
      </c>
      <c r="T35" s="1577" t="s">
        <v>11</v>
      </c>
      <c r="U35" s="1578">
        <f t="shared" si="13"/>
        <v>100</v>
      </c>
      <c r="V35" s="1577" t="s">
        <v>11</v>
      </c>
      <c r="W35" s="1578">
        <f t="shared" si="14"/>
        <v>100</v>
      </c>
      <c r="X35" s="1571"/>
      <c r="Y35" s="3395"/>
      <c r="Z35" s="1579" t="str">
        <f t="shared" si="15"/>
        <v>建筑品质</v>
      </c>
      <c r="AA35" s="1580">
        <f t="shared" si="3"/>
        <v>1</v>
      </c>
      <c r="AB35" s="1580">
        <f t="shared" si="4"/>
        <v>1</v>
      </c>
      <c r="AC35" s="1580">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1"/>
      <c r="M36" s="2143"/>
      <c r="N36" s="2143"/>
      <c r="O36" s="2150"/>
      <c r="P36" s="3395"/>
      <c r="Q36" s="1576" t="str">
        <f t="shared" si="11"/>
        <v>公共部分装修</v>
      </c>
      <c r="R36" s="1577" t="s">
        <v>11</v>
      </c>
      <c r="S36" s="1578">
        <f t="shared" si="12"/>
        <v>100</v>
      </c>
      <c r="T36" s="1577" t="s">
        <v>11</v>
      </c>
      <c r="U36" s="1578">
        <f t="shared" si="13"/>
        <v>100</v>
      </c>
      <c r="V36" s="1577" t="s">
        <v>11</v>
      </c>
      <c r="W36" s="1578">
        <f t="shared" si="14"/>
        <v>100</v>
      </c>
      <c r="X36" s="1571"/>
      <c r="Y36" s="3395"/>
      <c r="Z36" s="1579" t="str">
        <f t="shared" si="15"/>
        <v>公共部分装修</v>
      </c>
      <c r="AA36" s="1580">
        <f t="shared" si="3"/>
        <v>1</v>
      </c>
      <c r="AB36" s="1580">
        <f t="shared" si="4"/>
        <v>1</v>
      </c>
      <c r="AC36" s="1580">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4"/>
      <c r="M37" s="2145"/>
      <c r="N37" s="2145"/>
      <c r="O37" s="2146"/>
      <c r="P37" s="3395"/>
      <c r="Q37" s="1154" t="str">
        <f t="shared" si="11"/>
        <v>成新度</v>
      </c>
      <c r="R37" s="1572" t="s">
        <v>11</v>
      </c>
      <c r="S37" s="1573" t="e">
        <f t="shared" si="12"/>
        <v>#N/A</v>
      </c>
      <c r="T37" s="1572" t="s">
        <v>11</v>
      </c>
      <c r="U37" s="1573" t="e">
        <f t="shared" si="13"/>
        <v>#N/A</v>
      </c>
      <c r="V37" s="1572" t="s">
        <v>11</v>
      </c>
      <c r="W37" s="1573" t="e">
        <f t="shared" si="14"/>
        <v>#N/A</v>
      </c>
      <c r="X37" s="1574"/>
      <c r="Y37" s="3395"/>
      <c r="Z37" s="1153" t="str">
        <f t="shared" si="15"/>
        <v>成新度</v>
      </c>
      <c r="AA37" s="1575" t="e">
        <f t="shared" si="3"/>
        <v>#N/A</v>
      </c>
      <c r="AB37" s="1575" t="e">
        <f t="shared" si="4"/>
        <v>#N/A</v>
      </c>
      <c r="AC37" s="1575"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1"/>
      <c r="M38" s="2143"/>
      <c r="N38" s="2143"/>
      <c r="O38" s="2150"/>
      <c r="P38" s="3395" t="s">
        <v>551</v>
      </c>
      <c r="Q38" s="1576" t="str">
        <f t="shared" si="11"/>
        <v>物业管理</v>
      </c>
      <c r="R38" s="1577" t="s">
        <v>11</v>
      </c>
      <c r="S38" s="1578">
        <f t="shared" si="12"/>
        <v>100</v>
      </c>
      <c r="T38" s="1577" t="s">
        <v>11</v>
      </c>
      <c r="U38" s="1578">
        <f t="shared" si="13"/>
        <v>100</v>
      </c>
      <c r="V38" s="1577" t="s">
        <v>11</v>
      </c>
      <c r="W38" s="1578">
        <f t="shared" si="14"/>
        <v>100</v>
      </c>
      <c r="X38" s="1571"/>
      <c r="Y38" s="3395" t="s">
        <v>551</v>
      </c>
      <c r="Z38" s="1579" t="str">
        <f t="shared" si="15"/>
        <v>物业管理</v>
      </c>
      <c r="AA38" s="1580">
        <f t="shared" si="3"/>
        <v>1</v>
      </c>
      <c r="AB38" s="1580">
        <f t="shared" si="4"/>
        <v>1</v>
      </c>
      <c r="AC38" s="1580">
        <f t="shared" si="5"/>
        <v>1</v>
      </c>
    </row>
    <row r="39" spans="1:29" ht="15">
      <c r="A39" s="597"/>
      <c r="B39" s="1900" t="s">
        <v>2572</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1"/>
      <c r="M39" s="2143"/>
      <c r="N39" s="2143"/>
      <c r="O39" s="2150"/>
      <c r="P39" s="3395"/>
      <c r="Q39" s="1576" t="str">
        <f t="shared" si="11"/>
        <v>市政基础设施</v>
      </c>
      <c r="R39" s="1577" t="s">
        <v>11</v>
      </c>
      <c r="S39" s="1578">
        <f t="shared" si="12"/>
        <v>100</v>
      </c>
      <c r="T39" s="1577" t="s">
        <v>11</v>
      </c>
      <c r="U39" s="1578">
        <f t="shared" si="13"/>
        <v>100</v>
      </c>
      <c r="V39" s="1577" t="s">
        <v>11</v>
      </c>
      <c r="W39" s="1578">
        <f t="shared" si="14"/>
        <v>100</v>
      </c>
      <c r="X39" s="1571"/>
      <c r="Y39" s="3395"/>
      <c r="Z39" s="1579" t="str">
        <f t="shared" si="15"/>
        <v>市政基础设施</v>
      </c>
      <c r="AA39" s="1580">
        <f t="shared" si="3"/>
        <v>1</v>
      </c>
      <c r="AB39" s="1580">
        <f t="shared" si="4"/>
        <v>1</v>
      </c>
      <c r="AC39" s="1580">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1"/>
      <c r="M40" s="2143"/>
      <c r="N40" s="2143"/>
      <c r="O40" s="2150"/>
      <c r="P40" s="3395"/>
      <c r="Q40" s="1576" t="str">
        <f t="shared" si="11"/>
        <v>房型</v>
      </c>
      <c r="R40" s="1577" t="s">
        <v>11</v>
      </c>
      <c r="S40" s="1578">
        <f t="shared" si="12"/>
        <v>100</v>
      </c>
      <c r="T40" s="1577" t="s">
        <v>11</v>
      </c>
      <c r="U40" s="1578">
        <f t="shared" si="13"/>
        <v>100</v>
      </c>
      <c r="V40" s="1577" t="s">
        <v>11</v>
      </c>
      <c r="W40" s="1578">
        <f t="shared" si="14"/>
        <v>100</v>
      </c>
      <c r="X40" s="1571"/>
      <c r="Y40" s="3395"/>
      <c r="Z40" s="1579" t="str">
        <f t="shared" si="15"/>
        <v>房型</v>
      </c>
      <c r="AA40" s="1580">
        <f t="shared" si="3"/>
        <v>1</v>
      </c>
      <c r="AB40" s="1580">
        <f t="shared" si="4"/>
        <v>1</v>
      </c>
      <c r="AC40" s="1580">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9"/>
      <c r="M41" s="2180"/>
      <c r="N41" s="2180"/>
      <c r="O41" s="2152"/>
      <c r="P41" s="3395"/>
      <c r="Q41" s="1609" t="str">
        <f t="shared" si="11"/>
        <v>单套/主力户型建筑面积</v>
      </c>
      <c r="R41" s="1581" t="s">
        <v>11</v>
      </c>
      <c r="S41" s="1582">
        <f t="shared" si="12"/>
        <v>100</v>
      </c>
      <c r="T41" s="1581" t="s">
        <v>11</v>
      </c>
      <c r="U41" s="1582">
        <f t="shared" si="13"/>
        <v>100</v>
      </c>
      <c r="V41" s="1581" t="s">
        <v>11</v>
      </c>
      <c r="W41" s="1582">
        <f t="shared" si="14"/>
        <v>100</v>
      </c>
      <c r="X41" s="1583"/>
      <c r="Y41" s="3395"/>
      <c r="Z41" s="1584" t="str">
        <f t="shared" si="15"/>
        <v>单套/主力户型建筑面积</v>
      </c>
      <c r="AA41" s="1580">
        <f t="shared" si="3"/>
        <v>1</v>
      </c>
      <c r="AB41" s="1580">
        <f t="shared" si="4"/>
        <v>1</v>
      </c>
      <c r="AC41" s="1580">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1"/>
      <c r="M42" s="2143"/>
      <c r="N42" s="2143"/>
      <c r="O42" s="2150"/>
      <c r="P42" s="3395"/>
      <c r="Q42" s="1576" t="str">
        <f t="shared" si="11"/>
        <v>内部装修</v>
      </c>
      <c r="R42" s="1577" t="s">
        <v>11</v>
      </c>
      <c r="S42" s="1578">
        <f t="shared" si="12"/>
        <v>100</v>
      </c>
      <c r="T42" s="1577" t="s">
        <v>11</v>
      </c>
      <c r="U42" s="1578">
        <f t="shared" si="13"/>
        <v>100</v>
      </c>
      <c r="V42" s="1577" t="s">
        <v>11</v>
      </c>
      <c r="W42" s="1578">
        <f t="shared" si="14"/>
        <v>100</v>
      </c>
      <c r="X42" s="1571"/>
      <c r="Y42" s="3395"/>
      <c r="Z42" s="1579" t="str">
        <f t="shared" si="15"/>
        <v>内部装修</v>
      </c>
      <c r="AA42" s="1580">
        <f t="shared" si="3"/>
        <v>1</v>
      </c>
      <c r="AB42" s="1580">
        <f t="shared" si="4"/>
        <v>1</v>
      </c>
      <c r="AC42" s="1580">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1"/>
      <c r="M43" s="2143"/>
      <c r="N43" s="2143"/>
      <c r="O43" s="2150"/>
      <c r="P43" s="3395"/>
      <c r="Q43" s="1576" t="str">
        <f t="shared" si="11"/>
        <v>内部装修维护情况</v>
      </c>
      <c r="R43" s="1577" t="s">
        <v>11</v>
      </c>
      <c r="S43" s="1578">
        <f t="shared" si="12"/>
        <v>100</v>
      </c>
      <c r="T43" s="1577" t="s">
        <v>11</v>
      </c>
      <c r="U43" s="1578">
        <f t="shared" si="13"/>
        <v>100</v>
      </c>
      <c r="V43" s="1577" t="s">
        <v>11</v>
      </c>
      <c r="W43" s="1578">
        <f t="shared" si="14"/>
        <v>100</v>
      </c>
      <c r="X43" s="1571"/>
      <c r="Y43" s="3395"/>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395"/>
      <c r="Q44" s="1154">
        <f t="shared" si="11"/>
        <v>111</v>
      </c>
      <c r="R44" s="1572" t="s">
        <v>11</v>
      </c>
      <c r="S44" s="1573">
        <f t="shared" si="12"/>
        <v>100</v>
      </c>
      <c r="T44" s="1572" t="s">
        <v>11</v>
      </c>
      <c r="U44" s="1573">
        <f t="shared" si="13"/>
        <v>100</v>
      </c>
      <c r="V44" s="1572" t="s">
        <v>11</v>
      </c>
      <c r="W44" s="1573">
        <f t="shared" si="14"/>
        <v>100</v>
      </c>
      <c r="X44" s="1574"/>
      <c r="Y44" s="3395"/>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395"/>
      <c r="Q45" s="1576">
        <f t="shared" si="11"/>
        <v>111</v>
      </c>
      <c r="R45" s="1577" t="s">
        <v>11</v>
      </c>
      <c r="S45" s="1578">
        <f t="shared" si="12"/>
        <v>100</v>
      </c>
      <c r="T45" s="1577" t="s">
        <v>11</v>
      </c>
      <c r="U45" s="1578">
        <f t="shared" si="13"/>
        <v>100</v>
      </c>
      <c r="V45" s="1577" t="s">
        <v>11</v>
      </c>
      <c r="W45" s="1578">
        <f t="shared" si="14"/>
        <v>100</v>
      </c>
      <c r="X45" s="1571"/>
      <c r="Y45" s="3395"/>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52"/>
      <c r="Q46" s="1576">
        <f t="shared" si="11"/>
        <v>111</v>
      </c>
      <c r="R46" s="1577" t="s">
        <v>10</v>
      </c>
      <c r="S46" s="1578">
        <f t="shared" si="12"/>
        <v>100</v>
      </c>
      <c r="T46" s="1577" t="s">
        <v>10</v>
      </c>
      <c r="U46" s="1578">
        <f t="shared" si="13"/>
        <v>100</v>
      </c>
      <c r="V46" s="1577" t="s">
        <v>10</v>
      </c>
      <c r="W46" s="1578">
        <f t="shared" si="14"/>
        <v>100</v>
      </c>
      <c r="X46" s="1571"/>
      <c r="Y46" s="3452"/>
      <c r="Z46" s="1579">
        <f t="shared" si="15"/>
        <v>111</v>
      </c>
      <c r="AA46" s="1580">
        <f t="shared" si="3"/>
        <v>1</v>
      </c>
      <c r="AB46" s="1580">
        <f t="shared" si="4"/>
        <v>1</v>
      </c>
      <c r="AC46" s="1580">
        <f t="shared" si="5"/>
        <v>1</v>
      </c>
    </row>
    <row r="47" spans="1:29" ht="15">
      <c r="A47" s="610" t="s">
        <v>739</v>
      </c>
      <c r="B47" s="890"/>
      <c r="C47" s="2661" t="s">
        <v>9</v>
      </c>
      <c r="D47" s="2662"/>
      <c r="E47" s="2663"/>
      <c r="F47" s="2664"/>
      <c r="G47" s="2665"/>
      <c r="H47" s="2666"/>
      <c r="I47" s="2663"/>
      <c r="J47" s="2666"/>
      <c r="K47" s="1610"/>
      <c r="L47" s="2153"/>
      <c r="M47" s="2154"/>
      <c r="N47" s="2143"/>
      <c r="O47" s="2154"/>
      <c r="P47" s="3358" t="str">
        <f>A47</f>
        <v>成交单价（元/平方米）</v>
      </c>
      <c r="Q47" s="3358"/>
      <c r="R47" s="3451">
        <f>E47</f>
        <v>0</v>
      </c>
      <c r="S47" s="3451"/>
      <c r="T47" s="3451">
        <f>G47</f>
        <v>0</v>
      </c>
      <c r="U47" s="3451"/>
      <c r="V47" s="3451">
        <f>I47</f>
        <v>0</v>
      </c>
      <c r="W47" s="3451"/>
      <c r="X47" s="1563"/>
      <c r="Y47" s="1585"/>
      <c r="Z47" s="1563"/>
      <c r="AA47" s="1563"/>
      <c r="AB47" s="1563"/>
      <c r="AC47" s="1563"/>
    </row>
    <row r="48" spans="1:29" ht="15.75" thickBot="1">
      <c r="A48" s="618" t="s">
        <v>2771</v>
      </c>
      <c r="B48" s="891"/>
      <c r="C48" s="2667" t="e">
        <f>R49</f>
        <v>#DIV/0!</v>
      </c>
      <c r="D48" s="2668"/>
      <c r="E48" s="2669" t="e">
        <f>R48</f>
        <v>#DIV/0!</v>
      </c>
      <c r="F48" s="2669"/>
      <c r="G48" s="2667" t="e">
        <f>T48</f>
        <v>#DIV/0!</v>
      </c>
      <c r="H48" s="2668"/>
      <c r="I48" s="2669" t="e">
        <f>V48</f>
        <v>#DIV/0!</v>
      </c>
      <c r="J48" s="2668"/>
      <c r="K48" s="1611"/>
      <c r="L48" s="2153"/>
      <c r="M48" s="2154"/>
      <c r="N48" s="2154"/>
      <c r="O48" s="2154"/>
      <c r="P48" s="3358" t="str">
        <f>A48</f>
        <v>比较价格（元/平方米）</v>
      </c>
      <c r="Q48" s="3358"/>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3"/>
      <c r="Y48" s="1563"/>
      <c r="Z48" s="1563"/>
      <c r="AA48" s="1563"/>
      <c r="AB48" s="1563"/>
      <c r="AC48" s="1563"/>
    </row>
    <row r="49" spans="1:29" ht="15.75" thickBot="1">
      <c r="A49" s="624" t="s">
        <v>2944</v>
      </c>
      <c r="B49" s="625"/>
      <c r="C49" s="2670" t="e">
        <f>R49</f>
        <v>#DIV/0!</v>
      </c>
      <c r="D49" s="2670"/>
      <c r="E49" s="2670"/>
      <c r="F49" s="2670"/>
      <c r="G49" s="2670"/>
      <c r="H49" s="2670"/>
      <c r="I49" s="2670"/>
      <c r="J49" s="2670"/>
      <c r="K49" s="1612"/>
      <c r="L49" s="2153"/>
      <c r="M49" s="2154"/>
      <c r="N49" s="2154"/>
      <c r="O49" s="2154"/>
      <c r="P49" s="3355" t="str">
        <f>A49</f>
        <v>估价对象XX用房的比较价格（楼面单价，元/平方米）</v>
      </c>
      <c r="Q49" s="3356"/>
      <c r="R49" s="3450" t="e">
        <f>IF(F1="售价",ROUND(AVERAGE(R48:V48),0),ROUND(AVERAGE(R48:V48),1))</f>
        <v>#DIV/0!</v>
      </c>
      <c r="S49" s="3450"/>
      <c r="T49" s="3450"/>
      <c r="U49" s="3450"/>
      <c r="V49" s="3450"/>
      <c r="W49" s="3450"/>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2565</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2566</v>
      </c>
      <c r="C82" s="2632" t="s">
        <v>2567</v>
      </c>
      <c r="D82" s="2632" t="s">
        <v>2568</v>
      </c>
      <c r="E82" s="2632" t="s">
        <v>2569</v>
      </c>
      <c r="F82" s="2632" t="s">
        <v>2570</v>
      </c>
      <c r="G82" s="2632" t="s">
        <v>2571</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1" t="s">
        <v>2263</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c r="D91" s="695"/>
      <c r="E91" s="695"/>
      <c r="F91" s="695"/>
      <c r="G91" s="695"/>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721"/>
      <c r="D107" s="721"/>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691"/>
      <c r="D109" s="691"/>
      <c r="E109" s="691"/>
      <c r="F109" s="721"/>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2564</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2264</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2265</v>
      </c>
      <c r="C137" s="1924"/>
      <c r="D137" s="1924"/>
      <c r="E137" s="1924"/>
      <c r="F137" s="1924"/>
      <c r="G137" s="1925"/>
      <c r="H137" s="1926"/>
      <c r="I137" s="1927" t="s">
        <v>2266</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2267</v>
      </c>
      <c r="D138" s="1930" t="s">
        <v>2268</v>
      </c>
      <c r="E138" s="1931" t="s">
        <v>2269</v>
      </c>
      <c r="F138" s="1932" t="s">
        <v>2270</v>
      </c>
      <c r="G138" s="1930" t="s">
        <v>2271</v>
      </c>
      <c r="H138" s="1933" t="s">
        <v>2272</v>
      </c>
      <c r="I138" s="1934"/>
      <c r="J138" s="1930" t="s">
        <v>2273</v>
      </c>
      <c r="K138" s="1933" t="s">
        <v>2274</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2275</v>
      </c>
      <c r="E139" s="1904">
        <v>100</v>
      </c>
      <c r="F139" s="1905">
        <v>102.5</v>
      </c>
      <c r="G139" s="1935" t="s">
        <v>2276</v>
      </c>
      <c r="H139" s="1906">
        <v>105</v>
      </c>
      <c r="I139" s="1936" t="s">
        <v>2277</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2278</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2279</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2280</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2281</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2282</v>
      </c>
      <c r="E144" s="1910">
        <v>102</v>
      </c>
      <c r="F144" s="1916">
        <v>100</v>
      </c>
      <c r="G144" s="1939" t="s">
        <v>2282</v>
      </c>
      <c r="H144" s="1912">
        <v>105</v>
      </c>
      <c r="I144" s="1938" t="s">
        <v>2281</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2283</v>
      </c>
      <c r="C145" s="1917">
        <f>ROUND(MAX(C139:C144)/MIN(C139:C144)-1,3)</f>
        <v>7.2999999999999995E-2</v>
      </c>
      <c r="D145" s="1941"/>
      <c r="E145" s="1941"/>
      <c r="F145" s="1942" t="s">
        <v>2284</v>
      </c>
      <c r="G145" s="1943"/>
      <c r="H145" s="1944"/>
      <c r="I145" s="1945" t="s">
        <v>2281</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2293</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2294</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9"/>
      <c r="E1" s="509"/>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725</v>
      </c>
      <c r="D3" s="854">
        <f>SUMIF('数据-汇总表'!$C19:$C33,D1,'数据-汇总表'!$E19:$E33)</f>
        <v>0</v>
      </c>
      <c r="E3" s="2067"/>
      <c r="F3" s="2138"/>
      <c r="G3" s="2137"/>
      <c r="H3" s="2137"/>
      <c r="I3" s="2137"/>
      <c r="J3" s="2137"/>
      <c r="K3" s="2139"/>
      <c r="L3" s="2140"/>
      <c r="M3" s="2141"/>
      <c r="N3" s="2141"/>
      <c r="O3" s="2141"/>
      <c r="P3" s="1568"/>
      <c r="Q3" s="1568"/>
      <c r="R3" s="1568"/>
      <c r="S3" s="1568"/>
      <c r="T3" s="1568"/>
      <c r="U3" s="1568"/>
      <c r="V3" s="1568"/>
      <c r="W3" s="1568"/>
      <c r="X3" s="1568"/>
      <c r="Y3" s="1568"/>
      <c r="Z3" s="1568"/>
      <c r="AA3" s="1568"/>
      <c r="AB3" s="1568"/>
      <c r="AC3" s="431"/>
    </row>
    <row r="4" spans="1:29" ht="15">
      <c r="A4" s="515" t="s">
        <v>522</v>
      </c>
      <c r="B4" s="516"/>
      <c r="C4" s="3364" t="s">
        <v>523</v>
      </c>
      <c r="D4" s="3365"/>
      <c r="E4" s="3404" t="s">
        <v>524</v>
      </c>
      <c r="F4" s="3405"/>
      <c r="G4" s="3364" t="s">
        <v>525</v>
      </c>
      <c r="H4" s="3365"/>
      <c r="I4" s="3364" t="s">
        <v>526</v>
      </c>
      <c r="J4" s="3365"/>
      <c r="K4" s="517" t="s">
        <v>527</v>
      </c>
      <c r="L4" s="2142"/>
      <c r="M4" s="2143"/>
      <c r="N4" s="2143"/>
      <c r="O4" s="2143"/>
      <c r="P4" s="3366" t="s">
        <v>528</v>
      </c>
      <c r="Q4" s="3367"/>
      <c r="R4" s="3372" t="s">
        <v>524</v>
      </c>
      <c r="S4" s="3373"/>
      <c r="T4" s="3372" t="s">
        <v>525</v>
      </c>
      <c r="U4" s="3373"/>
      <c r="V4" s="3359" t="s">
        <v>526</v>
      </c>
      <c r="W4" s="3359"/>
      <c r="X4" s="1571"/>
      <c r="Y4" s="3372" t="s">
        <v>528</v>
      </c>
      <c r="Z4" s="3373"/>
      <c r="AA4" s="3361" t="s">
        <v>524</v>
      </c>
      <c r="AB4" s="3359" t="s">
        <v>525</v>
      </c>
      <c r="AC4" s="3361" t="s">
        <v>526</v>
      </c>
    </row>
    <row r="5" spans="1:29" ht="15">
      <c r="A5" s="518"/>
      <c r="B5" s="519"/>
      <c r="C5" s="3380" t="s">
        <v>2938</v>
      </c>
      <c r="D5" s="3381"/>
      <c r="E5" s="3406" t="s">
        <v>2939</v>
      </c>
      <c r="F5" s="3407"/>
      <c r="G5" s="3380" t="s">
        <v>2940</v>
      </c>
      <c r="H5" s="3381"/>
      <c r="I5" s="3380" t="s">
        <v>2941</v>
      </c>
      <c r="J5" s="3381"/>
      <c r="K5" s="517"/>
      <c r="L5" s="2142"/>
      <c r="M5" s="2143"/>
      <c r="N5" s="2143"/>
      <c r="O5" s="2143"/>
      <c r="P5" s="3368"/>
      <c r="Q5" s="3369"/>
      <c r="R5" s="3374"/>
      <c r="S5" s="3375"/>
      <c r="T5" s="3374"/>
      <c r="U5" s="3375"/>
      <c r="V5" s="3359"/>
      <c r="W5" s="3359"/>
      <c r="X5" s="1571"/>
      <c r="Y5" s="3374"/>
      <c r="Z5" s="3375"/>
      <c r="AA5" s="3362"/>
      <c r="AB5" s="3359"/>
      <c r="AC5" s="3362"/>
    </row>
    <row r="6" spans="1:29" ht="15.75" thickBot="1">
      <c r="A6" s="520"/>
      <c r="B6" s="521"/>
      <c r="C6" s="3378" t="s">
        <v>2942</v>
      </c>
      <c r="D6" s="3379"/>
      <c r="E6" s="3402" t="s">
        <v>2942</v>
      </c>
      <c r="F6" s="3403"/>
      <c r="G6" s="3378" t="s">
        <v>2942</v>
      </c>
      <c r="H6" s="3379"/>
      <c r="I6" s="3378" t="s">
        <v>2942</v>
      </c>
      <c r="J6" s="3379"/>
      <c r="K6" s="517" t="s">
        <v>529</v>
      </c>
      <c r="L6" s="2142"/>
      <c r="M6" s="2143"/>
      <c r="N6" s="2143"/>
      <c r="O6" s="2143"/>
      <c r="P6" s="3370"/>
      <c r="Q6" s="3371"/>
      <c r="R6" s="3374"/>
      <c r="S6" s="3375"/>
      <c r="T6" s="3376"/>
      <c r="U6" s="3377"/>
      <c r="V6" s="3359"/>
      <c r="W6" s="3359"/>
      <c r="X6" s="1571"/>
      <c r="Y6" s="3376"/>
      <c r="Z6" s="3377"/>
      <c r="AA6" s="3363"/>
      <c r="AB6" s="3359"/>
      <c r="AC6" s="3363"/>
    </row>
    <row r="7" spans="1:29" s="1223" customFormat="1" ht="15.75" thickBot="1">
      <c r="A7" s="2950"/>
      <c r="B7" s="2957" t="s">
        <v>530</v>
      </c>
      <c r="C7" s="522">
        <f>'数据-取费表'!B2</f>
        <v>43005</v>
      </c>
      <c r="D7" s="523">
        <v>100</v>
      </c>
      <c r="E7" s="524"/>
      <c r="F7" s="525">
        <f>SUMIF(58:58,YEAR(E7)&amp;"-"&amp;MONTH(E7),59:59)</f>
        <v>0</v>
      </c>
      <c r="G7" s="524"/>
      <c r="H7" s="523">
        <f>SUMIF(58:58,YEAR(G7)&amp;"-"&amp;MONTH(G7),59:59)</f>
        <v>0</v>
      </c>
      <c r="I7" s="524"/>
      <c r="J7" s="523">
        <f>SUMIF(58:58,YEAR(I7)&amp;"-"&amp;MONTH(I7),59:59)</f>
        <v>0</v>
      </c>
      <c r="K7" s="527"/>
      <c r="L7" s="2144"/>
      <c r="M7" s="2145"/>
      <c r="N7" s="2145"/>
      <c r="O7" s="2145"/>
      <c r="P7" s="3389" t="s">
        <v>531</v>
      </c>
      <c r="Q7" s="3391"/>
      <c r="R7" s="1572" t="s">
        <v>8</v>
      </c>
      <c r="S7" s="1573">
        <f t="shared" ref="S7:S15" si="0">F7</f>
        <v>0</v>
      </c>
      <c r="T7" s="1572" t="s">
        <v>8</v>
      </c>
      <c r="U7" s="1573">
        <f t="shared" ref="U7:U15" si="1">H7</f>
        <v>0</v>
      </c>
      <c r="V7" s="1572" t="s">
        <v>8</v>
      </c>
      <c r="W7" s="1573">
        <f t="shared" ref="W7:W15" si="2">J7</f>
        <v>0</v>
      </c>
      <c r="X7" s="1574"/>
      <c r="Y7" s="3389" t="s">
        <v>531</v>
      </c>
      <c r="Z7" s="3390"/>
      <c r="AA7" s="1575" t="e">
        <f>D7/F7</f>
        <v>#DIV/0!</v>
      </c>
      <c r="AB7" s="1575" t="e">
        <f>D7/H7</f>
        <v>#DIV/0!</v>
      </c>
      <c r="AC7" s="1575" t="e">
        <f>D7/J7</f>
        <v>#DIV/0!</v>
      </c>
    </row>
    <row r="8" spans="1:29" s="1223" customFormat="1" ht="15.75" thickBot="1">
      <c r="A8" s="2951"/>
      <c r="B8" s="2958" t="s">
        <v>532</v>
      </c>
      <c r="C8" s="528" t="s">
        <v>577</v>
      </c>
      <c r="D8" s="523">
        <v>100</v>
      </c>
      <c r="E8" s="528"/>
      <c r="F8" s="525">
        <f>SUMIF(61:61,E8,62:62)-SUMIF(61:61,C8,62:62)+100</f>
        <v>0</v>
      </c>
      <c r="G8" s="528"/>
      <c r="H8" s="523">
        <f>SUMIF(61:61,G8,62:62)-SUMIF(61:61,C8,62:62)+100</f>
        <v>0</v>
      </c>
      <c r="I8" s="528"/>
      <c r="J8" s="523">
        <f>SUMIF(61:61,I8,62:62)-SUMIF(61:61,C8,62:62)+100</f>
        <v>0</v>
      </c>
      <c r="K8" s="527"/>
      <c r="L8" s="2144"/>
      <c r="M8" s="2145"/>
      <c r="N8" s="2145"/>
      <c r="O8" s="2145"/>
      <c r="P8" s="3389" t="s">
        <v>534</v>
      </c>
      <c r="Q8" s="3390"/>
      <c r="R8" s="1572" t="s">
        <v>8</v>
      </c>
      <c r="S8" s="1573">
        <f t="shared" si="0"/>
        <v>0</v>
      </c>
      <c r="T8" s="1572" t="s">
        <v>8</v>
      </c>
      <c r="U8" s="1573">
        <f t="shared" si="1"/>
        <v>0</v>
      </c>
      <c r="V8" s="1572" t="s">
        <v>8</v>
      </c>
      <c r="W8" s="1573">
        <f t="shared" si="2"/>
        <v>0</v>
      </c>
      <c r="X8" s="1574"/>
      <c r="Y8" s="3389" t="s">
        <v>534</v>
      </c>
      <c r="Z8" s="3390"/>
      <c r="AA8" s="1575" t="e">
        <f t="shared" ref="AA8:AA46" si="3">D8/F8</f>
        <v>#DIV/0!</v>
      </c>
      <c r="AB8" s="1575" t="e">
        <f t="shared" ref="AB8:AB46" si="4">D8/H8</f>
        <v>#DIV/0!</v>
      </c>
      <c r="AC8" s="1575" t="e">
        <f t="shared" ref="AC8:AC46" si="5">D8/J8</f>
        <v>#DIV/0!</v>
      </c>
    </row>
    <row r="9" spans="1:29" s="1223" customFormat="1" ht="15">
      <c r="A9" s="2952"/>
      <c r="B9" s="2959" t="s">
        <v>2767</v>
      </c>
      <c r="C9" s="860"/>
      <c r="D9" s="254">
        <v>100</v>
      </c>
      <c r="E9" s="863"/>
      <c r="F9" s="254">
        <f>SUMIF(63:63,E9,64:64)-SUMIF(63:63,C9,64:64)+100</f>
        <v>100</v>
      </c>
      <c r="G9" s="861"/>
      <c r="H9" s="254">
        <f>SUMIF(63:63,G9,64:64)-SUMIF(63:63,C9,64:64)+100</f>
        <v>100</v>
      </c>
      <c r="I9" s="861"/>
      <c r="J9" s="254">
        <f>SUMIF(63:63,I9,64:64)-SUMIF(63:63,C9,64:64)+100</f>
        <v>100</v>
      </c>
      <c r="K9" s="527"/>
      <c r="L9" s="2144"/>
      <c r="M9" s="2145"/>
      <c r="N9" s="2145"/>
      <c r="O9" s="2146"/>
      <c r="P9" s="3358" t="s">
        <v>536</v>
      </c>
      <c r="Q9" s="1154" t="str">
        <f t="shared" ref="Q9:Q15" si="6">B9</f>
        <v>用途</v>
      </c>
      <c r="R9" s="1572" t="s">
        <v>8</v>
      </c>
      <c r="S9" s="1573">
        <f t="shared" si="0"/>
        <v>100</v>
      </c>
      <c r="T9" s="1572" t="s">
        <v>8</v>
      </c>
      <c r="U9" s="1573">
        <f t="shared" si="1"/>
        <v>100</v>
      </c>
      <c r="V9" s="1572" t="s">
        <v>8</v>
      </c>
      <c r="W9" s="1573">
        <f t="shared" si="2"/>
        <v>100</v>
      </c>
      <c r="X9" s="1574"/>
      <c r="Y9" s="3286"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4"/>
      <c r="F10" s="255">
        <f>SUMIF(65:65,E10,66:66)-SUMIF(65:65,C10,66:66)+100</f>
        <v>100</v>
      </c>
      <c r="G10" s="865"/>
      <c r="H10" s="255">
        <f>SUMIF(65:65,G10,66:66)-SUMIF(65:65,C10,66:66)+100</f>
        <v>100</v>
      </c>
      <c r="I10" s="864"/>
      <c r="J10" s="255">
        <f>SUMIF(65:65,I10,66:66)-SUMIF(65:65,C10,66:66)+100</f>
        <v>100</v>
      </c>
      <c r="K10" s="587"/>
      <c r="L10" s="2147"/>
      <c r="M10" s="2187"/>
      <c r="N10" s="2187"/>
      <c r="O10" s="2148"/>
      <c r="P10" s="3358"/>
      <c r="Q10" s="1154" t="str">
        <f t="shared" si="6"/>
        <v>土地使用年限（年）</v>
      </c>
      <c r="R10" s="1572" t="s">
        <v>8</v>
      </c>
      <c r="S10" s="1573">
        <f t="shared" si="0"/>
        <v>100</v>
      </c>
      <c r="T10" s="1572" t="s">
        <v>8</v>
      </c>
      <c r="U10" s="1573">
        <f t="shared" si="1"/>
        <v>100</v>
      </c>
      <c r="V10" s="1572" t="s">
        <v>8</v>
      </c>
      <c r="W10" s="1573">
        <f t="shared" si="2"/>
        <v>100</v>
      </c>
      <c r="X10" s="1574"/>
      <c r="Y10" s="3286"/>
      <c r="Z10" s="1153" t="str">
        <f t="shared" si="7"/>
        <v>土地使用年限（年）</v>
      </c>
      <c r="AA10" s="1575">
        <f t="shared" si="3"/>
        <v>1</v>
      </c>
      <c r="AB10" s="1575">
        <f t="shared" si="4"/>
        <v>1</v>
      </c>
      <c r="AC10" s="1575">
        <f t="shared" si="5"/>
        <v>1</v>
      </c>
    </row>
    <row r="11" spans="1:29" ht="15">
      <c r="A11" s="2954"/>
      <c r="B11" s="2958" t="s">
        <v>2769</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9"/>
      <c r="M11" s="2143"/>
      <c r="N11" s="2143"/>
      <c r="O11" s="2150"/>
      <c r="P11" s="3358"/>
      <c r="Q11" s="1154" t="str">
        <f t="shared" si="6"/>
        <v>容积率</v>
      </c>
      <c r="R11" s="1572" t="s">
        <v>8</v>
      </c>
      <c r="S11" s="1573" t="e">
        <f t="shared" si="0"/>
        <v>#N/A</v>
      </c>
      <c r="T11" s="1572" t="s">
        <v>8</v>
      </c>
      <c r="U11" s="1573" t="e">
        <f t="shared" si="1"/>
        <v>#N/A</v>
      </c>
      <c r="V11" s="1572" t="s">
        <v>8</v>
      </c>
      <c r="W11" s="1573" t="e">
        <f t="shared" si="2"/>
        <v>#N/A</v>
      </c>
      <c r="X11" s="1574"/>
      <c r="Y11" s="3286"/>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42"/>
      <c r="F12" s="255">
        <f>SUMIF(70:70,E12,71:71)-SUMIF(70:70,C12,71:71)+100</f>
        <v>100</v>
      </c>
      <c r="G12" s="915"/>
      <c r="H12" s="255">
        <f>SUMIF(70:70,G12,71:71)-SUMIF(70:70,C12,71:71)+100</f>
        <v>100</v>
      </c>
      <c r="I12" s="542"/>
      <c r="J12" s="255">
        <f>SUMIF(70:70,I12,71:71)-SUMIF(70:70,C12,71:71)+100</f>
        <v>100</v>
      </c>
      <c r="K12" s="584"/>
      <c r="L12" s="2144"/>
      <c r="M12" s="2145"/>
      <c r="N12" s="2145"/>
      <c r="O12" s="2146"/>
      <c r="P12" s="3358"/>
      <c r="Q12" s="1154">
        <f t="shared" si="6"/>
        <v>111</v>
      </c>
      <c r="R12" s="1572" t="s">
        <v>8</v>
      </c>
      <c r="S12" s="1573">
        <f t="shared" si="0"/>
        <v>100</v>
      </c>
      <c r="T12" s="1572" t="s">
        <v>8</v>
      </c>
      <c r="U12" s="1573">
        <f t="shared" si="1"/>
        <v>100</v>
      </c>
      <c r="V12" s="1572" t="s">
        <v>8</v>
      </c>
      <c r="W12" s="1573">
        <f t="shared" si="2"/>
        <v>100</v>
      </c>
      <c r="X12" s="1574"/>
      <c r="Y12" s="3286"/>
      <c r="Z12" s="1153">
        <f t="shared" si="7"/>
        <v>111</v>
      </c>
      <c r="AA12" s="1575">
        <f>D12/F12</f>
        <v>1</v>
      </c>
      <c r="AB12" s="1575">
        <f>D12/H12</f>
        <v>1</v>
      </c>
      <c r="AC12" s="1575">
        <f>D12/J12</f>
        <v>1</v>
      </c>
    </row>
    <row r="13" spans="1:29" ht="15">
      <c r="A13" s="2955"/>
      <c r="B13" s="2961">
        <v>111</v>
      </c>
      <c r="C13" s="542"/>
      <c r="D13" s="543">
        <v>100</v>
      </c>
      <c r="E13" s="542"/>
      <c r="F13" s="255">
        <f>SUMIF(72:72,E13,73:73)-SUMIF(72:72,C13,73:73)+100</f>
        <v>100</v>
      </c>
      <c r="G13" s="915"/>
      <c r="H13" s="543">
        <f>SUMIF(72:72,G13,73:73)-SUMIF(72:72,C13,73:73)+100</f>
        <v>100</v>
      </c>
      <c r="I13" s="542"/>
      <c r="J13" s="543">
        <f>SUMIF(72:72,I13,73:73)-SUMIF(72:72,C13,73:73)+100</f>
        <v>100</v>
      </c>
      <c r="K13" s="584"/>
      <c r="L13" s="2151"/>
      <c r="M13" s="2143"/>
      <c r="N13" s="2143"/>
      <c r="O13" s="2150"/>
      <c r="P13" s="3358"/>
      <c r="Q13" s="1154">
        <f t="shared" si="6"/>
        <v>111</v>
      </c>
      <c r="R13" s="1572" t="s">
        <v>8</v>
      </c>
      <c r="S13" s="1573">
        <f t="shared" si="0"/>
        <v>100</v>
      </c>
      <c r="T13" s="1572" t="s">
        <v>8</v>
      </c>
      <c r="U13" s="1573">
        <f t="shared" si="1"/>
        <v>100</v>
      </c>
      <c r="V13" s="1572" t="s">
        <v>8</v>
      </c>
      <c r="W13" s="1573">
        <f t="shared" si="2"/>
        <v>100</v>
      </c>
      <c r="X13" s="1574"/>
      <c r="Y13" s="3286"/>
      <c r="Z13" s="1153">
        <f t="shared" si="7"/>
        <v>111</v>
      </c>
      <c r="AA13" s="1575">
        <f t="shared" si="3"/>
        <v>1</v>
      </c>
      <c r="AB13" s="1575">
        <f t="shared" si="4"/>
        <v>1</v>
      </c>
      <c r="AC13" s="1575">
        <f t="shared" si="5"/>
        <v>1</v>
      </c>
    </row>
    <row r="14" spans="1:29" ht="15.75" thickBot="1">
      <c r="A14" s="2956"/>
      <c r="B14" s="2962">
        <v>111</v>
      </c>
      <c r="C14" s="548"/>
      <c r="D14" s="549">
        <v>100</v>
      </c>
      <c r="E14" s="548"/>
      <c r="F14" s="549">
        <f>SUMIF(74:74,E14,75:75)-SUMIF(74:74,C14,75:75)+100</f>
        <v>100</v>
      </c>
      <c r="G14" s="915"/>
      <c r="H14" s="549">
        <f>SUMIF(74:74,G14,75:75)-SUMIF(74:74,C14,75:75)+100</f>
        <v>100</v>
      </c>
      <c r="I14" s="542"/>
      <c r="J14" s="549">
        <f>SUMIF(74:74,I14,75:75)-SUMIF(74:74,C14,75:75)+100</f>
        <v>100</v>
      </c>
      <c r="K14" s="584"/>
      <c r="L14" s="2151"/>
      <c r="M14" s="2143"/>
      <c r="N14" s="2143"/>
      <c r="O14" s="2150"/>
      <c r="P14" s="3358"/>
      <c r="Q14" s="1154">
        <f t="shared" si="6"/>
        <v>111</v>
      </c>
      <c r="R14" s="1572" t="s">
        <v>8</v>
      </c>
      <c r="S14" s="1573">
        <f t="shared" si="0"/>
        <v>100</v>
      </c>
      <c r="T14" s="1572" t="s">
        <v>8</v>
      </c>
      <c r="U14" s="1573">
        <f t="shared" si="1"/>
        <v>100</v>
      </c>
      <c r="V14" s="1572" t="s">
        <v>8</v>
      </c>
      <c r="W14" s="1573">
        <f t="shared" si="2"/>
        <v>100</v>
      </c>
      <c r="X14" s="1574"/>
      <c r="Y14" s="3286"/>
      <c r="Z14" s="1153">
        <f t="shared" si="7"/>
        <v>111</v>
      </c>
      <c r="AA14" s="1575">
        <f t="shared" si="3"/>
        <v>1</v>
      </c>
      <c r="AB14" s="1575">
        <f t="shared" si="4"/>
        <v>1</v>
      </c>
      <c r="AC14" s="1575">
        <f t="shared" si="5"/>
        <v>1</v>
      </c>
    </row>
    <row r="15" spans="1:29" ht="71.25">
      <c r="A15" s="2948" t="s">
        <v>2765</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1"/>
      <c r="M15" s="2143"/>
      <c r="N15" s="2143"/>
      <c r="O15" s="2150"/>
      <c r="P15" s="3392" t="s">
        <v>541</v>
      </c>
      <c r="Q15" s="1576" t="str">
        <f t="shared" si="6"/>
        <v>商业繁华度</v>
      </c>
      <c r="R15" s="1577" t="s">
        <v>8</v>
      </c>
      <c r="S15" s="1578">
        <f t="shared" si="0"/>
        <v>100</v>
      </c>
      <c r="T15" s="1577" t="s">
        <v>8</v>
      </c>
      <c r="U15" s="1578">
        <f t="shared" si="1"/>
        <v>100</v>
      </c>
      <c r="V15" s="1577" t="s">
        <v>8</v>
      </c>
      <c r="W15" s="1578">
        <f t="shared" si="2"/>
        <v>100</v>
      </c>
      <c r="X15" s="1571"/>
      <c r="Y15" s="3392"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51"/>
      <c r="M16" s="2143"/>
      <c r="N16" s="2143"/>
      <c r="O16" s="2150"/>
      <c r="P16" s="3393"/>
      <c r="Q16" s="1576"/>
      <c r="R16" s="1577"/>
      <c r="S16" s="1578"/>
      <c r="T16" s="1577"/>
      <c r="U16" s="1578"/>
      <c r="V16" s="1577"/>
      <c r="W16" s="1578"/>
      <c r="X16" s="1571"/>
      <c r="Y16" s="3393"/>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1"/>
      <c r="M17" s="2143"/>
      <c r="N17" s="2143"/>
      <c r="O17" s="2150"/>
      <c r="P17" s="3393"/>
      <c r="Q17" s="1576" t="str">
        <f>B17</f>
        <v>交通便捷度</v>
      </c>
      <c r="R17" s="1577" t="s">
        <v>8</v>
      </c>
      <c r="S17" s="1578">
        <f>F17</f>
        <v>100</v>
      </c>
      <c r="T17" s="1577" t="s">
        <v>8</v>
      </c>
      <c r="U17" s="1578">
        <f>H17</f>
        <v>100</v>
      </c>
      <c r="V17" s="1577" t="s">
        <v>8</v>
      </c>
      <c r="W17" s="1578">
        <f>J17</f>
        <v>100</v>
      </c>
      <c r="X17" s="1571"/>
      <c r="Y17" s="339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1"/>
      <c r="M18" s="2143"/>
      <c r="N18" s="2143"/>
      <c r="O18" s="2150"/>
      <c r="P18" s="3393"/>
      <c r="Q18" s="1576"/>
      <c r="R18" s="1577"/>
      <c r="S18" s="1578"/>
      <c r="T18" s="1577"/>
      <c r="U18" s="1578"/>
      <c r="V18" s="1577"/>
      <c r="W18" s="1578"/>
      <c r="X18" s="1571"/>
      <c r="Y18" s="3393"/>
      <c r="Z18" s="1579"/>
      <c r="AA18" s="1580">
        <v>1</v>
      </c>
      <c r="AB18" s="1580">
        <v>1</v>
      </c>
      <c r="AC18" s="1580">
        <v>1</v>
      </c>
    </row>
    <row r="19" spans="1:29" ht="42.75">
      <c r="A19" s="535"/>
      <c r="B19" s="2634" t="s">
        <v>2554</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1"/>
      <c r="M19" s="2143"/>
      <c r="N19" s="2143"/>
      <c r="O19" s="2150"/>
      <c r="P19" s="3393"/>
      <c r="Q19" s="1576" t="str">
        <f>B19</f>
        <v>公共配套设施</v>
      </c>
      <c r="R19" s="1577" t="s">
        <v>8</v>
      </c>
      <c r="S19" s="1578">
        <f>F19</f>
        <v>100</v>
      </c>
      <c r="T19" s="1577" t="s">
        <v>8</v>
      </c>
      <c r="U19" s="1578">
        <f>H19</f>
        <v>100</v>
      </c>
      <c r="V19" s="1577" t="s">
        <v>8</v>
      </c>
      <c r="W19" s="1578">
        <f>J19</f>
        <v>100</v>
      </c>
      <c r="X19" s="1571"/>
      <c r="Y19" s="3393"/>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51"/>
      <c r="M20" s="2143"/>
      <c r="N20" s="2143"/>
      <c r="O20" s="2150"/>
      <c r="P20" s="3393"/>
      <c r="Q20" s="1576"/>
      <c r="R20" s="1577"/>
      <c r="S20" s="1578"/>
      <c r="T20" s="1577"/>
      <c r="U20" s="1578"/>
      <c r="V20" s="1577"/>
      <c r="W20" s="1578"/>
      <c r="X20" s="1571"/>
      <c r="Y20" s="3393"/>
      <c r="Z20" s="1579"/>
      <c r="AA20" s="1580">
        <v>1</v>
      </c>
      <c r="AB20" s="1580">
        <v>1</v>
      </c>
      <c r="AC20" s="1580">
        <v>1</v>
      </c>
    </row>
    <row r="21" spans="1:29" ht="28.5">
      <c r="A21" s="535"/>
      <c r="B21" s="2627" t="s">
        <v>2566</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1"/>
      <c r="M21" s="2143"/>
      <c r="N21" s="2143"/>
      <c r="O21" s="2150"/>
      <c r="P21" s="3393"/>
      <c r="Q21" s="2613" t="str">
        <f>B21</f>
        <v>基础设施水平</v>
      </c>
      <c r="R21" s="1577" t="s">
        <v>8</v>
      </c>
      <c r="S21" s="1578">
        <f>F21</f>
        <v>100</v>
      </c>
      <c r="T21" s="1577" t="s">
        <v>8</v>
      </c>
      <c r="U21" s="1578">
        <f>H21</f>
        <v>100</v>
      </c>
      <c r="V21" s="1577" t="s">
        <v>8</v>
      </c>
      <c r="W21" s="1578">
        <f>J21</f>
        <v>100</v>
      </c>
      <c r="X21" s="2615"/>
      <c r="Y21" s="3393"/>
      <c r="Z21" s="2614"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6"/>
      <c r="L22" s="2151"/>
      <c r="M22" s="2143"/>
      <c r="N22" s="2143"/>
      <c r="O22" s="2150"/>
      <c r="P22" s="3393"/>
      <c r="Q22" s="2613"/>
      <c r="R22" s="1577"/>
      <c r="S22" s="1578"/>
      <c r="T22" s="1577"/>
      <c r="U22" s="1578"/>
      <c r="V22" s="1577"/>
      <c r="W22" s="1578"/>
      <c r="X22" s="2615"/>
      <c r="Y22" s="3393"/>
      <c r="Z22" s="2614"/>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1"/>
      <c r="M23" s="2143"/>
      <c r="N23" s="2143"/>
      <c r="O23" s="2150"/>
      <c r="P23" s="3393"/>
      <c r="Q23" s="1576" t="str">
        <f>B23</f>
        <v>自然及人文环境</v>
      </c>
      <c r="R23" s="1577" t="s">
        <v>8</v>
      </c>
      <c r="S23" s="1578">
        <f>F23</f>
        <v>100</v>
      </c>
      <c r="T23" s="1577" t="s">
        <v>8</v>
      </c>
      <c r="U23" s="1578">
        <f>H23</f>
        <v>100</v>
      </c>
      <c r="V23" s="1577" t="s">
        <v>8</v>
      </c>
      <c r="W23" s="1578">
        <f>J23</f>
        <v>100</v>
      </c>
      <c r="X23" s="1571"/>
      <c r="Y23" s="3393"/>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51"/>
      <c r="M24" s="2143"/>
      <c r="N24" s="2143"/>
      <c r="O24" s="2150"/>
      <c r="P24" s="3393"/>
      <c r="Q24" s="1576"/>
      <c r="R24" s="1577"/>
      <c r="S24" s="1578"/>
      <c r="T24" s="1577"/>
      <c r="U24" s="1578"/>
      <c r="V24" s="1577"/>
      <c r="W24" s="1578"/>
      <c r="X24" s="1571"/>
      <c r="Y24" s="3393"/>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1"/>
      <c r="M25" s="2143"/>
      <c r="N25" s="2143"/>
      <c r="O25" s="2150"/>
      <c r="P25" s="3393"/>
      <c r="Q25" s="1576" t="str">
        <f t="shared" ref="Q25:Q46" si="11">B25</f>
        <v>临街状况</v>
      </c>
      <c r="R25" s="1577" t="s">
        <v>8</v>
      </c>
      <c r="S25" s="1578">
        <f>F25</f>
        <v>100</v>
      </c>
      <c r="T25" s="1577" t="s">
        <v>8</v>
      </c>
      <c r="U25" s="1578">
        <f>H25</f>
        <v>100</v>
      </c>
      <c r="V25" s="1577" t="s">
        <v>8</v>
      </c>
      <c r="W25" s="1578">
        <f>J25</f>
        <v>100</v>
      </c>
      <c r="X25" s="1571"/>
      <c r="Y25" s="3393"/>
      <c r="Z25" s="1579" t="str">
        <f>Q25</f>
        <v>临街状况</v>
      </c>
      <c r="AA25" s="1580">
        <f t="shared" si="3"/>
        <v>1</v>
      </c>
      <c r="AB25" s="1580">
        <f t="shared" si="4"/>
        <v>1</v>
      </c>
      <c r="AC25" s="1580">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393"/>
      <c r="Q26" s="1576" t="str">
        <f t="shared" si="11"/>
        <v>平面位置/可视性</v>
      </c>
      <c r="R26" s="1577" t="s">
        <v>8</v>
      </c>
      <c r="S26" s="1578">
        <f>F26</f>
        <v>100</v>
      </c>
      <c r="T26" s="1577" t="s">
        <v>8</v>
      </c>
      <c r="U26" s="1578">
        <f>H26</f>
        <v>100</v>
      </c>
      <c r="V26" s="1577" t="s">
        <v>8</v>
      </c>
      <c r="W26" s="1578">
        <f>J26</f>
        <v>100</v>
      </c>
      <c r="X26" s="1571"/>
      <c r="Y26" s="3393"/>
      <c r="Z26" s="1579" t="str">
        <f>Q26</f>
        <v>平面位置/可视性</v>
      </c>
      <c r="AA26" s="1580">
        <f t="shared" si="3"/>
        <v>1</v>
      </c>
      <c r="AB26" s="1580">
        <f t="shared" si="4"/>
        <v>1</v>
      </c>
      <c r="AC26" s="1580">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4"/>
      <c r="M27" s="2145"/>
      <c r="N27" s="2145"/>
      <c r="O27" s="2146"/>
      <c r="P27" s="3393"/>
      <c r="Q27" s="1154" t="str">
        <f t="shared" si="11"/>
        <v>人流量</v>
      </c>
      <c r="R27" s="1572" t="s">
        <v>8</v>
      </c>
      <c r="S27" s="1573">
        <f>F27</f>
        <v>100</v>
      </c>
      <c r="T27" s="1572" t="s">
        <v>8</v>
      </c>
      <c r="U27" s="1573">
        <f>H27</f>
        <v>100</v>
      </c>
      <c r="V27" s="1572" t="s">
        <v>8</v>
      </c>
      <c r="W27" s="1573">
        <f>J27</f>
        <v>100</v>
      </c>
      <c r="X27" s="1574"/>
      <c r="Y27" s="3393"/>
      <c r="Z27" s="1153" t="str">
        <f>Q27</f>
        <v>人流量</v>
      </c>
      <c r="AA27" s="1580">
        <f>D27/F27</f>
        <v>1</v>
      </c>
      <c r="AB27" s="1580">
        <f>D27/H27</f>
        <v>1</v>
      </c>
      <c r="AC27" s="1580">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1"/>
      <c r="M28" s="2143"/>
      <c r="N28" s="2143"/>
      <c r="O28" s="2150"/>
      <c r="P28" s="3393"/>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93"/>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393"/>
      <c r="Q29" s="1576">
        <f t="shared" si="11"/>
        <v>111</v>
      </c>
      <c r="R29" s="1577" t="s">
        <v>8</v>
      </c>
      <c r="S29" s="1578">
        <f t="shared" si="12"/>
        <v>100</v>
      </c>
      <c r="T29" s="1577" t="s">
        <v>8</v>
      </c>
      <c r="U29" s="1578">
        <f t="shared" si="13"/>
        <v>100</v>
      </c>
      <c r="V29" s="1577" t="s">
        <v>8</v>
      </c>
      <c r="W29" s="1578">
        <f t="shared" si="14"/>
        <v>100</v>
      </c>
      <c r="X29" s="1571"/>
      <c r="Y29" s="3393"/>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393"/>
      <c r="Q30" s="1576">
        <f t="shared" si="11"/>
        <v>111</v>
      </c>
      <c r="R30" s="1577" t="s">
        <v>8</v>
      </c>
      <c r="S30" s="1578">
        <f t="shared" si="12"/>
        <v>100</v>
      </c>
      <c r="T30" s="1577" t="s">
        <v>8</v>
      </c>
      <c r="U30" s="1578">
        <f t="shared" si="13"/>
        <v>100</v>
      </c>
      <c r="V30" s="1577" t="s">
        <v>8</v>
      </c>
      <c r="W30" s="1578">
        <f t="shared" si="14"/>
        <v>100</v>
      </c>
      <c r="X30" s="1571"/>
      <c r="Y30" s="3393"/>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393"/>
      <c r="Q31" s="1576">
        <f t="shared" si="11"/>
        <v>111</v>
      </c>
      <c r="R31" s="1577" t="s">
        <v>8</v>
      </c>
      <c r="S31" s="1578">
        <f t="shared" si="12"/>
        <v>100</v>
      </c>
      <c r="T31" s="1577" t="s">
        <v>8</v>
      </c>
      <c r="U31" s="1578">
        <f t="shared" si="13"/>
        <v>100</v>
      </c>
      <c r="V31" s="1577" t="s">
        <v>8</v>
      </c>
      <c r="W31" s="1578">
        <f t="shared" si="14"/>
        <v>100</v>
      </c>
      <c r="X31" s="1571"/>
      <c r="Y31" s="3393"/>
      <c r="Z31" s="1579">
        <f t="shared" si="15"/>
        <v>111</v>
      </c>
      <c r="AA31" s="1580">
        <f t="shared" si="3"/>
        <v>1</v>
      </c>
      <c r="AB31" s="1580">
        <f t="shared" si="4"/>
        <v>1</v>
      </c>
      <c r="AC31" s="1580">
        <f t="shared" si="5"/>
        <v>1</v>
      </c>
    </row>
    <row r="32" spans="1:29" ht="15">
      <c r="A32" s="2945" t="s">
        <v>2766</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1"/>
      <c r="M32" s="2143"/>
      <c r="N32" s="2143"/>
      <c r="O32" s="2150"/>
      <c r="P32" s="3394" t="s">
        <v>551</v>
      </c>
      <c r="Q32" s="1576" t="str">
        <f t="shared" si="11"/>
        <v>商业类型</v>
      </c>
      <c r="R32" s="1577" t="s">
        <v>8</v>
      </c>
      <c r="S32" s="1578">
        <f t="shared" si="12"/>
        <v>100</v>
      </c>
      <c r="T32" s="1577" t="s">
        <v>8</v>
      </c>
      <c r="U32" s="1578">
        <f t="shared" si="13"/>
        <v>100</v>
      </c>
      <c r="V32" s="1577" t="s">
        <v>8</v>
      </c>
      <c r="W32" s="1578">
        <f t="shared" si="14"/>
        <v>100</v>
      </c>
      <c r="X32" s="1571"/>
      <c r="Y32" s="3395" t="s">
        <v>551</v>
      </c>
      <c r="Z32" s="1579" t="str">
        <f t="shared" si="15"/>
        <v>商业类型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9"/>
      <c r="M33" s="2180"/>
      <c r="N33" s="2180"/>
      <c r="O33" s="2152"/>
      <c r="P33" s="3395"/>
      <c r="Q33" s="1609" t="str">
        <f t="shared" si="11"/>
        <v>项目建筑规模</v>
      </c>
      <c r="R33" s="1581" t="s">
        <v>8</v>
      </c>
      <c r="S33" s="1582" t="e">
        <f t="shared" si="12"/>
        <v>#N/A</v>
      </c>
      <c r="T33" s="1581" t="s">
        <v>8</v>
      </c>
      <c r="U33" s="1582" t="e">
        <f t="shared" si="13"/>
        <v>#N/A</v>
      </c>
      <c r="V33" s="1581" t="s">
        <v>8</v>
      </c>
      <c r="W33" s="1582" t="e">
        <f t="shared" si="14"/>
        <v>#N/A</v>
      </c>
      <c r="X33" s="1583"/>
      <c r="Y33" s="3395"/>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1"/>
      <c r="M34" s="2143"/>
      <c r="N34" s="2143"/>
      <c r="O34" s="2150"/>
      <c r="P34" s="3395"/>
      <c r="Q34" s="1576" t="str">
        <f t="shared" si="11"/>
        <v>建筑结构</v>
      </c>
      <c r="R34" s="1577" t="s">
        <v>8</v>
      </c>
      <c r="S34" s="1578">
        <f t="shared" si="12"/>
        <v>100</v>
      </c>
      <c r="T34" s="1577" t="s">
        <v>8</v>
      </c>
      <c r="U34" s="1578">
        <f t="shared" si="13"/>
        <v>100</v>
      </c>
      <c r="V34" s="1577" t="s">
        <v>8</v>
      </c>
      <c r="W34" s="1578">
        <f t="shared" si="14"/>
        <v>100</v>
      </c>
      <c r="X34" s="1571"/>
      <c r="Y34" s="3395"/>
      <c r="Z34" s="1579" t="str">
        <f t="shared" si="15"/>
        <v>建筑结构</v>
      </c>
      <c r="AA34" s="1580">
        <f t="shared" si="3"/>
        <v>1</v>
      </c>
      <c r="AB34" s="1580">
        <f t="shared" si="4"/>
        <v>1</v>
      </c>
      <c r="AC34" s="1580">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395"/>
      <c r="Q35" s="1576" t="str">
        <f t="shared" si="11"/>
        <v>公共部分装修</v>
      </c>
      <c r="R35" s="1577" t="s">
        <v>8</v>
      </c>
      <c r="S35" s="1578">
        <f t="shared" si="12"/>
        <v>100</v>
      </c>
      <c r="T35" s="1577" t="s">
        <v>8</v>
      </c>
      <c r="U35" s="1578">
        <f t="shared" si="13"/>
        <v>100</v>
      </c>
      <c r="V35" s="1577" t="s">
        <v>8</v>
      </c>
      <c r="W35" s="1578">
        <f t="shared" si="14"/>
        <v>100</v>
      </c>
      <c r="X35" s="1571"/>
      <c r="Y35" s="3395"/>
      <c r="Z35" s="1579" t="str">
        <f t="shared" si="15"/>
        <v>公共部分装修</v>
      </c>
      <c r="AA35" s="1580">
        <f t="shared" si="3"/>
        <v>1</v>
      </c>
      <c r="AB35" s="1580">
        <f t="shared" si="4"/>
        <v>1</v>
      </c>
      <c r="AC35" s="1580">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1"/>
      <c r="M36" s="2143"/>
      <c r="N36" s="2143"/>
      <c r="O36" s="2150"/>
      <c r="P36" s="3395"/>
      <c r="Q36" s="1576" t="str">
        <f t="shared" si="11"/>
        <v>成新度</v>
      </c>
      <c r="R36" s="1577" t="s">
        <v>8</v>
      </c>
      <c r="S36" s="1578" t="e">
        <f t="shared" si="12"/>
        <v>#N/A</v>
      </c>
      <c r="T36" s="1577" t="s">
        <v>8</v>
      </c>
      <c r="U36" s="1578" t="e">
        <f t="shared" si="13"/>
        <v>#N/A</v>
      </c>
      <c r="V36" s="1577" t="s">
        <v>8</v>
      </c>
      <c r="W36" s="1578" t="e">
        <f t="shared" si="14"/>
        <v>#N/A</v>
      </c>
      <c r="X36" s="1571"/>
      <c r="Y36" s="3395"/>
      <c r="Z36" s="1579" t="str">
        <f t="shared" si="15"/>
        <v>成新度</v>
      </c>
      <c r="AA36" s="1580" t="e">
        <f t="shared" si="3"/>
        <v>#N/A</v>
      </c>
      <c r="AB36" s="1580" t="e">
        <f t="shared" si="4"/>
        <v>#N/A</v>
      </c>
      <c r="AC36" s="1580" t="e">
        <f t="shared" si="5"/>
        <v>#N/A</v>
      </c>
    </row>
    <row r="37" spans="1:29" s="1223" customFormat="1" ht="15">
      <c r="A37" s="603"/>
      <c r="B37" s="1900" t="s">
        <v>2573</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4"/>
      <c r="M37" s="2145"/>
      <c r="N37" s="2145"/>
      <c r="O37" s="2146"/>
      <c r="P37" s="3395"/>
      <c r="Q37" s="1154" t="str">
        <f t="shared" si="11"/>
        <v>市政基础设施</v>
      </c>
      <c r="R37" s="1572" t="s">
        <v>8</v>
      </c>
      <c r="S37" s="1573">
        <f t="shared" si="12"/>
        <v>100</v>
      </c>
      <c r="T37" s="1572" t="s">
        <v>8</v>
      </c>
      <c r="U37" s="1573">
        <f t="shared" si="13"/>
        <v>100</v>
      </c>
      <c r="V37" s="1572" t="s">
        <v>8</v>
      </c>
      <c r="W37" s="1573">
        <f t="shared" si="14"/>
        <v>100</v>
      </c>
      <c r="X37" s="1574"/>
      <c r="Y37" s="3395"/>
      <c r="Z37" s="1153" t="str">
        <f t="shared" si="15"/>
        <v>市政基础设施</v>
      </c>
      <c r="AA37" s="1575">
        <f t="shared" si="3"/>
        <v>1</v>
      </c>
      <c r="AB37" s="1575">
        <f t="shared" si="4"/>
        <v>1</v>
      </c>
      <c r="AC37" s="1575">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1"/>
      <c r="M38" s="2143"/>
      <c r="N38" s="2143"/>
      <c r="O38" s="2150"/>
      <c r="P38" s="3395" t="s">
        <v>769</v>
      </c>
      <c r="Q38" s="1576" t="str">
        <f t="shared" si="11"/>
        <v>业态</v>
      </c>
      <c r="R38" s="1577" t="s">
        <v>8</v>
      </c>
      <c r="S38" s="1578">
        <f t="shared" si="12"/>
        <v>100</v>
      </c>
      <c r="T38" s="1577" t="s">
        <v>8</v>
      </c>
      <c r="U38" s="1578">
        <f t="shared" si="13"/>
        <v>100</v>
      </c>
      <c r="V38" s="1577" t="s">
        <v>8</v>
      </c>
      <c r="W38" s="1578">
        <f t="shared" si="14"/>
        <v>100</v>
      </c>
      <c r="X38" s="1571"/>
      <c r="Y38" s="3395" t="s">
        <v>769</v>
      </c>
      <c r="Z38" s="1579" t="str">
        <f t="shared" si="15"/>
        <v>业态</v>
      </c>
      <c r="AA38" s="1580">
        <f t="shared" si="3"/>
        <v>1</v>
      </c>
      <c r="AB38" s="1580">
        <f t="shared" si="4"/>
        <v>1</v>
      </c>
      <c r="AC38" s="1580">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95"/>
      <c r="Q39" s="1576" t="str">
        <f t="shared" si="11"/>
        <v>层高</v>
      </c>
      <c r="R39" s="1577" t="s">
        <v>8</v>
      </c>
      <c r="S39" s="1578">
        <f t="shared" si="12"/>
        <v>100</v>
      </c>
      <c r="T39" s="1577" t="s">
        <v>8</v>
      </c>
      <c r="U39" s="1578">
        <f t="shared" si="13"/>
        <v>100</v>
      </c>
      <c r="V39" s="1577" t="s">
        <v>8</v>
      </c>
      <c r="W39" s="1578">
        <f t="shared" si="14"/>
        <v>100</v>
      </c>
      <c r="X39" s="1571"/>
      <c r="Y39" s="3395"/>
      <c r="Z39" s="1579" t="str">
        <f t="shared" si="15"/>
        <v>层高</v>
      </c>
      <c r="AA39" s="1580">
        <f t="shared" si="3"/>
        <v>1</v>
      </c>
      <c r="AB39" s="1580">
        <f t="shared" si="4"/>
        <v>1</v>
      </c>
      <c r="AC39" s="1580">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1"/>
      <c r="M40" s="2143"/>
      <c r="N40" s="2143"/>
      <c r="O40" s="2150"/>
      <c r="P40" s="3395"/>
      <c r="Q40" s="1576" t="str">
        <f t="shared" si="11"/>
        <v>单套建筑面积</v>
      </c>
      <c r="R40" s="1577" t="s">
        <v>8</v>
      </c>
      <c r="S40" s="1578">
        <f t="shared" si="12"/>
        <v>100</v>
      </c>
      <c r="T40" s="1577" t="s">
        <v>8</v>
      </c>
      <c r="U40" s="1578">
        <f t="shared" si="13"/>
        <v>100</v>
      </c>
      <c r="V40" s="1577" t="s">
        <v>8</v>
      </c>
      <c r="W40" s="1578">
        <f t="shared" si="14"/>
        <v>100</v>
      </c>
      <c r="X40" s="1571"/>
      <c r="Y40" s="3395"/>
      <c r="Z40" s="1579" t="str">
        <f t="shared" si="15"/>
        <v>单套建筑面积</v>
      </c>
      <c r="AA40" s="1580">
        <f t="shared" si="3"/>
        <v>1</v>
      </c>
      <c r="AB40" s="1580">
        <f t="shared" si="4"/>
        <v>1</v>
      </c>
      <c r="AC40" s="1580">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395"/>
      <c r="Q41" s="1609" t="str">
        <f t="shared" si="11"/>
        <v>进深比</v>
      </c>
      <c r="R41" s="1581" t="s">
        <v>8</v>
      </c>
      <c r="S41" s="1582">
        <f t="shared" si="12"/>
        <v>100</v>
      </c>
      <c r="T41" s="1581" t="s">
        <v>8</v>
      </c>
      <c r="U41" s="1582">
        <f t="shared" si="13"/>
        <v>100</v>
      </c>
      <c r="V41" s="1581" t="s">
        <v>8</v>
      </c>
      <c r="W41" s="1582">
        <f t="shared" si="14"/>
        <v>100</v>
      </c>
      <c r="X41" s="1583"/>
      <c r="Y41" s="3395"/>
      <c r="Z41" s="1584" t="str">
        <f t="shared" si="15"/>
        <v>进深比</v>
      </c>
      <c r="AA41" s="1580">
        <f t="shared" si="3"/>
        <v>1</v>
      </c>
      <c r="AB41" s="1580">
        <f t="shared" si="4"/>
        <v>1</v>
      </c>
      <c r="AC41" s="1580">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1"/>
      <c r="M42" s="2143"/>
      <c r="N42" s="2143"/>
      <c r="O42" s="2150"/>
      <c r="P42" s="3395"/>
      <c r="Q42" s="1576" t="str">
        <f t="shared" si="11"/>
        <v>内部装修</v>
      </c>
      <c r="R42" s="1577" t="s">
        <v>8</v>
      </c>
      <c r="S42" s="1578">
        <f t="shared" si="12"/>
        <v>100</v>
      </c>
      <c r="T42" s="1577" t="s">
        <v>8</v>
      </c>
      <c r="U42" s="1578">
        <f t="shared" si="13"/>
        <v>100</v>
      </c>
      <c r="V42" s="1577" t="s">
        <v>8</v>
      </c>
      <c r="W42" s="1578">
        <f t="shared" si="14"/>
        <v>100</v>
      </c>
      <c r="X42" s="1571"/>
      <c r="Y42" s="3395"/>
      <c r="Z42" s="1579" t="str">
        <f t="shared" si="15"/>
        <v>内部装修</v>
      </c>
      <c r="AA42" s="1580">
        <f t="shared" si="3"/>
        <v>1</v>
      </c>
      <c r="AB42" s="1580">
        <f t="shared" si="4"/>
        <v>1</v>
      </c>
      <c r="AC42" s="1580">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395"/>
      <c r="Q43" s="1576" t="str">
        <f t="shared" si="11"/>
        <v>内部装修维护情况</v>
      </c>
      <c r="R43" s="1577" t="s">
        <v>8</v>
      </c>
      <c r="S43" s="1578">
        <f t="shared" si="12"/>
        <v>100</v>
      </c>
      <c r="T43" s="1577" t="s">
        <v>8</v>
      </c>
      <c r="U43" s="1578">
        <f t="shared" si="13"/>
        <v>100</v>
      </c>
      <c r="V43" s="1577" t="s">
        <v>8</v>
      </c>
      <c r="W43" s="1578">
        <f t="shared" si="14"/>
        <v>100</v>
      </c>
      <c r="X43" s="1571"/>
      <c r="Y43" s="3395"/>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395"/>
      <c r="Q44" s="1154">
        <f t="shared" si="11"/>
        <v>111</v>
      </c>
      <c r="R44" s="1572" t="s">
        <v>8</v>
      </c>
      <c r="S44" s="1573">
        <f t="shared" si="12"/>
        <v>100</v>
      </c>
      <c r="T44" s="1572" t="s">
        <v>8</v>
      </c>
      <c r="U44" s="1573">
        <f t="shared" si="13"/>
        <v>100</v>
      </c>
      <c r="V44" s="1572" t="s">
        <v>8</v>
      </c>
      <c r="W44" s="1573">
        <f t="shared" si="14"/>
        <v>100</v>
      </c>
      <c r="X44" s="1574"/>
      <c r="Y44" s="3395"/>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395"/>
      <c r="Q45" s="1576">
        <f t="shared" si="11"/>
        <v>111</v>
      </c>
      <c r="R45" s="1577" t="s">
        <v>8</v>
      </c>
      <c r="S45" s="1578">
        <f t="shared" si="12"/>
        <v>100</v>
      </c>
      <c r="T45" s="1577" t="s">
        <v>8</v>
      </c>
      <c r="U45" s="1578">
        <f t="shared" si="13"/>
        <v>100</v>
      </c>
      <c r="V45" s="1577" t="s">
        <v>8</v>
      </c>
      <c r="W45" s="1578">
        <f t="shared" si="14"/>
        <v>100</v>
      </c>
      <c r="X45" s="1571"/>
      <c r="Y45" s="3395"/>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52"/>
      <c r="Q46" s="1576">
        <f t="shared" si="11"/>
        <v>111</v>
      </c>
      <c r="R46" s="1577" t="s">
        <v>8</v>
      </c>
      <c r="S46" s="1578">
        <f t="shared" si="12"/>
        <v>100</v>
      </c>
      <c r="T46" s="1577" t="s">
        <v>8</v>
      </c>
      <c r="U46" s="1578">
        <f t="shared" si="13"/>
        <v>100</v>
      </c>
      <c r="V46" s="1577" t="s">
        <v>8</v>
      </c>
      <c r="W46" s="1578">
        <f t="shared" si="14"/>
        <v>100</v>
      </c>
      <c r="X46" s="1571"/>
      <c r="Y46" s="3452"/>
      <c r="Z46" s="1579">
        <f t="shared" si="15"/>
        <v>111</v>
      </c>
      <c r="AA46" s="1580">
        <f t="shared" si="3"/>
        <v>1</v>
      </c>
      <c r="AB46" s="1580">
        <f t="shared" si="4"/>
        <v>1</v>
      </c>
      <c r="AC46" s="1580">
        <f t="shared" si="5"/>
        <v>1</v>
      </c>
    </row>
    <row r="47" spans="1:29" ht="15">
      <c r="A47" s="610" t="s">
        <v>739</v>
      </c>
      <c r="B47" s="890"/>
      <c r="C47" s="2661" t="s">
        <v>1</v>
      </c>
      <c r="D47" s="2662"/>
      <c r="E47" s="2663"/>
      <c r="F47" s="2664"/>
      <c r="G47" s="2665"/>
      <c r="H47" s="2666"/>
      <c r="I47" s="2663"/>
      <c r="J47" s="2666"/>
      <c r="K47" s="1615"/>
      <c r="L47" s="2153"/>
      <c r="M47" s="2154"/>
      <c r="N47" s="2143"/>
      <c r="O47" s="2154"/>
      <c r="P47" s="3358" t="str">
        <f>A47</f>
        <v>成交单价（元/平方米）</v>
      </c>
      <c r="Q47" s="3358"/>
      <c r="R47" s="3451">
        <f>E47</f>
        <v>0</v>
      </c>
      <c r="S47" s="3451"/>
      <c r="T47" s="3451">
        <f>G47</f>
        <v>0</v>
      </c>
      <c r="U47" s="3451"/>
      <c r="V47" s="3451">
        <f>I47</f>
        <v>0</v>
      </c>
      <c r="W47" s="3451"/>
      <c r="X47" s="1563"/>
      <c r="Y47" s="1585"/>
      <c r="Z47" s="1563"/>
      <c r="AA47" s="1563"/>
      <c r="AB47" s="1563"/>
      <c r="AC47" s="1563"/>
    </row>
    <row r="48" spans="1:29" ht="15.75" thickBot="1">
      <c r="A48" s="618" t="s">
        <v>2771</v>
      </c>
      <c r="B48" s="891"/>
      <c r="C48" s="2667" t="e">
        <f>R49</f>
        <v>#DIV/0!</v>
      </c>
      <c r="D48" s="2668"/>
      <c r="E48" s="2669" t="e">
        <f>R48</f>
        <v>#DIV/0!</v>
      </c>
      <c r="F48" s="2669"/>
      <c r="G48" s="2667" t="e">
        <f>T48</f>
        <v>#DIV/0!</v>
      </c>
      <c r="H48" s="2668"/>
      <c r="I48" s="2669" t="e">
        <f>V48</f>
        <v>#DIV/0!</v>
      </c>
      <c r="J48" s="2668"/>
      <c r="K48" s="1616"/>
      <c r="L48" s="2153"/>
      <c r="M48" s="2154"/>
      <c r="N48" s="2143"/>
      <c r="O48" s="2154"/>
      <c r="P48" s="3358" t="str">
        <f>A48</f>
        <v>比较价格（元/平方米）</v>
      </c>
      <c r="Q48" s="3358"/>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3"/>
      <c r="Y48" s="1563"/>
      <c r="Z48" s="1563"/>
      <c r="AA48" s="1563"/>
      <c r="AB48" s="1563"/>
      <c r="AC48" s="1563"/>
    </row>
    <row r="49" spans="1:29" ht="15.75" thickBot="1">
      <c r="A49" s="624" t="s">
        <v>2944</v>
      </c>
      <c r="B49" s="625"/>
      <c r="C49" s="2670" t="e">
        <f>R49</f>
        <v>#DIV/0!</v>
      </c>
      <c r="D49" s="2670"/>
      <c r="E49" s="2670"/>
      <c r="F49" s="2670"/>
      <c r="G49" s="2670"/>
      <c r="H49" s="2670"/>
      <c r="I49" s="2670"/>
      <c r="J49" s="2670"/>
      <c r="K49" s="1617"/>
      <c r="L49" s="2153"/>
      <c r="M49" s="2154"/>
      <c r="N49" s="2143"/>
      <c r="O49" s="2154"/>
      <c r="P49" s="3355" t="str">
        <f>A49</f>
        <v>估价对象XX用房的比较价格（楼面单价，元/平方米）</v>
      </c>
      <c r="Q49" s="3356"/>
      <c r="R49" s="3450" t="e">
        <f>IF(F1="售价",ROUND(AVERAGE(R48:V48),0),ROUND(AVERAGE(R48:V48),1))</f>
        <v>#DIV/0!</v>
      </c>
      <c r="S49" s="3450"/>
      <c r="T49" s="3450"/>
      <c r="U49" s="3450"/>
      <c r="V49" s="3450"/>
      <c r="W49" s="3450"/>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50" customFormat="1" ht="15">
      <c r="A58" s="648" t="s">
        <v>530</v>
      </c>
      <c r="B58" s="649"/>
      <c r="C58" s="2840"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2565</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2566</v>
      </c>
      <c r="C82" s="2632" t="s">
        <v>2567</v>
      </c>
      <c r="D82" s="2632" t="s">
        <v>2568</v>
      </c>
      <c r="E82" s="2632" t="s">
        <v>2569</v>
      </c>
      <c r="F82" s="2632" t="s">
        <v>2570</v>
      </c>
      <c r="G82" s="2632" t="s">
        <v>2571</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676" t="s">
        <v>774</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c r="D92" s="691"/>
      <c r="E92" s="691"/>
      <c r="F92" s="691"/>
      <c r="G92" s="691"/>
      <c r="H92" s="691"/>
      <c r="I92" s="691"/>
      <c r="J92" s="691"/>
      <c r="K92" s="691"/>
      <c r="L92" s="893"/>
      <c r="M92" s="89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7">
        <v>0.5</v>
      </c>
      <c r="D110" s="897">
        <v>0.6</v>
      </c>
      <c r="E110" s="897">
        <v>0.7</v>
      </c>
      <c r="F110" s="897">
        <v>0.8</v>
      </c>
      <c r="G110" s="897">
        <v>0.9</v>
      </c>
      <c r="H110" s="897">
        <v>1.0001</v>
      </c>
      <c r="I110" s="908"/>
      <c r="J110" s="908"/>
      <c r="K110" s="909"/>
      <c r="L110" s="910"/>
      <c r="M110" s="911"/>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5"/>
      <c r="O111" s="2175"/>
      <c r="P111" s="2174"/>
      <c r="Q111" s="2167"/>
      <c r="R111" s="2154"/>
      <c r="S111" s="2154"/>
      <c r="T111" s="2154"/>
      <c r="U111" s="2154"/>
      <c r="V111" s="2154"/>
      <c r="W111" s="2154"/>
      <c r="X111" s="2154"/>
      <c r="Y111" s="2154"/>
      <c r="Z111" s="2154"/>
      <c r="AA111" s="2154"/>
      <c r="AB111" s="2154"/>
      <c r="AC111" s="2154"/>
    </row>
    <row r="112" spans="1:29" s="1342" customFormat="1" ht="15" thickTop="1">
      <c r="A112" s="731"/>
      <c r="B112" s="1901" t="s">
        <v>2564</v>
      </c>
      <c r="C112" s="691"/>
      <c r="D112" s="691"/>
      <c r="E112" s="691"/>
      <c r="F112" s="691"/>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2"/>
      <c r="D118" s="912"/>
      <c r="E118" s="912"/>
      <c r="F118" s="912"/>
      <c r="G118" s="912"/>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2" customFormat="1" ht="15" thickTop="1">
      <c r="A120" s="731"/>
      <c r="B120" s="676" t="s">
        <v>779</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5"/>
      <c r="G1" s="1605" t="s">
        <v>724</v>
      </c>
      <c r="H1" s="509"/>
      <c r="I1" s="509"/>
      <c r="J1" s="509"/>
      <c r="K1" s="510"/>
      <c r="L1" s="1566"/>
      <c r="M1" s="1567"/>
      <c r="N1" s="1567"/>
      <c r="O1" s="1567"/>
      <c r="P1" s="2216"/>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2216"/>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8"/>
      <c r="R3" s="1568"/>
      <c r="S3" s="1568"/>
      <c r="T3" s="1568"/>
      <c r="U3" s="1568"/>
      <c r="V3" s="1568"/>
      <c r="W3" s="1568"/>
      <c r="X3" s="1568"/>
      <c r="Y3" s="1568"/>
      <c r="Z3" s="1568"/>
      <c r="AA3" s="1568"/>
      <c r="AB3" s="1568"/>
      <c r="AC3" s="1569"/>
    </row>
    <row r="4" spans="1:29" ht="15">
      <c r="A4" s="515" t="s">
        <v>522</v>
      </c>
      <c r="B4" s="516"/>
      <c r="C4" s="3364" t="s">
        <v>523</v>
      </c>
      <c r="D4" s="3365"/>
      <c r="E4" s="3404" t="s">
        <v>524</v>
      </c>
      <c r="F4" s="3405"/>
      <c r="G4" s="3364" t="s">
        <v>525</v>
      </c>
      <c r="H4" s="3365"/>
      <c r="I4" s="3364" t="s">
        <v>526</v>
      </c>
      <c r="J4" s="3365"/>
      <c r="K4" s="517" t="s">
        <v>527</v>
      </c>
      <c r="L4" s="2142"/>
      <c r="M4" s="2143"/>
      <c r="N4" s="2143"/>
      <c r="O4" s="2143"/>
      <c r="P4" s="3454" t="s">
        <v>528</v>
      </c>
      <c r="Q4" s="3367"/>
      <c r="R4" s="3372" t="s">
        <v>524</v>
      </c>
      <c r="S4" s="3373"/>
      <c r="T4" s="3372" t="s">
        <v>525</v>
      </c>
      <c r="U4" s="3373"/>
      <c r="V4" s="3359" t="s">
        <v>526</v>
      </c>
      <c r="W4" s="3359"/>
      <c r="X4" s="1571"/>
      <c r="Y4" s="3372" t="s">
        <v>528</v>
      </c>
      <c r="Z4" s="3373"/>
      <c r="AA4" s="3361" t="s">
        <v>524</v>
      </c>
      <c r="AB4" s="3361" t="s">
        <v>525</v>
      </c>
      <c r="AC4" s="3361" t="s">
        <v>526</v>
      </c>
    </row>
    <row r="5" spans="1:29" ht="15">
      <c r="A5" s="518"/>
      <c r="B5" s="519"/>
      <c r="C5" s="3380" t="s">
        <v>2938</v>
      </c>
      <c r="D5" s="3381"/>
      <c r="E5" s="3406" t="s">
        <v>2939</v>
      </c>
      <c r="F5" s="3407"/>
      <c r="G5" s="3380" t="s">
        <v>2940</v>
      </c>
      <c r="H5" s="3381"/>
      <c r="I5" s="3380" t="s">
        <v>2941</v>
      </c>
      <c r="J5" s="3381"/>
      <c r="K5" s="517"/>
      <c r="L5" s="2142"/>
      <c r="M5" s="2143"/>
      <c r="N5" s="2143"/>
      <c r="O5" s="2143"/>
      <c r="P5" s="3455"/>
      <c r="Q5" s="3369"/>
      <c r="R5" s="3374"/>
      <c r="S5" s="3375"/>
      <c r="T5" s="3374"/>
      <c r="U5" s="3375"/>
      <c r="V5" s="3359"/>
      <c r="W5" s="3359"/>
      <c r="X5" s="1571"/>
      <c r="Y5" s="3374"/>
      <c r="Z5" s="3375"/>
      <c r="AA5" s="3362"/>
      <c r="AB5" s="3362"/>
      <c r="AC5" s="3362"/>
    </row>
    <row r="6" spans="1:29" ht="15.75" thickBot="1">
      <c r="A6" s="520"/>
      <c r="B6" s="521"/>
      <c r="C6" s="3378" t="s">
        <v>2942</v>
      </c>
      <c r="D6" s="3379"/>
      <c r="E6" s="3402" t="s">
        <v>2942</v>
      </c>
      <c r="F6" s="3403"/>
      <c r="G6" s="3378" t="s">
        <v>2942</v>
      </c>
      <c r="H6" s="3379"/>
      <c r="I6" s="3378" t="s">
        <v>2942</v>
      </c>
      <c r="J6" s="3379"/>
      <c r="K6" s="517" t="s">
        <v>529</v>
      </c>
      <c r="L6" s="2142"/>
      <c r="M6" s="2143"/>
      <c r="N6" s="2143"/>
      <c r="O6" s="2143"/>
      <c r="P6" s="3456"/>
      <c r="Q6" s="3371"/>
      <c r="R6" s="3374"/>
      <c r="S6" s="3375"/>
      <c r="T6" s="3376"/>
      <c r="U6" s="3377"/>
      <c r="V6" s="3359"/>
      <c r="W6" s="3359"/>
      <c r="X6" s="1571"/>
      <c r="Y6" s="3376"/>
      <c r="Z6" s="3377"/>
      <c r="AA6" s="3363"/>
      <c r="AB6" s="3363"/>
      <c r="AC6" s="3363"/>
    </row>
    <row r="7" spans="1:29" s="1223" customFormat="1" ht="15.75" thickBot="1">
      <c r="A7" s="2950"/>
      <c r="B7" s="2957" t="s">
        <v>530</v>
      </c>
      <c r="C7" s="522">
        <f>'数据-取费表'!B2</f>
        <v>43005</v>
      </c>
      <c r="D7" s="523">
        <v>100</v>
      </c>
      <c r="E7" s="524"/>
      <c r="F7" s="525">
        <f>SUMIF(59:59,YEAR(E7)&amp;"-"&amp;MONTH(E7),60:60)</f>
        <v>0</v>
      </c>
      <c r="G7" s="524"/>
      <c r="H7" s="523">
        <f>SUMIF(59:59,YEAR(G7)&amp;"-"&amp;MONTH(G7),60:60)</f>
        <v>0</v>
      </c>
      <c r="I7" s="524"/>
      <c r="J7" s="523">
        <f>SUMIF(59:59,YEAR(I7)&amp;"-"&amp;MONTH(I7),60:60)</f>
        <v>0</v>
      </c>
      <c r="K7" s="527"/>
      <c r="L7" s="2144"/>
      <c r="M7" s="2145"/>
      <c r="N7" s="2145"/>
      <c r="O7" s="2145"/>
      <c r="P7" s="3391" t="s">
        <v>531</v>
      </c>
      <c r="Q7" s="3391"/>
      <c r="R7" s="1572" t="s">
        <v>8</v>
      </c>
      <c r="S7" s="1573">
        <f t="shared" ref="S7:S15" si="0">F7</f>
        <v>0</v>
      </c>
      <c r="T7" s="1572" t="s">
        <v>8</v>
      </c>
      <c r="U7" s="1573">
        <f t="shared" ref="U7:U15" si="1">H7</f>
        <v>0</v>
      </c>
      <c r="V7" s="1572" t="s">
        <v>8</v>
      </c>
      <c r="W7" s="1573">
        <f t="shared" ref="W7:W15" si="2">J7</f>
        <v>0</v>
      </c>
      <c r="X7" s="1574"/>
      <c r="Y7" s="3389" t="s">
        <v>531</v>
      </c>
      <c r="Z7" s="3390"/>
      <c r="AA7" s="1575" t="e">
        <f>D7/F7</f>
        <v>#DIV/0!</v>
      </c>
      <c r="AB7" s="1575" t="e">
        <f>D7/H7</f>
        <v>#DIV/0!</v>
      </c>
      <c r="AC7" s="1575" t="e">
        <f>D7/J7</f>
        <v>#DIV/0!</v>
      </c>
    </row>
    <row r="8" spans="1:29" s="1223" customFormat="1" ht="15.75" thickBot="1">
      <c r="A8" s="2951"/>
      <c r="B8" s="2958"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391" t="s">
        <v>534</v>
      </c>
      <c r="Q8" s="3390"/>
      <c r="R8" s="1572" t="s">
        <v>8</v>
      </c>
      <c r="S8" s="1573">
        <f t="shared" si="0"/>
        <v>0</v>
      </c>
      <c r="T8" s="1572" t="s">
        <v>8</v>
      </c>
      <c r="U8" s="1573">
        <f t="shared" si="1"/>
        <v>0</v>
      </c>
      <c r="V8" s="1572" t="s">
        <v>8</v>
      </c>
      <c r="W8" s="1573">
        <f t="shared" si="2"/>
        <v>0</v>
      </c>
      <c r="X8" s="1574"/>
      <c r="Y8" s="3389" t="s">
        <v>534</v>
      </c>
      <c r="Z8" s="3390"/>
      <c r="AA8" s="1575" t="e">
        <f t="shared" ref="AA8:AA47" si="3">D8/F8</f>
        <v>#DIV/0!</v>
      </c>
      <c r="AB8" s="1575" t="e">
        <f t="shared" ref="AB8:AB47" si="4">D8/H8</f>
        <v>#DIV/0!</v>
      </c>
      <c r="AC8" s="1575" t="e">
        <f t="shared" ref="AC8:AC47" si="5">D8/J8</f>
        <v>#DIV/0!</v>
      </c>
    </row>
    <row r="9" spans="1:29" s="1223" customFormat="1" ht="15">
      <c r="A9" s="2952"/>
      <c r="B9" s="2959" t="s">
        <v>2767</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58" t="s">
        <v>536</v>
      </c>
      <c r="Q9" s="1154" t="str">
        <f t="shared" ref="Q9:Q15" si="6">B9</f>
        <v>用途</v>
      </c>
      <c r="R9" s="1572" t="s">
        <v>8</v>
      </c>
      <c r="S9" s="1573">
        <f t="shared" si="0"/>
        <v>100</v>
      </c>
      <c r="T9" s="1572" t="s">
        <v>8</v>
      </c>
      <c r="U9" s="1573">
        <f t="shared" si="1"/>
        <v>100</v>
      </c>
      <c r="V9" s="1572" t="s">
        <v>8</v>
      </c>
      <c r="W9" s="1573">
        <f t="shared" si="2"/>
        <v>100</v>
      </c>
      <c r="X9" s="1574"/>
      <c r="Y9" s="3286"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58"/>
      <c r="Q10" s="1154" t="str">
        <f t="shared" si="6"/>
        <v>土地使用年限（年）</v>
      </c>
      <c r="R10" s="1572" t="s">
        <v>8</v>
      </c>
      <c r="S10" s="1573">
        <f t="shared" si="0"/>
        <v>100</v>
      </c>
      <c r="T10" s="1572" t="s">
        <v>8</v>
      </c>
      <c r="U10" s="1573">
        <f t="shared" si="1"/>
        <v>100</v>
      </c>
      <c r="V10" s="1572" t="s">
        <v>8</v>
      </c>
      <c r="W10" s="1573">
        <f t="shared" si="2"/>
        <v>100</v>
      </c>
      <c r="X10" s="1574"/>
      <c r="Y10" s="3286"/>
      <c r="Z10" s="1153" t="str">
        <f t="shared" si="7"/>
        <v>土地使用年限（年）</v>
      </c>
      <c r="AA10" s="1575">
        <f t="shared" si="3"/>
        <v>1</v>
      </c>
      <c r="AB10" s="1575">
        <f t="shared" si="4"/>
        <v>1</v>
      </c>
      <c r="AC10" s="1575">
        <f t="shared" si="5"/>
        <v>1</v>
      </c>
    </row>
    <row r="11" spans="1:29" ht="15">
      <c r="A11" s="2954"/>
      <c r="B11" s="2958" t="s">
        <v>2769</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58"/>
      <c r="Q11" s="1154" t="str">
        <f t="shared" si="6"/>
        <v>容积率</v>
      </c>
      <c r="R11" s="1572" t="s">
        <v>8</v>
      </c>
      <c r="S11" s="1573" t="e">
        <f t="shared" si="0"/>
        <v>#N/A</v>
      </c>
      <c r="T11" s="1572" t="s">
        <v>8</v>
      </c>
      <c r="U11" s="1573" t="e">
        <f t="shared" si="1"/>
        <v>#N/A</v>
      </c>
      <c r="V11" s="1572" t="s">
        <v>8</v>
      </c>
      <c r="W11" s="1573" t="e">
        <f t="shared" si="2"/>
        <v>#N/A</v>
      </c>
      <c r="X11" s="1574"/>
      <c r="Y11" s="3286"/>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31"/>
      <c r="F12" s="255">
        <f>SUMIF(71:71,E12,72:72)-SUMIF(71:71,C12,72:72)+100</f>
        <v>100</v>
      </c>
      <c r="G12" s="913"/>
      <c r="H12" s="255">
        <f>SUMIF(71:71,G12,72:72)-SUMIF(71:71,C12,72:72)+100</f>
        <v>100</v>
      </c>
      <c r="I12" s="531"/>
      <c r="J12" s="255">
        <f>SUMIF(71:71,I12,72:72)-SUMIF(71:71,C12,72:72)+100</f>
        <v>100</v>
      </c>
      <c r="K12" s="584"/>
      <c r="L12" s="2144"/>
      <c r="M12" s="2145"/>
      <c r="N12" s="2145"/>
      <c r="O12" s="2145"/>
      <c r="P12" s="3358"/>
      <c r="Q12" s="1154">
        <f t="shared" si="6"/>
        <v>111</v>
      </c>
      <c r="R12" s="1572" t="s">
        <v>8</v>
      </c>
      <c r="S12" s="1573">
        <f t="shared" si="0"/>
        <v>100</v>
      </c>
      <c r="T12" s="1572" t="s">
        <v>8</v>
      </c>
      <c r="U12" s="1573">
        <f t="shared" si="1"/>
        <v>100</v>
      </c>
      <c r="V12" s="1572" t="s">
        <v>8</v>
      </c>
      <c r="W12" s="1573">
        <f t="shared" si="2"/>
        <v>100</v>
      </c>
      <c r="X12" s="1574"/>
      <c r="Y12" s="3286"/>
      <c r="Z12" s="1153">
        <f t="shared" si="7"/>
        <v>111</v>
      </c>
      <c r="AA12" s="1575">
        <f>D12/F12</f>
        <v>1</v>
      </c>
      <c r="AB12" s="1575">
        <f>D12/H12</f>
        <v>1</v>
      </c>
      <c r="AC12" s="1575">
        <f>D12/J12</f>
        <v>1</v>
      </c>
    </row>
    <row r="13" spans="1:29" ht="15">
      <c r="A13" s="2955"/>
      <c r="B13" s="2961">
        <v>111</v>
      </c>
      <c r="C13" s="542"/>
      <c r="D13" s="543">
        <v>100</v>
      </c>
      <c r="E13" s="531"/>
      <c r="F13" s="255">
        <f>SUMIF(73:73,E13,74:74)-SUMIF(73:73,C13,74:74)+100</f>
        <v>100</v>
      </c>
      <c r="G13" s="913"/>
      <c r="H13" s="543">
        <f>SUMIF(73:73,G13,74:74)-SUMIF(73:73,C13,74:74)+100</f>
        <v>100</v>
      </c>
      <c r="I13" s="531"/>
      <c r="J13" s="543">
        <f>SUMIF(73:73,I13,74:74)-SUMIF(73:73,C13,74:74)+100</f>
        <v>100</v>
      </c>
      <c r="K13" s="584"/>
      <c r="L13" s="2151"/>
      <c r="M13" s="2143"/>
      <c r="N13" s="2143"/>
      <c r="O13" s="2143"/>
      <c r="P13" s="3358"/>
      <c r="Q13" s="1154">
        <f t="shared" si="6"/>
        <v>111</v>
      </c>
      <c r="R13" s="1572" t="s">
        <v>8</v>
      </c>
      <c r="S13" s="1573">
        <f t="shared" si="0"/>
        <v>100</v>
      </c>
      <c r="T13" s="1572" t="s">
        <v>8</v>
      </c>
      <c r="U13" s="1573">
        <f t="shared" si="1"/>
        <v>100</v>
      </c>
      <c r="V13" s="1572" t="s">
        <v>8</v>
      </c>
      <c r="W13" s="1573">
        <f t="shared" si="2"/>
        <v>100</v>
      </c>
      <c r="X13" s="1574"/>
      <c r="Y13" s="3286"/>
      <c r="Z13" s="1153">
        <f t="shared" si="7"/>
        <v>111</v>
      </c>
      <c r="AA13" s="1575">
        <f t="shared" si="3"/>
        <v>1</v>
      </c>
      <c r="AB13" s="1575">
        <f t="shared" si="4"/>
        <v>1</v>
      </c>
      <c r="AC13" s="1575">
        <f t="shared" si="5"/>
        <v>1</v>
      </c>
    </row>
    <row r="14" spans="1:29" ht="15.75" thickBot="1">
      <c r="A14" s="2956"/>
      <c r="B14" s="2962">
        <v>111</v>
      </c>
      <c r="C14" s="548"/>
      <c r="D14" s="549">
        <v>100</v>
      </c>
      <c r="E14" s="914"/>
      <c r="F14" s="549">
        <f>SUMIF(75:75,E14,76:76)-SUMIF(75:75,C14,76:76)+100</f>
        <v>100</v>
      </c>
      <c r="G14" s="913"/>
      <c r="H14" s="549">
        <f>SUMIF(75:75,G14,76:76)-SUMIF(75:75,C14,76:76)+100</f>
        <v>100</v>
      </c>
      <c r="I14" s="531"/>
      <c r="J14" s="549">
        <f>SUMIF(75:75,I14,76:76)-SUMIF(75:75,C14,76:76)+100</f>
        <v>100</v>
      </c>
      <c r="K14" s="584"/>
      <c r="L14" s="2151"/>
      <c r="M14" s="2143"/>
      <c r="N14" s="2143"/>
      <c r="O14" s="2143"/>
      <c r="P14" s="3358"/>
      <c r="Q14" s="1154">
        <f t="shared" si="6"/>
        <v>111</v>
      </c>
      <c r="R14" s="1572" t="s">
        <v>8</v>
      </c>
      <c r="S14" s="1573">
        <f t="shared" si="0"/>
        <v>100</v>
      </c>
      <c r="T14" s="1572" t="s">
        <v>8</v>
      </c>
      <c r="U14" s="1573">
        <f t="shared" si="1"/>
        <v>100</v>
      </c>
      <c r="V14" s="1572" t="s">
        <v>8</v>
      </c>
      <c r="W14" s="1573">
        <f t="shared" si="2"/>
        <v>100</v>
      </c>
      <c r="X14" s="1574"/>
      <c r="Y14" s="3286"/>
      <c r="Z14" s="1153">
        <f t="shared" si="7"/>
        <v>111</v>
      </c>
      <c r="AA14" s="1575">
        <f t="shared" si="3"/>
        <v>1</v>
      </c>
      <c r="AB14" s="1575">
        <f t="shared" si="4"/>
        <v>1</v>
      </c>
      <c r="AC14" s="1575">
        <f t="shared" si="5"/>
        <v>1</v>
      </c>
    </row>
    <row r="15" spans="1:29" ht="71.25">
      <c r="A15" s="2948" t="s">
        <v>2765</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1"/>
      <c r="M15" s="2143"/>
      <c r="N15" s="2143"/>
      <c r="O15" s="2143"/>
      <c r="P15" s="3392" t="s">
        <v>541</v>
      </c>
      <c r="Q15" s="1576" t="str">
        <f t="shared" si="6"/>
        <v>办公集聚程度</v>
      </c>
      <c r="R15" s="1577" t="s">
        <v>8</v>
      </c>
      <c r="S15" s="1578">
        <f t="shared" si="0"/>
        <v>100</v>
      </c>
      <c r="T15" s="1577" t="s">
        <v>8</v>
      </c>
      <c r="U15" s="1578">
        <f t="shared" si="1"/>
        <v>100</v>
      </c>
      <c r="V15" s="1577" t="s">
        <v>8</v>
      </c>
      <c r="W15" s="1578">
        <f t="shared" si="2"/>
        <v>100</v>
      </c>
      <c r="X15" s="1571"/>
      <c r="Y15" s="3392"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51"/>
      <c r="M16" s="2143"/>
      <c r="N16" s="2143"/>
      <c r="O16" s="2143"/>
      <c r="P16" s="3393"/>
      <c r="Q16" s="1576"/>
      <c r="R16" s="1577"/>
      <c r="S16" s="1578"/>
      <c r="T16" s="1577"/>
      <c r="U16" s="1578"/>
      <c r="V16" s="1577"/>
      <c r="W16" s="1578"/>
      <c r="X16" s="1571"/>
      <c r="Y16" s="3393"/>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1"/>
      <c r="M17" s="2143"/>
      <c r="N17" s="2143"/>
      <c r="O17" s="2143"/>
      <c r="P17" s="3393"/>
      <c r="Q17" s="1576" t="str">
        <f>B17</f>
        <v>交通便捷度</v>
      </c>
      <c r="R17" s="1577" t="s">
        <v>8</v>
      </c>
      <c r="S17" s="1578">
        <f>F17</f>
        <v>100</v>
      </c>
      <c r="T17" s="1577" t="s">
        <v>8</v>
      </c>
      <c r="U17" s="1578">
        <f>H17</f>
        <v>100</v>
      </c>
      <c r="V17" s="1577" t="s">
        <v>8</v>
      </c>
      <c r="W17" s="1578">
        <f>J17</f>
        <v>100</v>
      </c>
      <c r="X17" s="1571"/>
      <c r="Y17" s="3393"/>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51"/>
      <c r="M18" s="2143"/>
      <c r="N18" s="2143"/>
      <c r="O18" s="2143"/>
      <c r="P18" s="3393"/>
      <c r="Q18" s="1576"/>
      <c r="R18" s="1577"/>
      <c r="S18" s="1578"/>
      <c r="T18" s="1577"/>
      <c r="U18" s="1578"/>
      <c r="V18" s="1577"/>
      <c r="W18" s="1578"/>
      <c r="X18" s="1571"/>
      <c r="Y18" s="3393"/>
      <c r="Z18" s="1579"/>
      <c r="AA18" s="1580">
        <v>1</v>
      </c>
      <c r="AB18" s="1580">
        <v>1</v>
      </c>
      <c r="AC18" s="1580">
        <v>1</v>
      </c>
    </row>
    <row r="19" spans="1:29" ht="42.75">
      <c r="A19" s="535"/>
      <c r="B19" s="2637" t="s">
        <v>2554</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1"/>
      <c r="M19" s="2143"/>
      <c r="N19" s="2143"/>
      <c r="O19" s="2143"/>
      <c r="P19" s="3393"/>
      <c r="Q19" s="1576" t="str">
        <f>B19</f>
        <v>公共配套设施</v>
      </c>
      <c r="R19" s="1577" t="s">
        <v>8</v>
      </c>
      <c r="S19" s="1578">
        <f>F19</f>
        <v>100</v>
      </c>
      <c r="T19" s="1577" t="s">
        <v>8</v>
      </c>
      <c r="U19" s="1578">
        <f>H19</f>
        <v>100</v>
      </c>
      <c r="V19" s="1577" t="s">
        <v>8</v>
      </c>
      <c r="W19" s="1578">
        <f>J19</f>
        <v>100</v>
      </c>
      <c r="X19" s="1571"/>
      <c r="Y19" s="3393"/>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51"/>
      <c r="M20" s="2143"/>
      <c r="N20" s="2143"/>
      <c r="O20" s="2143"/>
      <c r="P20" s="3393"/>
      <c r="Q20" s="1576"/>
      <c r="R20" s="1577"/>
      <c r="S20" s="1578"/>
      <c r="T20" s="1577"/>
      <c r="U20" s="1578"/>
      <c r="V20" s="1577"/>
      <c r="W20" s="1578"/>
      <c r="X20" s="1571"/>
      <c r="Y20" s="3393"/>
      <c r="Z20" s="1579"/>
      <c r="AA20" s="1580">
        <v>1</v>
      </c>
      <c r="AB20" s="1580">
        <v>1</v>
      </c>
      <c r="AC20" s="1580">
        <v>1</v>
      </c>
    </row>
    <row r="21" spans="1:29" ht="28.5">
      <c r="A21" s="535"/>
      <c r="B21" s="2625" t="s">
        <v>2566</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1"/>
      <c r="M21" s="2143"/>
      <c r="N21" s="2143"/>
      <c r="O21" s="2143"/>
      <c r="P21" s="3393"/>
      <c r="Q21" s="2613" t="str">
        <f>B21</f>
        <v>基础设施水平</v>
      </c>
      <c r="R21" s="1577" t="s">
        <v>8</v>
      </c>
      <c r="S21" s="1578">
        <f>F21</f>
        <v>100</v>
      </c>
      <c r="T21" s="1577" t="s">
        <v>8</v>
      </c>
      <c r="U21" s="1578">
        <f>H21</f>
        <v>100</v>
      </c>
      <c r="V21" s="1577" t="s">
        <v>8</v>
      </c>
      <c r="W21" s="1578">
        <f>J21</f>
        <v>100</v>
      </c>
      <c r="X21" s="2615"/>
      <c r="Y21" s="3393"/>
      <c r="Z21" s="2614"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6"/>
      <c r="L22" s="2151"/>
      <c r="M22" s="2143"/>
      <c r="N22" s="2143"/>
      <c r="O22" s="2143"/>
      <c r="P22" s="3393"/>
      <c r="Q22" s="2613"/>
      <c r="R22" s="1577"/>
      <c r="S22" s="1578"/>
      <c r="T22" s="1577"/>
      <c r="U22" s="1578"/>
      <c r="V22" s="1577"/>
      <c r="W22" s="1578"/>
      <c r="X22" s="2615"/>
      <c r="Y22" s="3393"/>
      <c r="Z22" s="2614"/>
      <c r="AA22" s="1580">
        <v>1</v>
      </c>
      <c r="AB22" s="1580">
        <v>1</v>
      </c>
      <c r="AC22" s="1580">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1"/>
      <c r="M23" s="2143"/>
      <c r="N23" s="2143"/>
      <c r="O23" s="2143"/>
      <c r="P23" s="3393"/>
      <c r="Q23" s="1576" t="str">
        <f>B23</f>
        <v>环境质量</v>
      </c>
      <c r="R23" s="1577" t="s">
        <v>8</v>
      </c>
      <c r="S23" s="1578">
        <f>F23</f>
        <v>100</v>
      </c>
      <c r="T23" s="1577" t="s">
        <v>8</v>
      </c>
      <c r="U23" s="1578">
        <f>H23</f>
        <v>100</v>
      </c>
      <c r="V23" s="1577" t="s">
        <v>8</v>
      </c>
      <c r="W23" s="1578">
        <f>J23</f>
        <v>100</v>
      </c>
      <c r="X23" s="1571"/>
      <c r="Y23" s="3393"/>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51"/>
      <c r="M24" s="2143"/>
      <c r="N24" s="2143"/>
      <c r="O24" s="2143"/>
      <c r="P24" s="3393"/>
      <c r="Q24" s="1576"/>
      <c r="R24" s="1577"/>
      <c r="S24" s="1578"/>
      <c r="T24" s="1577"/>
      <c r="U24" s="1578"/>
      <c r="V24" s="1577"/>
      <c r="W24" s="1578"/>
      <c r="X24" s="1571"/>
      <c r="Y24" s="3393"/>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1"/>
      <c r="M25" s="2143"/>
      <c r="N25" s="2143"/>
      <c r="O25" s="2143"/>
      <c r="P25" s="3393"/>
      <c r="Q25" s="1576" t="str">
        <f>B25</f>
        <v>毗邻道路的类型与等级</v>
      </c>
      <c r="R25" s="1577" t="s">
        <v>8</v>
      </c>
      <c r="S25" s="1578">
        <f>F25</f>
        <v>100</v>
      </c>
      <c r="T25" s="1577" t="s">
        <v>8</v>
      </c>
      <c r="U25" s="1578">
        <f>H25</f>
        <v>100</v>
      </c>
      <c r="V25" s="1577" t="s">
        <v>8</v>
      </c>
      <c r="W25" s="1578">
        <f>J25</f>
        <v>100</v>
      </c>
      <c r="X25" s="1571"/>
      <c r="Y25" s="3393"/>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51"/>
      <c r="M26" s="2143"/>
      <c r="N26" s="2143"/>
      <c r="O26" s="2143"/>
      <c r="P26" s="3393"/>
      <c r="Q26" s="1576"/>
      <c r="R26" s="1577"/>
      <c r="S26" s="1578"/>
      <c r="T26" s="1577"/>
      <c r="U26" s="1578"/>
      <c r="V26" s="1577"/>
      <c r="W26" s="1578"/>
      <c r="X26" s="1571"/>
      <c r="Y26" s="3393"/>
      <c r="Z26" s="1579"/>
      <c r="AA26" s="1580">
        <v>1</v>
      </c>
      <c r="AB26" s="1580">
        <v>1</v>
      </c>
      <c r="AC26" s="1580">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393"/>
      <c r="Q27" s="1576" t="str">
        <f t="shared" ref="Q27:Q47" si="11">B27</f>
        <v>楼层</v>
      </c>
      <c r="R27" s="1577" t="s">
        <v>8</v>
      </c>
      <c r="S27" s="1578">
        <f>F27</f>
        <v>100</v>
      </c>
      <c r="T27" s="1577" t="s">
        <v>8</v>
      </c>
      <c r="U27" s="1578">
        <f>H27</f>
        <v>100</v>
      </c>
      <c r="V27" s="1577" t="s">
        <v>8</v>
      </c>
      <c r="W27" s="1578">
        <f>J27</f>
        <v>100</v>
      </c>
      <c r="X27" s="1571"/>
      <c r="Y27" s="3393"/>
      <c r="Z27" s="1579" t="str">
        <f>Q27</f>
        <v>楼层</v>
      </c>
      <c r="AA27" s="1580">
        <f t="shared" si="3"/>
        <v>1</v>
      </c>
      <c r="AB27" s="1580">
        <f t="shared" si="4"/>
        <v>1</v>
      </c>
      <c r="AC27" s="1580">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4"/>
      <c r="M28" s="2145"/>
      <c r="N28" s="2145"/>
      <c r="O28" s="2145"/>
      <c r="P28" s="3393"/>
      <c r="Q28" s="1154" t="str">
        <f t="shared" si="11"/>
        <v>朝向</v>
      </c>
      <c r="R28" s="1572" t="s">
        <v>8</v>
      </c>
      <c r="S28" s="1573">
        <f>F28</f>
        <v>100</v>
      </c>
      <c r="T28" s="1572" t="s">
        <v>8</v>
      </c>
      <c r="U28" s="1573">
        <f>H28</f>
        <v>100</v>
      </c>
      <c r="V28" s="1572" t="s">
        <v>8</v>
      </c>
      <c r="W28" s="1573">
        <f>J28</f>
        <v>100</v>
      </c>
      <c r="X28" s="1574"/>
      <c r="Y28" s="3393"/>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1"/>
      <c r="M29" s="2143"/>
      <c r="N29" s="2143"/>
      <c r="O29" s="2143"/>
      <c r="P29" s="3393"/>
      <c r="Q29" s="1576">
        <f t="shared" si="11"/>
        <v>111</v>
      </c>
      <c r="R29" s="1577" t="s">
        <v>8</v>
      </c>
      <c r="S29" s="1578">
        <f t="shared" ref="S29:S47" si="12">F29</f>
        <v>100</v>
      </c>
      <c r="T29" s="1577" t="s">
        <v>8</v>
      </c>
      <c r="U29" s="1578">
        <f t="shared" ref="U29:U47" si="13">H29</f>
        <v>100</v>
      </c>
      <c r="V29" s="1577" t="s">
        <v>8</v>
      </c>
      <c r="W29" s="1578">
        <f t="shared" ref="W29:W47" si="14">J29</f>
        <v>100</v>
      </c>
      <c r="X29" s="1571"/>
      <c r="Y29" s="3393"/>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1"/>
      <c r="M30" s="2143"/>
      <c r="N30" s="2143"/>
      <c r="O30" s="2143"/>
      <c r="P30" s="3393"/>
      <c r="Q30" s="1576">
        <f t="shared" si="11"/>
        <v>111</v>
      </c>
      <c r="R30" s="1577" t="s">
        <v>8</v>
      </c>
      <c r="S30" s="1578">
        <f t="shared" si="12"/>
        <v>100</v>
      </c>
      <c r="T30" s="1577" t="s">
        <v>8</v>
      </c>
      <c r="U30" s="1578">
        <f t="shared" si="13"/>
        <v>100</v>
      </c>
      <c r="V30" s="1577" t="s">
        <v>8</v>
      </c>
      <c r="W30" s="1578">
        <f t="shared" si="14"/>
        <v>100</v>
      </c>
      <c r="X30" s="1571"/>
      <c r="Y30" s="3393"/>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1"/>
      <c r="M31" s="2143"/>
      <c r="N31" s="2143"/>
      <c r="O31" s="2143"/>
      <c r="P31" s="3393"/>
      <c r="Q31" s="1576">
        <f t="shared" si="11"/>
        <v>111</v>
      </c>
      <c r="R31" s="1577" t="s">
        <v>8</v>
      </c>
      <c r="S31" s="1578">
        <f t="shared" si="12"/>
        <v>100</v>
      </c>
      <c r="T31" s="1577" t="s">
        <v>8</v>
      </c>
      <c r="U31" s="1578">
        <f t="shared" si="13"/>
        <v>100</v>
      </c>
      <c r="V31" s="1577" t="s">
        <v>8</v>
      </c>
      <c r="W31" s="1578">
        <f t="shared" si="14"/>
        <v>100</v>
      </c>
      <c r="X31" s="1571"/>
      <c r="Y31" s="3393"/>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1"/>
      <c r="M32" s="2143"/>
      <c r="N32" s="2143"/>
      <c r="O32" s="2143"/>
      <c r="P32" s="3393"/>
      <c r="Q32" s="1576">
        <f t="shared" si="11"/>
        <v>111</v>
      </c>
      <c r="R32" s="1577" t="s">
        <v>8</v>
      </c>
      <c r="S32" s="1578">
        <f t="shared" si="12"/>
        <v>100</v>
      </c>
      <c r="T32" s="1577" t="s">
        <v>8</v>
      </c>
      <c r="U32" s="1578">
        <f t="shared" si="13"/>
        <v>100</v>
      </c>
      <c r="V32" s="1577" t="s">
        <v>8</v>
      </c>
      <c r="W32" s="1578">
        <f t="shared" si="14"/>
        <v>100</v>
      </c>
      <c r="X32" s="1571"/>
      <c r="Y32" s="3393"/>
      <c r="Z32" s="1579">
        <f t="shared" si="15"/>
        <v>111</v>
      </c>
      <c r="AA32" s="1580">
        <f t="shared" si="3"/>
        <v>1</v>
      </c>
      <c r="AB32" s="1580">
        <f t="shared" si="4"/>
        <v>1</v>
      </c>
      <c r="AC32" s="1580">
        <f t="shared" si="5"/>
        <v>1</v>
      </c>
    </row>
    <row r="33" spans="1:29" ht="15">
      <c r="A33" s="2945" t="s">
        <v>2766</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1"/>
      <c r="M33" s="2143"/>
      <c r="N33" s="2143"/>
      <c r="O33" s="2143"/>
      <c r="P33" s="3394" t="s">
        <v>551</v>
      </c>
      <c r="Q33" s="1576" t="str">
        <f t="shared" si="11"/>
        <v>建筑类型</v>
      </c>
      <c r="R33" s="1577" t="s">
        <v>8</v>
      </c>
      <c r="S33" s="1578">
        <f t="shared" si="12"/>
        <v>100</v>
      </c>
      <c r="T33" s="1577" t="s">
        <v>8</v>
      </c>
      <c r="U33" s="1578">
        <f t="shared" si="13"/>
        <v>100</v>
      </c>
      <c r="V33" s="1577" t="s">
        <v>8</v>
      </c>
      <c r="W33" s="1578">
        <f t="shared" si="14"/>
        <v>100</v>
      </c>
      <c r="X33" s="1571"/>
      <c r="Y33" s="3395" t="s">
        <v>551</v>
      </c>
      <c r="Z33" s="1579" t="str">
        <f t="shared" si="15"/>
        <v>建筑类型</v>
      </c>
      <c r="AA33" s="1580">
        <f t="shared" si="3"/>
        <v>1</v>
      </c>
      <c r="AB33" s="1580">
        <f t="shared" si="4"/>
        <v>1</v>
      </c>
      <c r="AC33" s="1580">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395"/>
      <c r="Q34" s="1609" t="str">
        <f t="shared" si="11"/>
        <v>项目建筑规模</v>
      </c>
      <c r="R34" s="1581" t="s">
        <v>8</v>
      </c>
      <c r="S34" s="1582" t="e">
        <f t="shared" si="12"/>
        <v>#N/A</v>
      </c>
      <c r="T34" s="1581" t="s">
        <v>8</v>
      </c>
      <c r="U34" s="1582" t="e">
        <f t="shared" si="13"/>
        <v>#N/A</v>
      </c>
      <c r="V34" s="1581" t="s">
        <v>8</v>
      </c>
      <c r="W34" s="1582" t="e">
        <f t="shared" si="14"/>
        <v>#N/A</v>
      </c>
      <c r="X34" s="1583"/>
      <c r="Y34" s="3395"/>
      <c r="Z34" s="1584" t="str">
        <f t="shared" si="15"/>
        <v>项目建筑规模</v>
      </c>
      <c r="AA34" s="1580" t="e">
        <f t="shared" si="3"/>
        <v>#N/A</v>
      </c>
      <c r="AB34" s="1580" t="e">
        <f t="shared" si="4"/>
        <v>#N/A</v>
      </c>
      <c r="AC34" s="1580"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395"/>
      <c r="Q35" s="1576" t="str">
        <f t="shared" si="11"/>
        <v>建筑结构</v>
      </c>
      <c r="R35" s="1577" t="s">
        <v>8</v>
      </c>
      <c r="S35" s="1578">
        <f t="shared" si="12"/>
        <v>100</v>
      </c>
      <c r="T35" s="1577" t="s">
        <v>8</v>
      </c>
      <c r="U35" s="1578">
        <f t="shared" si="13"/>
        <v>100</v>
      </c>
      <c r="V35" s="1577" t="s">
        <v>8</v>
      </c>
      <c r="W35" s="1578">
        <f t="shared" si="14"/>
        <v>100</v>
      </c>
      <c r="X35" s="1571"/>
      <c r="Y35" s="3395"/>
      <c r="Z35" s="1579" t="str">
        <f t="shared" si="15"/>
        <v>建筑结构</v>
      </c>
      <c r="AA35" s="1580">
        <f t="shared" si="3"/>
        <v>1</v>
      </c>
      <c r="AB35" s="1580">
        <f t="shared" si="4"/>
        <v>1</v>
      </c>
      <c r="AC35" s="1580">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395"/>
      <c r="Q36" s="1576" t="str">
        <f t="shared" si="11"/>
        <v>公共部分装修</v>
      </c>
      <c r="R36" s="1577" t="s">
        <v>8</v>
      </c>
      <c r="S36" s="1578">
        <f t="shared" si="12"/>
        <v>100</v>
      </c>
      <c r="T36" s="1577" t="s">
        <v>8</v>
      </c>
      <c r="U36" s="1578">
        <f t="shared" si="13"/>
        <v>100</v>
      </c>
      <c r="V36" s="1577" t="s">
        <v>8</v>
      </c>
      <c r="W36" s="1578">
        <f t="shared" si="14"/>
        <v>100</v>
      </c>
      <c r="X36" s="1571"/>
      <c r="Y36" s="3395"/>
      <c r="Z36" s="1579" t="str">
        <f t="shared" si="15"/>
        <v>公共部分装修</v>
      </c>
      <c r="AA36" s="1580">
        <f t="shared" si="3"/>
        <v>1</v>
      </c>
      <c r="AB36" s="1580">
        <f t="shared" si="4"/>
        <v>1</v>
      </c>
      <c r="AC36" s="1580">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1"/>
      <c r="M37" s="2143"/>
      <c r="N37" s="2143"/>
      <c r="O37" s="2143"/>
      <c r="P37" s="3395"/>
      <c r="Q37" s="1576" t="str">
        <f t="shared" si="11"/>
        <v>成新度</v>
      </c>
      <c r="R37" s="1577" t="s">
        <v>8</v>
      </c>
      <c r="S37" s="1578" t="e">
        <f t="shared" si="12"/>
        <v>#N/A</v>
      </c>
      <c r="T37" s="1577" t="s">
        <v>8</v>
      </c>
      <c r="U37" s="1578" t="e">
        <f t="shared" si="13"/>
        <v>#N/A</v>
      </c>
      <c r="V37" s="1577" t="s">
        <v>8</v>
      </c>
      <c r="W37" s="1578" t="e">
        <f t="shared" si="14"/>
        <v>#N/A</v>
      </c>
      <c r="X37" s="1571"/>
      <c r="Y37" s="3395"/>
      <c r="Z37" s="1579" t="str">
        <f t="shared" si="15"/>
        <v>成新度</v>
      </c>
      <c r="AA37" s="1580" t="e">
        <f t="shared" si="3"/>
        <v>#N/A</v>
      </c>
      <c r="AB37" s="1580" t="e">
        <f t="shared" si="4"/>
        <v>#N/A</v>
      </c>
      <c r="AC37" s="1580"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395"/>
      <c r="Q38" s="1154" t="str">
        <f t="shared" si="11"/>
        <v>写字楼等级</v>
      </c>
      <c r="R38" s="1572" t="s">
        <v>8</v>
      </c>
      <c r="S38" s="1573">
        <f t="shared" si="12"/>
        <v>100</v>
      </c>
      <c r="T38" s="1572" t="s">
        <v>8</v>
      </c>
      <c r="U38" s="1573">
        <f t="shared" si="13"/>
        <v>100</v>
      </c>
      <c r="V38" s="1572" t="s">
        <v>8</v>
      </c>
      <c r="W38" s="1573">
        <f t="shared" si="14"/>
        <v>100</v>
      </c>
      <c r="X38" s="1574"/>
      <c r="Y38" s="3395"/>
      <c r="Z38" s="1153" t="str">
        <f t="shared" si="15"/>
        <v>写字楼等级</v>
      </c>
      <c r="AA38" s="1575">
        <f t="shared" si="3"/>
        <v>1</v>
      </c>
      <c r="AB38" s="1575">
        <f t="shared" si="4"/>
        <v>1</v>
      </c>
      <c r="AC38" s="1575">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395" t="s">
        <v>551</v>
      </c>
      <c r="Q39" s="1576" t="str">
        <f t="shared" si="11"/>
        <v>物业管理</v>
      </c>
      <c r="R39" s="1577" t="s">
        <v>8</v>
      </c>
      <c r="S39" s="1578">
        <f t="shared" si="12"/>
        <v>100</v>
      </c>
      <c r="T39" s="1577" t="s">
        <v>8</v>
      </c>
      <c r="U39" s="1578">
        <f t="shared" si="13"/>
        <v>100</v>
      </c>
      <c r="V39" s="1577" t="s">
        <v>8</v>
      </c>
      <c r="W39" s="1578">
        <f t="shared" si="14"/>
        <v>100</v>
      </c>
      <c r="X39" s="1571"/>
      <c r="Y39" s="3395" t="s">
        <v>551</v>
      </c>
      <c r="Z39" s="1579" t="str">
        <f t="shared" si="15"/>
        <v>物业管理</v>
      </c>
      <c r="AA39" s="1580">
        <f t="shared" si="3"/>
        <v>1</v>
      </c>
      <c r="AB39" s="1580">
        <f t="shared" si="4"/>
        <v>1</v>
      </c>
      <c r="AC39" s="1580">
        <f t="shared" si="5"/>
        <v>1</v>
      </c>
    </row>
    <row r="40" spans="1:29" ht="15">
      <c r="A40" s="597"/>
      <c r="B40" s="1900" t="s">
        <v>2573</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395"/>
      <c r="Q40" s="1576" t="str">
        <f t="shared" si="11"/>
        <v>市政基础设施</v>
      </c>
      <c r="R40" s="1577" t="s">
        <v>8</v>
      </c>
      <c r="S40" s="1578">
        <f t="shared" si="12"/>
        <v>100</v>
      </c>
      <c r="T40" s="1577" t="s">
        <v>8</v>
      </c>
      <c r="U40" s="1578">
        <f t="shared" si="13"/>
        <v>100</v>
      </c>
      <c r="V40" s="1577" t="s">
        <v>8</v>
      </c>
      <c r="W40" s="1578">
        <f t="shared" si="14"/>
        <v>100</v>
      </c>
      <c r="X40" s="1571"/>
      <c r="Y40" s="3395"/>
      <c r="Z40" s="1579" t="str">
        <f t="shared" si="15"/>
        <v>市政基础设施</v>
      </c>
      <c r="AA40" s="1580">
        <f t="shared" si="3"/>
        <v>1</v>
      </c>
      <c r="AB40" s="1580">
        <f t="shared" si="4"/>
        <v>1</v>
      </c>
      <c r="AC40" s="1580">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395"/>
      <c r="Q41" s="1576" t="str">
        <f t="shared" si="11"/>
        <v>层高</v>
      </c>
      <c r="R41" s="1577" t="s">
        <v>8</v>
      </c>
      <c r="S41" s="1578">
        <f t="shared" si="12"/>
        <v>100</v>
      </c>
      <c r="T41" s="1577" t="s">
        <v>8</v>
      </c>
      <c r="U41" s="1578">
        <f t="shared" si="13"/>
        <v>100</v>
      </c>
      <c r="V41" s="1577" t="s">
        <v>8</v>
      </c>
      <c r="W41" s="1578">
        <f t="shared" si="14"/>
        <v>100</v>
      </c>
      <c r="X41" s="1571"/>
      <c r="Y41" s="3395"/>
      <c r="Z41" s="1579" t="str">
        <f t="shared" si="15"/>
        <v>层高</v>
      </c>
      <c r="AA41" s="1580">
        <f t="shared" si="3"/>
        <v>1</v>
      </c>
      <c r="AB41" s="1580">
        <f t="shared" si="4"/>
        <v>1</v>
      </c>
      <c r="AC41" s="1580">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395"/>
      <c r="Q42" s="1609" t="str">
        <f t="shared" si="11"/>
        <v>单套建筑面积</v>
      </c>
      <c r="R42" s="1581" t="s">
        <v>8</v>
      </c>
      <c r="S42" s="1582">
        <f t="shared" si="12"/>
        <v>100</v>
      </c>
      <c r="T42" s="1581" t="s">
        <v>8</v>
      </c>
      <c r="U42" s="1582">
        <f t="shared" si="13"/>
        <v>100</v>
      </c>
      <c r="V42" s="1581" t="s">
        <v>8</v>
      </c>
      <c r="W42" s="1582">
        <f t="shared" si="14"/>
        <v>100</v>
      </c>
      <c r="X42" s="1583"/>
      <c r="Y42" s="3395"/>
      <c r="Z42" s="1584" t="str">
        <f t="shared" si="15"/>
        <v>单套建筑面积</v>
      </c>
      <c r="AA42" s="1580">
        <f t="shared" si="3"/>
        <v>1</v>
      </c>
      <c r="AB42" s="1580">
        <f t="shared" si="4"/>
        <v>1</v>
      </c>
      <c r="AC42" s="1580">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395"/>
      <c r="Q43" s="1576" t="str">
        <f t="shared" si="11"/>
        <v>内部装修</v>
      </c>
      <c r="R43" s="1577" t="s">
        <v>8</v>
      </c>
      <c r="S43" s="1578">
        <f t="shared" si="12"/>
        <v>100</v>
      </c>
      <c r="T43" s="1577" t="s">
        <v>8</v>
      </c>
      <c r="U43" s="1578">
        <f t="shared" si="13"/>
        <v>100</v>
      </c>
      <c r="V43" s="1577" t="s">
        <v>8</v>
      </c>
      <c r="W43" s="1578">
        <f t="shared" si="14"/>
        <v>100</v>
      </c>
      <c r="X43" s="1571"/>
      <c r="Y43" s="3395"/>
      <c r="Z43" s="1579" t="str">
        <f t="shared" si="15"/>
        <v>内部装修</v>
      </c>
      <c r="AA43" s="1580">
        <f t="shared" si="3"/>
        <v>1</v>
      </c>
      <c r="AB43" s="1580">
        <f t="shared" si="4"/>
        <v>1</v>
      </c>
      <c r="AC43" s="1580">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395"/>
      <c r="Q44" s="1576" t="str">
        <f t="shared" si="11"/>
        <v>内部装修维护情况</v>
      </c>
      <c r="R44" s="1577" t="s">
        <v>8</v>
      </c>
      <c r="S44" s="1578">
        <f t="shared" si="12"/>
        <v>100</v>
      </c>
      <c r="T44" s="1577" t="s">
        <v>8</v>
      </c>
      <c r="U44" s="1578">
        <f t="shared" si="13"/>
        <v>100</v>
      </c>
      <c r="V44" s="1577" t="s">
        <v>8</v>
      </c>
      <c r="W44" s="1578">
        <f t="shared" si="14"/>
        <v>100</v>
      </c>
      <c r="X44" s="1571"/>
      <c r="Y44" s="3395"/>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395"/>
      <c r="Q45" s="1154">
        <f t="shared" si="11"/>
        <v>111</v>
      </c>
      <c r="R45" s="1572" t="s">
        <v>8</v>
      </c>
      <c r="S45" s="1573">
        <f t="shared" si="12"/>
        <v>100</v>
      </c>
      <c r="T45" s="1572" t="s">
        <v>8</v>
      </c>
      <c r="U45" s="1573">
        <f t="shared" si="13"/>
        <v>100</v>
      </c>
      <c r="V45" s="1572" t="s">
        <v>8</v>
      </c>
      <c r="W45" s="1573">
        <f t="shared" si="14"/>
        <v>100</v>
      </c>
      <c r="X45" s="1574"/>
      <c r="Y45" s="3395"/>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395"/>
      <c r="Q46" s="1576">
        <f t="shared" si="11"/>
        <v>111</v>
      </c>
      <c r="R46" s="1577" t="s">
        <v>8</v>
      </c>
      <c r="S46" s="1578">
        <f t="shared" si="12"/>
        <v>100</v>
      </c>
      <c r="T46" s="1577" t="s">
        <v>8</v>
      </c>
      <c r="U46" s="1578">
        <f t="shared" si="13"/>
        <v>100</v>
      </c>
      <c r="V46" s="1577" t="s">
        <v>8</v>
      </c>
      <c r="W46" s="1578">
        <f t="shared" si="14"/>
        <v>100</v>
      </c>
      <c r="X46" s="1571"/>
      <c r="Y46" s="3395"/>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52"/>
      <c r="Q47" s="1576">
        <f t="shared" si="11"/>
        <v>111</v>
      </c>
      <c r="R47" s="1577" t="s">
        <v>8</v>
      </c>
      <c r="S47" s="1578">
        <f t="shared" si="12"/>
        <v>100</v>
      </c>
      <c r="T47" s="1577" t="s">
        <v>8</v>
      </c>
      <c r="U47" s="1578">
        <f t="shared" si="13"/>
        <v>100</v>
      </c>
      <c r="V47" s="1577" t="s">
        <v>8</v>
      </c>
      <c r="W47" s="1578">
        <f t="shared" si="14"/>
        <v>100</v>
      </c>
      <c r="X47" s="1571"/>
      <c r="Y47" s="3452"/>
      <c r="Z47" s="1579">
        <f t="shared" si="15"/>
        <v>111</v>
      </c>
      <c r="AA47" s="1580">
        <f t="shared" si="3"/>
        <v>1</v>
      </c>
      <c r="AB47" s="1580">
        <f t="shared" si="4"/>
        <v>1</v>
      </c>
      <c r="AC47" s="1580">
        <f t="shared" si="5"/>
        <v>1</v>
      </c>
    </row>
    <row r="48" spans="1:29" ht="15">
      <c r="A48" s="610" t="s">
        <v>739</v>
      </c>
      <c r="B48" s="890"/>
      <c r="C48" s="2661" t="s">
        <v>1</v>
      </c>
      <c r="D48" s="2662"/>
      <c r="E48" s="2663"/>
      <c r="F48" s="2664"/>
      <c r="G48" s="2665"/>
      <c r="H48" s="2666"/>
      <c r="I48" s="2663"/>
      <c r="J48" s="2666"/>
      <c r="K48" s="1615"/>
      <c r="L48" s="2153"/>
      <c r="M48" s="2143"/>
      <c r="N48" s="2143"/>
      <c r="O48" s="2143"/>
      <c r="P48" s="3356" t="str">
        <f>A48</f>
        <v>成交单价（元/平方米）</v>
      </c>
      <c r="Q48" s="3358"/>
      <c r="R48" s="3451">
        <f>E48</f>
        <v>0</v>
      </c>
      <c r="S48" s="3451"/>
      <c r="T48" s="3451">
        <f>G48</f>
        <v>0</v>
      </c>
      <c r="U48" s="3451"/>
      <c r="V48" s="3451">
        <f>I48</f>
        <v>0</v>
      </c>
      <c r="W48" s="3451"/>
      <c r="X48" s="1563"/>
      <c r="Y48" s="1585"/>
      <c r="Z48" s="1563"/>
      <c r="AA48" s="1563"/>
      <c r="AB48" s="1563"/>
      <c r="AC48" s="1563"/>
    </row>
    <row r="49" spans="1:29" ht="15.75" thickBot="1">
      <c r="A49" s="618" t="s">
        <v>2771</v>
      </c>
      <c r="B49" s="891"/>
      <c r="C49" s="2667" t="e">
        <f>R50</f>
        <v>#DIV/0!</v>
      </c>
      <c r="D49" s="2668"/>
      <c r="E49" s="2669" t="e">
        <f>R49</f>
        <v>#DIV/0!</v>
      </c>
      <c r="F49" s="2669"/>
      <c r="G49" s="2667" t="e">
        <f>T49</f>
        <v>#DIV/0!</v>
      </c>
      <c r="H49" s="2668"/>
      <c r="I49" s="2669" t="e">
        <f>V49</f>
        <v>#DIV/0!</v>
      </c>
      <c r="J49" s="2668"/>
      <c r="K49" s="1616"/>
      <c r="L49" s="2153"/>
      <c r="M49" s="2143"/>
      <c r="N49" s="2143"/>
      <c r="O49" s="2143"/>
      <c r="P49" s="3356" t="str">
        <f>A49</f>
        <v>比较价格（元/平方米）</v>
      </c>
      <c r="Q49" s="3358"/>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3"/>
      <c r="Y49" s="1563"/>
      <c r="Z49" s="1563"/>
      <c r="AA49" s="1563"/>
      <c r="AB49" s="1563"/>
      <c r="AC49" s="1563"/>
    </row>
    <row r="50" spans="1:29" ht="15.75" thickBot="1">
      <c r="A50" s="624" t="s">
        <v>2944</v>
      </c>
      <c r="B50" s="625"/>
      <c r="C50" s="2670" t="e">
        <f>R50</f>
        <v>#DIV/0!</v>
      </c>
      <c r="D50" s="2670"/>
      <c r="E50" s="2670"/>
      <c r="F50" s="2670"/>
      <c r="G50" s="2670"/>
      <c r="H50" s="2670"/>
      <c r="I50" s="2670"/>
      <c r="J50" s="2670"/>
      <c r="K50" s="1617"/>
      <c r="L50" s="2153"/>
      <c r="M50" s="2143"/>
      <c r="N50" s="2143"/>
      <c r="O50" s="2143"/>
      <c r="P50" s="3453" t="str">
        <f>A50</f>
        <v>估价对象XX用房的比较价格（楼面单价，元/平方米）</v>
      </c>
      <c r="Q50" s="3356"/>
      <c r="R50" s="3450" t="e">
        <f>IF(F1="售价",ROUND(AVERAGE(R49:V49),0),ROUND(AVERAGE(R49:V49),1))</f>
        <v>#DIV/0!</v>
      </c>
      <c r="S50" s="3450"/>
      <c r="T50" s="3450"/>
      <c r="U50" s="3450"/>
      <c r="V50" s="3450"/>
      <c r="W50" s="3450"/>
      <c r="X50" s="1563"/>
      <c r="Y50" s="1563"/>
      <c r="Z50" s="1563"/>
      <c r="AA50" s="1563"/>
      <c r="AB50" s="1563"/>
      <c r="AC50" s="1563"/>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8"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8" t="s">
        <v>575</v>
      </c>
      <c r="B58" s="1563"/>
      <c r="C58" s="1587"/>
      <c r="D58" s="1587"/>
      <c r="E58" s="1587"/>
      <c r="F58" s="1589"/>
      <c r="G58" s="1589"/>
      <c r="H58" s="1587"/>
      <c r="I58" s="1587"/>
      <c r="J58" s="1587"/>
      <c r="K58" s="1590"/>
      <c r="L58" s="1586"/>
      <c r="M58" s="1587"/>
      <c r="N58" s="1587"/>
      <c r="O58" s="1587"/>
      <c r="P58" s="2219"/>
      <c r="Q58" s="2167"/>
      <c r="R58" s="2154"/>
      <c r="S58" s="2154"/>
      <c r="T58" s="2154"/>
      <c r="U58" s="2154"/>
      <c r="V58" s="2154"/>
      <c r="W58" s="2154"/>
      <c r="X58" s="2154"/>
      <c r="Y58" s="2154"/>
      <c r="Z58" s="2154"/>
      <c r="AA58" s="2154"/>
      <c r="AB58" s="2154"/>
      <c r="AC58" s="2154"/>
    </row>
    <row r="59" spans="1:29" s="1350" customFormat="1" ht="15">
      <c r="A59" s="648" t="s">
        <v>530</v>
      </c>
      <c r="B59" s="649"/>
      <c r="C59" s="2840" t="str">
        <f>YEAR(C7)&amp;"-"&amp;MONTH(C7)</f>
        <v>2017-9</v>
      </c>
      <c r="D59" s="2842">
        <f>EDATE(C59,-1)</f>
        <v>42948</v>
      </c>
      <c r="E59" s="2842">
        <f t="shared" ref="E59:O59" si="16">EDATE(D59,-1)</f>
        <v>42917</v>
      </c>
      <c r="F59" s="2842">
        <f t="shared" si="16"/>
        <v>42887</v>
      </c>
      <c r="G59" s="2842">
        <f t="shared" si="16"/>
        <v>42856</v>
      </c>
      <c r="H59" s="2842">
        <f t="shared" si="16"/>
        <v>42826</v>
      </c>
      <c r="I59" s="2842">
        <f t="shared" si="16"/>
        <v>42795</v>
      </c>
      <c r="J59" s="2842">
        <f t="shared" si="16"/>
        <v>42767</v>
      </c>
      <c r="K59" s="2842">
        <f t="shared" si="16"/>
        <v>42736</v>
      </c>
      <c r="L59" s="2842">
        <f t="shared" si="16"/>
        <v>42705</v>
      </c>
      <c r="M59" s="2842">
        <f t="shared" si="16"/>
        <v>42675</v>
      </c>
      <c r="N59" s="2842">
        <f t="shared" si="16"/>
        <v>42644</v>
      </c>
      <c r="O59" s="2842">
        <f t="shared" si="16"/>
        <v>42614</v>
      </c>
      <c r="P59" s="2220"/>
      <c r="Q59" s="2170"/>
      <c r="R59" s="2170"/>
      <c r="S59" s="2170"/>
      <c r="T59" s="2170"/>
      <c r="U59" s="2170"/>
      <c r="V59" s="2170"/>
      <c r="W59" s="2170"/>
      <c r="X59" s="2170"/>
      <c r="Y59" s="2170"/>
      <c r="Z59" s="2170"/>
      <c r="AA59" s="2170"/>
      <c r="AB59" s="2170"/>
      <c r="AC59" s="2170"/>
    </row>
    <row r="60" spans="1:29" s="1223"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2"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2"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2"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2"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2"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2"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2565</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2566</v>
      </c>
      <c r="C83" s="2632" t="s">
        <v>2567</v>
      </c>
      <c r="D83" s="2632" t="s">
        <v>2568</v>
      </c>
      <c r="E83" s="2632" t="s">
        <v>2569</v>
      </c>
      <c r="F83" s="2632" t="s">
        <v>2570</v>
      </c>
      <c r="G83" s="2632" t="s">
        <v>2571</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3" customFormat="1" ht="27.75" thickTop="1">
      <c r="A87" s="712"/>
      <c r="B87" s="676" t="s">
        <v>788</v>
      </c>
      <c r="C87" s="691"/>
      <c r="D87" s="691"/>
      <c r="E87" s="691"/>
      <c r="F87" s="691"/>
      <c r="G87" s="691"/>
      <c r="H87" s="691"/>
      <c r="I87" s="691"/>
      <c r="J87" s="691"/>
      <c r="K87" s="691"/>
      <c r="L87" s="893"/>
      <c r="M87" s="894"/>
      <c r="N87" s="2171"/>
      <c r="O87" s="2171"/>
      <c r="P87" s="2223"/>
      <c r="Q87" s="2167"/>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71"/>
      <c r="O89" s="2171"/>
      <c r="P89" s="2223"/>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3"/>
      <c r="M93" s="894"/>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6"/>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2"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2"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7">
        <v>0.5</v>
      </c>
      <c r="D111" s="897">
        <v>0.6</v>
      </c>
      <c r="E111" s="897">
        <v>0.7</v>
      </c>
      <c r="F111" s="897">
        <v>0.8</v>
      </c>
      <c r="G111" s="897">
        <v>0.9</v>
      </c>
      <c r="H111" s="897">
        <v>1.0001</v>
      </c>
      <c r="I111" s="908"/>
      <c r="J111" s="908"/>
      <c r="K111" s="909"/>
      <c r="L111" s="910"/>
      <c r="M111" s="911"/>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2"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2564</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20" t="s">
        <v>790</v>
      </c>
      <c r="C119" s="721"/>
      <c r="D119" s="721"/>
      <c r="E119" s="721"/>
      <c r="F119" s="721"/>
      <c r="G119" s="721"/>
      <c r="H119" s="721"/>
      <c r="I119" s="721"/>
      <c r="J119" s="721"/>
      <c r="K119" s="721"/>
      <c r="L119" s="921"/>
      <c r="M119" s="922"/>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2"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2"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2"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2"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6"/>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6"/>
      <c r="D2" s="2136"/>
      <c r="E2" s="213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522</v>
      </c>
      <c r="B4" s="516"/>
      <c r="C4" s="3364" t="s">
        <v>523</v>
      </c>
      <c r="D4" s="3365"/>
      <c r="E4" s="3404" t="s">
        <v>524</v>
      </c>
      <c r="F4" s="3405"/>
      <c r="G4" s="3364" t="s">
        <v>525</v>
      </c>
      <c r="H4" s="3365"/>
      <c r="I4" s="3364" t="s">
        <v>526</v>
      </c>
      <c r="J4" s="3365"/>
      <c r="K4" s="517" t="s">
        <v>527</v>
      </c>
      <c r="L4" s="2142"/>
      <c r="M4" s="2143"/>
      <c r="N4" s="2143"/>
      <c r="O4" s="2143"/>
      <c r="P4" s="3366" t="s">
        <v>528</v>
      </c>
      <c r="Q4" s="3367"/>
      <c r="R4" s="3372" t="s">
        <v>524</v>
      </c>
      <c r="S4" s="3373"/>
      <c r="T4" s="3372" t="s">
        <v>525</v>
      </c>
      <c r="U4" s="3373"/>
      <c r="V4" s="3359" t="s">
        <v>526</v>
      </c>
      <c r="W4" s="3359"/>
      <c r="X4" s="1571"/>
      <c r="Y4" s="3372" t="s">
        <v>528</v>
      </c>
      <c r="Z4" s="3373"/>
      <c r="AA4" s="3361" t="s">
        <v>524</v>
      </c>
      <c r="AB4" s="3362" t="s">
        <v>525</v>
      </c>
      <c r="AC4" s="3361" t="s">
        <v>526</v>
      </c>
    </row>
    <row r="5" spans="1:29" ht="15">
      <c r="A5" s="518"/>
      <c r="B5" s="519"/>
      <c r="C5" s="3380" t="s">
        <v>2938</v>
      </c>
      <c r="D5" s="3381"/>
      <c r="E5" s="3406" t="s">
        <v>2939</v>
      </c>
      <c r="F5" s="3407"/>
      <c r="G5" s="3380" t="s">
        <v>2940</v>
      </c>
      <c r="H5" s="3381"/>
      <c r="I5" s="3380" t="s">
        <v>2941</v>
      </c>
      <c r="J5" s="3381"/>
      <c r="K5" s="517"/>
      <c r="L5" s="2142"/>
      <c r="M5" s="2143"/>
      <c r="N5" s="2143"/>
      <c r="O5" s="2143"/>
      <c r="P5" s="3368"/>
      <c r="Q5" s="3369"/>
      <c r="R5" s="3374"/>
      <c r="S5" s="3375"/>
      <c r="T5" s="3374"/>
      <c r="U5" s="3375"/>
      <c r="V5" s="3359"/>
      <c r="W5" s="3359"/>
      <c r="X5" s="1571"/>
      <c r="Y5" s="3374"/>
      <c r="Z5" s="3375"/>
      <c r="AA5" s="3362"/>
      <c r="AB5" s="3362"/>
      <c r="AC5" s="3362"/>
    </row>
    <row r="6" spans="1:29" ht="15.75" thickBot="1">
      <c r="A6" s="520"/>
      <c r="B6" s="521"/>
      <c r="C6" s="3378" t="s">
        <v>2942</v>
      </c>
      <c r="D6" s="3379"/>
      <c r="E6" s="3402" t="s">
        <v>2942</v>
      </c>
      <c r="F6" s="3403"/>
      <c r="G6" s="3378" t="s">
        <v>2942</v>
      </c>
      <c r="H6" s="3379"/>
      <c r="I6" s="3378" t="s">
        <v>2942</v>
      </c>
      <c r="J6" s="3379"/>
      <c r="K6" s="517" t="s">
        <v>529</v>
      </c>
      <c r="L6" s="2142"/>
      <c r="M6" s="2143"/>
      <c r="N6" s="2143"/>
      <c r="O6" s="2143"/>
      <c r="P6" s="3370"/>
      <c r="Q6" s="3371"/>
      <c r="R6" s="3374"/>
      <c r="S6" s="3375"/>
      <c r="T6" s="3376"/>
      <c r="U6" s="3377"/>
      <c r="V6" s="3359"/>
      <c r="W6" s="3359"/>
      <c r="X6" s="1571"/>
      <c r="Y6" s="3376"/>
      <c r="Z6" s="3377"/>
      <c r="AA6" s="3363"/>
      <c r="AB6" s="3363"/>
      <c r="AC6" s="3363"/>
    </row>
    <row r="7" spans="1:29" s="1223" customFormat="1" ht="15.75" thickBot="1">
      <c r="A7" s="2950"/>
      <c r="B7" s="2957" t="s">
        <v>530</v>
      </c>
      <c r="C7" s="522">
        <f>'数据-取费表'!B2</f>
        <v>43005</v>
      </c>
      <c r="D7" s="523">
        <v>100</v>
      </c>
      <c r="E7" s="524"/>
      <c r="F7" s="525">
        <f>SUMIF(52:52,YEAR(E7)&amp;"-"&amp;MONTH(E7),53:53)</f>
        <v>0</v>
      </c>
      <c r="G7" s="524"/>
      <c r="H7" s="523">
        <f>SUMIF(52:52,YEAR(G7)&amp;"-"&amp;MONTH(G7),53:53)</f>
        <v>0</v>
      </c>
      <c r="I7" s="524"/>
      <c r="J7" s="523">
        <f>SUMIF(52:52,YEAR(I7)&amp;"-"&amp;MONTH(I7),53:53)</f>
        <v>0</v>
      </c>
      <c r="K7" s="527"/>
      <c r="L7" s="2144"/>
      <c r="M7" s="2145"/>
      <c r="N7" s="2145"/>
      <c r="O7" s="2145"/>
      <c r="P7" s="3389" t="s">
        <v>531</v>
      </c>
      <c r="Q7" s="3391"/>
      <c r="R7" s="1572" t="s">
        <v>8</v>
      </c>
      <c r="S7" s="1573">
        <f t="shared" ref="S7:S15" si="0">F7</f>
        <v>0</v>
      </c>
      <c r="T7" s="1572" t="s">
        <v>8</v>
      </c>
      <c r="U7" s="1573">
        <f t="shared" ref="U7:U15" si="1">H7</f>
        <v>0</v>
      </c>
      <c r="V7" s="1572" t="s">
        <v>8</v>
      </c>
      <c r="W7" s="1573">
        <f t="shared" ref="W7:W15" si="2">J7</f>
        <v>0</v>
      </c>
      <c r="X7" s="1574"/>
      <c r="Y7" s="3389" t="s">
        <v>531</v>
      </c>
      <c r="Z7" s="3390"/>
      <c r="AA7" s="1575" t="e">
        <f>D7/F7</f>
        <v>#DIV/0!</v>
      </c>
      <c r="AB7" s="1575" t="e">
        <f>D7/H7</f>
        <v>#DIV/0!</v>
      </c>
      <c r="AC7" s="1575" t="e">
        <f>D7/J7</f>
        <v>#DIV/0!</v>
      </c>
    </row>
    <row r="8" spans="1:29" s="1223" customFormat="1" ht="15.75" thickBot="1">
      <c r="A8" s="2951"/>
      <c r="B8" s="2958"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389" t="s">
        <v>534</v>
      </c>
      <c r="Q8" s="3390"/>
      <c r="R8" s="1572" t="s">
        <v>8</v>
      </c>
      <c r="S8" s="1573">
        <f t="shared" si="0"/>
        <v>0</v>
      </c>
      <c r="T8" s="1572" t="s">
        <v>8</v>
      </c>
      <c r="U8" s="1573">
        <f t="shared" si="1"/>
        <v>0</v>
      </c>
      <c r="V8" s="1572" t="s">
        <v>8</v>
      </c>
      <c r="W8" s="1573">
        <f t="shared" si="2"/>
        <v>0</v>
      </c>
      <c r="X8" s="1574"/>
      <c r="Y8" s="3389" t="s">
        <v>534</v>
      </c>
      <c r="Z8" s="3390"/>
      <c r="AA8" s="1575" t="e">
        <f t="shared" ref="AA8:AA40" si="3">D8/F8</f>
        <v>#DIV/0!</v>
      </c>
      <c r="AB8" s="1575" t="e">
        <f t="shared" ref="AB8:AB40" si="4">D8/H8</f>
        <v>#DIV/0!</v>
      </c>
      <c r="AC8" s="1575" t="e">
        <f t="shared" ref="AC8:AC40" si="5">D8/J8</f>
        <v>#DIV/0!</v>
      </c>
    </row>
    <row r="9" spans="1:29" s="1223" customFormat="1" ht="15">
      <c r="A9" s="2952"/>
      <c r="B9" s="2959" t="s">
        <v>2767</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58" t="s">
        <v>536</v>
      </c>
      <c r="Q9" s="1154" t="str">
        <f t="shared" ref="Q9:Q15" si="6">B9</f>
        <v>用途</v>
      </c>
      <c r="R9" s="1572" t="s">
        <v>8</v>
      </c>
      <c r="S9" s="1573">
        <f t="shared" si="0"/>
        <v>100</v>
      </c>
      <c r="T9" s="1572" t="s">
        <v>8</v>
      </c>
      <c r="U9" s="1573">
        <f t="shared" si="1"/>
        <v>100</v>
      </c>
      <c r="V9" s="1572" t="s">
        <v>8</v>
      </c>
      <c r="W9" s="1573">
        <f t="shared" si="2"/>
        <v>100</v>
      </c>
      <c r="X9" s="1574"/>
      <c r="Y9" s="3286"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58"/>
      <c r="Q10" s="1154" t="str">
        <f t="shared" si="6"/>
        <v>土地使用年限（年）</v>
      </c>
      <c r="R10" s="1572" t="s">
        <v>8</v>
      </c>
      <c r="S10" s="1573">
        <f t="shared" si="0"/>
        <v>100</v>
      </c>
      <c r="T10" s="1572" t="s">
        <v>8</v>
      </c>
      <c r="U10" s="1573">
        <f t="shared" si="1"/>
        <v>100</v>
      </c>
      <c r="V10" s="1572" t="s">
        <v>8</v>
      </c>
      <c r="W10" s="1573">
        <f t="shared" si="2"/>
        <v>100</v>
      </c>
      <c r="X10" s="1574"/>
      <c r="Y10" s="3286"/>
      <c r="Z10" s="1153" t="str">
        <f t="shared" si="7"/>
        <v>土地使用年限（年）</v>
      </c>
      <c r="AA10" s="1575">
        <f t="shared" si="3"/>
        <v>1</v>
      </c>
      <c r="AB10" s="1575">
        <f t="shared" si="4"/>
        <v>1</v>
      </c>
      <c r="AC10" s="1575">
        <f t="shared" si="5"/>
        <v>1</v>
      </c>
    </row>
    <row r="11" spans="1:29" ht="15">
      <c r="A11" s="2954"/>
      <c r="B11" s="2958" t="s">
        <v>2769</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58"/>
      <c r="Q11" s="1154" t="str">
        <f t="shared" si="6"/>
        <v>容积率</v>
      </c>
      <c r="R11" s="1572" t="s">
        <v>8</v>
      </c>
      <c r="S11" s="1573" t="e">
        <f t="shared" si="0"/>
        <v>#N/A</v>
      </c>
      <c r="T11" s="1572" t="s">
        <v>8</v>
      </c>
      <c r="U11" s="1573" t="e">
        <f t="shared" si="1"/>
        <v>#N/A</v>
      </c>
      <c r="V11" s="1572" t="s">
        <v>8</v>
      </c>
      <c r="W11" s="1573" t="e">
        <f t="shared" si="2"/>
        <v>#N/A</v>
      </c>
      <c r="X11" s="1574"/>
      <c r="Y11" s="3286"/>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42"/>
      <c r="F12" s="255">
        <f>SUMIF(64:64,E12,65:65)-SUMIF(64:64,C12,65:65)+100</f>
        <v>100</v>
      </c>
      <c r="G12" s="923"/>
      <c r="H12" s="255">
        <f>SUMIF(64:64,G12,65:65)-SUMIF(64:64,C12,65:65)+100</f>
        <v>100</v>
      </c>
      <c r="I12" s="883"/>
      <c r="J12" s="255">
        <f>SUMIF(64:64,I12,65:65)-SUMIF(64:64,C12,65:65)+100</f>
        <v>100</v>
      </c>
      <c r="K12" s="584"/>
      <c r="L12" s="2144"/>
      <c r="M12" s="2145"/>
      <c r="N12" s="2145"/>
      <c r="O12" s="2146"/>
      <c r="P12" s="3358"/>
      <c r="Q12" s="1154">
        <f t="shared" si="6"/>
        <v>111</v>
      </c>
      <c r="R12" s="1572" t="s">
        <v>8</v>
      </c>
      <c r="S12" s="1573">
        <f t="shared" si="0"/>
        <v>100</v>
      </c>
      <c r="T12" s="1572" t="s">
        <v>8</v>
      </c>
      <c r="U12" s="1573">
        <f t="shared" si="1"/>
        <v>100</v>
      </c>
      <c r="V12" s="1572" t="s">
        <v>8</v>
      </c>
      <c r="W12" s="1573">
        <f t="shared" si="2"/>
        <v>100</v>
      </c>
      <c r="X12" s="1574"/>
      <c r="Y12" s="3286"/>
      <c r="Z12" s="1153">
        <f t="shared" si="7"/>
        <v>111</v>
      </c>
      <c r="AA12" s="1575">
        <f>D12/F12</f>
        <v>1</v>
      </c>
      <c r="AB12" s="1575">
        <f>D12/H12</f>
        <v>1</v>
      </c>
      <c r="AC12" s="1575">
        <f>D12/J12</f>
        <v>1</v>
      </c>
    </row>
    <row r="13" spans="1:29" ht="15">
      <c r="A13" s="2955"/>
      <c r="B13" s="2961">
        <v>111</v>
      </c>
      <c r="C13" s="542"/>
      <c r="D13" s="543">
        <v>100</v>
      </c>
      <c r="E13" s="542"/>
      <c r="F13" s="255">
        <f>SUMIF(66:66,E13,67:67)-SUMIF(66:66,C13,67:67)+100</f>
        <v>100</v>
      </c>
      <c r="G13" s="923"/>
      <c r="H13" s="543">
        <f>SUMIF(66:66,G13,67:67)-SUMIF(66:66,C13,67:67)+100</f>
        <v>100</v>
      </c>
      <c r="I13" s="883"/>
      <c r="J13" s="543">
        <f>SUMIF(66:66,I13,67:67)-SUMIF(66:66,C13,67:67)+100</f>
        <v>100</v>
      </c>
      <c r="K13" s="584"/>
      <c r="L13" s="2151"/>
      <c r="M13" s="2143"/>
      <c r="N13" s="2143"/>
      <c r="O13" s="2150"/>
      <c r="P13" s="3358"/>
      <c r="Q13" s="1154">
        <f t="shared" si="6"/>
        <v>111</v>
      </c>
      <c r="R13" s="1572" t="s">
        <v>8</v>
      </c>
      <c r="S13" s="1573">
        <f t="shared" si="0"/>
        <v>100</v>
      </c>
      <c r="T13" s="1572" t="s">
        <v>8</v>
      </c>
      <c r="U13" s="1573">
        <f t="shared" si="1"/>
        <v>100</v>
      </c>
      <c r="V13" s="1572" t="s">
        <v>8</v>
      </c>
      <c r="W13" s="1573">
        <f t="shared" si="2"/>
        <v>100</v>
      </c>
      <c r="X13" s="1574"/>
      <c r="Y13" s="3286"/>
      <c r="Z13" s="1153">
        <f t="shared" si="7"/>
        <v>111</v>
      </c>
      <c r="AA13" s="1575">
        <f t="shared" si="3"/>
        <v>1</v>
      </c>
      <c r="AB13" s="1575">
        <f t="shared" si="4"/>
        <v>1</v>
      </c>
      <c r="AC13" s="1575">
        <f t="shared" si="5"/>
        <v>1</v>
      </c>
    </row>
    <row r="14" spans="1:29" ht="15.75" thickBot="1">
      <c r="A14" s="2956"/>
      <c r="B14" s="2962">
        <v>111</v>
      </c>
      <c r="C14" s="548"/>
      <c r="D14" s="549">
        <v>100</v>
      </c>
      <c r="E14" s="548"/>
      <c r="F14" s="549">
        <f>SUMIF(68:68,E14,69:69)-SUMIF(68:68,C14,69:69)+100</f>
        <v>100</v>
      </c>
      <c r="G14" s="923"/>
      <c r="H14" s="549">
        <f>SUMIF(68:68,G14,69:69)-SUMIF(68:68,C14,69:69)+100</f>
        <v>100</v>
      </c>
      <c r="I14" s="883"/>
      <c r="J14" s="549">
        <f>SUMIF(68:68,I14,69:69)-SUMIF(68:68,C14,69:69)+100</f>
        <v>100</v>
      </c>
      <c r="K14" s="584"/>
      <c r="L14" s="2151"/>
      <c r="M14" s="2143"/>
      <c r="N14" s="2143"/>
      <c r="O14" s="2150"/>
      <c r="P14" s="3358"/>
      <c r="Q14" s="1154">
        <f t="shared" si="6"/>
        <v>111</v>
      </c>
      <c r="R14" s="1572" t="s">
        <v>8</v>
      </c>
      <c r="S14" s="1573">
        <f t="shared" si="0"/>
        <v>100</v>
      </c>
      <c r="T14" s="1572" t="s">
        <v>8</v>
      </c>
      <c r="U14" s="1573">
        <f t="shared" si="1"/>
        <v>100</v>
      </c>
      <c r="V14" s="1572" t="s">
        <v>8</v>
      </c>
      <c r="W14" s="1573">
        <f t="shared" si="2"/>
        <v>100</v>
      </c>
      <c r="X14" s="1574"/>
      <c r="Y14" s="3286"/>
      <c r="Z14" s="1153">
        <f t="shared" si="7"/>
        <v>111</v>
      </c>
      <c r="AA14" s="1575">
        <f t="shared" si="3"/>
        <v>1</v>
      </c>
      <c r="AB14" s="1575">
        <f t="shared" si="4"/>
        <v>1</v>
      </c>
      <c r="AC14" s="1575">
        <f t="shared" si="5"/>
        <v>1</v>
      </c>
    </row>
    <row r="15" spans="1:29" ht="57">
      <c r="A15" s="2948" t="s">
        <v>2765</v>
      </c>
      <c r="B15" s="166" t="s">
        <v>792</v>
      </c>
      <c r="C15" s="924" t="str">
        <f>估价对象房地状况!G3</f>
        <v>估价对象位于兴谷开发区，园区建设较成熟，产业集聚程度较好</v>
      </c>
      <c r="D15" s="552">
        <v>100</v>
      </c>
      <c r="E15" s="553"/>
      <c r="F15" s="554">
        <f>SUMIF(70:70,E16,71:71)-SUMIF(70:70,C16,71:71)+100</f>
        <v>100</v>
      </c>
      <c r="G15" s="555"/>
      <c r="H15" s="552">
        <f>SUMIF(70:70,G16,71:71)-SUMIF(70:70,C16,71:71)+100</f>
        <v>100</v>
      </c>
      <c r="I15" s="553"/>
      <c r="J15" s="552">
        <f>SUMIF(70:70,I16,71:71)-SUMIF(70:70,C16,71:71)+100</f>
        <v>100</v>
      </c>
      <c r="K15" s="901"/>
      <c r="L15" s="2151"/>
      <c r="M15" s="2143"/>
      <c r="N15" s="2143"/>
      <c r="O15" s="2150"/>
      <c r="P15" s="3392" t="s">
        <v>541</v>
      </c>
      <c r="Q15" s="1576" t="str">
        <f t="shared" si="6"/>
        <v>产业集聚程度</v>
      </c>
      <c r="R15" s="1577" t="s">
        <v>8</v>
      </c>
      <c r="S15" s="1578">
        <f t="shared" si="0"/>
        <v>100</v>
      </c>
      <c r="T15" s="1577" t="s">
        <v>8</v>
      </c>
      <c r="U15" s="1578">
        <f t="shared" si="1"/>
        <v>100</v>
      </c>
      <c r="V15" s="1577" t="s">
        <v>8</v>
      </c>
      <c r="W15" s="1578">
        <f t="shared" si="2"/>
        <v>100</v>
      </c>
      <c r="X15" s="1571"/>
      <c r="Y15" s="3392"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51"/>
      <c r="M16" s="2143"/>
      <c r="N16" s="2143"/>
      <c r="O16" s="2150"/>
      <c r="P16" s="3393"/>
      <c r="Q16" s="1576"/>
      <c r="R16" s="1577"/>
      <c r="S16" s="1578"/>
      <c r="T16" s="1577"/>
      <c r="U16" s="1578"/>
      <c r="V16" s="1577"/>
      <c r="W16" s="1578"/>
      <c r="X16" s="1571"/>
      <c r="Y16" s="3393"/>
      <c r="Z16" s="1579"/>
      <c r="AA16" s="1580">
        <v>1</v>
      </c>
      <c r="AB16" s="1580">
        <v>1</v>
      </c>
      <c r="AC16" s="1580">
        <v>1</v>
      </c>
    </row>
    <row r="17" spans="1:29" ht="114">
      <c r="A17" s="535"/>
      <c r="B17" s="874" t="s">
        <v>296</v>
      </c>
      <c r="C17" s="875" t="str">
        <f>估价对象房地状况!G4</f>
        <v>估价对象周边2公里范围内有平3、平4、平30，路网密集程度较好，停车便捷程度较好，综合评价交通便捷度较好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1"/>
      <c r="M17" s="2143"/>
      <c r="N17" s="2143"/>
      <c r="O17" s="2150"/>
      <c r="P17" s="3393"/>
      <c r="Q17" s="1576" t="str">
        <f>B17</f>
        <v>交通便捷度</v>
      </c>
      <c r="R17" s="1577" t="s">
        <v>8</v>
      </c>
      <c r="S17" s="1578">
        <f>F17</f>
        <v>100</v>
      </c>
      <c r="T17" s="1577" t="s">
        <v>8</v>
      </c>
      <c r="U17" s="1578">
        <f>H17</f>
        <v>100</v>
      </c>
      <c r="V17" s="1577" t="s">
        <v>8</v>
      </c>
      <c r="W17" s="1578">
        <f>J17</f>
        <v>100</v>
      </c>
      <c r="X17" s="1571"/>
      <c r="Y17" s="339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1"/>
      <c r="M18" s="2143"/>
      <c r="N18" s="2143"/>
      <c r="O18" s="2150"/>
      <c r="P18" s="3393"/>
      <c r="Q18" s="1576"/>
      <c r="R18" s="1577"/>
      <c r="S18" s="1578"/>
      <c r="T18" s="1577"/>
      <c r="U18" s="1578"/>
      <c r="V18" s="1577"/>
      <c r="W18" s="1578"/>
      <c r="X18" s="1571"/>
      <c r="Y18" s="3393"/>
      <c r="Z18" s="1579"/>
      <c r="AA18" s="1580">
        <v>1</v>
      </c>
      <c r="AB18" s="1580">
        <v>1</v>
      </c>
      <c r="AC18" s="1580">
        <v>1</v>
      </c>
    </row>
    <row r="19" spans="1:29" ht="42.75">
      <c r="A19" s="535"/>
      <c r="B19" s="2637" t="s">
        <v>2554</v>
      </c>
      <c r="C19" s="875" t="str">
        <f>估价对象房地状况!G5</f>
        <v>估价对象所在区域公共配套设施齐备情况一般</v>
      </c>
      <c r="D19" s="568">
        <v>100</v>
      </c>
      <c r="E19" s="573"/>
      <c r="F19" s="574">
        <f>SUMIF(74:74,E20,75:75)-SUMIF(74:74,C20,75:75)+100</f>
        <v>100</v>
      </c>
      <c r="G19" s="575"/>
      <c r="H19" s="562">
        <f>SUMIF(74:74,G20,75:75)-SUMIF(74:74,C20,75:75)+100</f>
        <v>100</v>
      </c>
      <c r="I19" s="573"/>
      <c r="J19" s="562">
        <f>SUMIF(74:74,I20,75:75)-SUMIF(74:74,C20,75:75)+100</f>
        <v>100</v>
      </c>
      <c r="K19" s="901"/>
      <c r="L19" s="2151"/>
      <c r="M19" s="2143"/>
      <c r="N19" s="2143"/>
      <c r="O19" s="2150"/>
      <c r="P19" s="3393"/>
      <c r="Q19" s="1576" t="str">
        <f>B19</f>
        <v>公共配套设施</v>
      </c>
      <c r="R19" s="1577" t="s">
        <v>8</v>
      </c>
      <c r="S19" s="1578">
        <f>F19</f>
        <v>100</v>
      </c>
      <c r="T19" s="1577" t="s">
        <v>8</v>
      </c>
      <c r="U19" s="1578">
        <f>H19</f>
        <v>100</v>
      </c>
      <c r="V19" s="1577" t="s">
        <v>8</v>
      </c>
      <c r="W19" s="1578">
        <f>J19</f>
        <v>100</v>
      </c>
      <c r="X19" s="1571"/>
      <c r="Y19" s="3393"/>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51"/>
      <c r="M20" s="2143"/>
      <c r="N20" s="2143"/>
      <c r="O20" s="2150"/>
      <c r="P20" s="3393"/>
      <c r="Q20" s="1576"/>
      <c r="R20" s="1577"/>
      <c r="S20" s="1578"/>
      <c r="T20" s="1577"/>
      <c r="U20" s="1578"/>
      <c r="V20" s="1577"/>
      <c r="W20" s="1578"/>
      <c r="X20" s="1571"/>
      <c r="Y20" s="3393"/>
      <c r="Z20" s="1579"/>
      <c r="AA20" s="1580">
        <v>1</v>
      </c>
      <c r="AB20" s="1580">
        <v>1</v>
      </c>
      <c r="AC20" s="1580">
        <v>1</v>
      </c>
    </row>
    <row r="21" spans="1:29" ht="42.75">
      <c r="A21" s="535"/>
      <c r="B21" s="2625" t="s">
        <v>2566</v>
      </c>
      <c r="C21" s="875" t="str">
        <f>估价对象房地状况!G6</f>
        <v>估价对象所在区域基础设施水平：七通</v>
      </c>
      <c r="D21" s="568">
        <v>100</v>
      </c>
      <c r="E21" s="575"/>
      <c r="F21" s="574">
        <f>SUMIF(76:76,E22,77:77)-SUMIF(76:76,C22,77:77)+100</f>
        <v>100</v>
      </c>
      <c r="G21" s="575"/>
      <c r="H21" s="568">
        <f>SUMIF(76:76,G22,77:77)-SUMIF(76:76,C22,77:77)+100</f>
        <v>100</v>
      </c>
      <c r="I21" s="573"/>
      <c r="J21" s="568">
        <f>SUMIF(76:76,I22,77:77)-SUMIF(76:76,C22,77:77)+100</f>
        <v>100</v>
      </c>
      <c r="K21" s="901"/>
      <c r="L21" s="2151"/>
      <c r="M21" s="2143"/>
      <c r="N21" s="2143"/>
      <c r="O21" s="2150"/>
      <c r="P21" s="3393"/>
      <c r="Q21" s="2613" t="str">
        <f>B21</f>
        <v>基础设施水平</v>
      </c>
      <c r="R21" s="1577" t="s">
        <v>8</v>
      </c>
      <c r="S21" s="1578">
        <f>F21</f>
        <v>100</v>
      </c>
      <c r="T21" s="1577" t="s">
        <v>8</v>
      </c>
      <c r="U21" s="1578">
        <f>H21</f>
        <v>100</v>
      </c>
      <c r="V21" s="1577" t="s">
        <v>8</v>
      </c>
      <c r="W21" s="1578">
        <f>J21</f>
        <v>100</v>
      </c>
      <c r="X21" s="2615"/>
      <c r="Y21" s="3393"/>
      <c r="Z21" s="2614"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6"/>
      <c r="L22" s="2151"/>
      <c r="M22" s="2143"/>
      <c r="N22" s="2143"/>
      <c r="O22" s="2150"/>
      <c r="P22" s="3393"/>
      <c r="Q22" s="2613"/>
      <c r="R22" s="1577"/>
      <c r="S22" s="1578"/>
      <c r="T22" s="1577"/>
      <c r="U22" s="1578"/>
      <c r="V22" s="1577"/>
      <c r="W22" s="1578"/>
      <c r="X22" s="2615"/>
      <c r="Y22" s="3393"/>
      <c r="Z22" s="2614"/>
      <c r="AA22" s="1580">
        <v>1</v>
      </c>
      <c r="AB22" s="1580">
        <v>1</v>
      </c>
      <c r="AC22" s="1580">
        <v>1</v>
      </c>
    </row>
    <row r="23" spans="1:29" ht="71.25">
      <c r="A23" s="535"/>
      <c r="B23" s="874" t="s">
        <v>781</v>
      </c>
      <c r="C23" s="875" t="str">
        <f>估价对象房地状况!G7</f>
        <v>该园区内是否有污染型企业，绿化情况，卫生条件，整体环境状况判断：较好</v>
      </c>
      <c r="D23" s="562">
        <v>100</v>
      </c>
      <c r="E23" s="565"/>
      <c r="F23" s="566">
        <f>SUMIF(78:78,E24,79:79)-SUMIF(78:78,C24,79:79)+100</f>
        <v>100</v>
      </c>
      <c r="G23" s="567"/>
      <c r="H23" s="562">
        <f>SUMIF(78:78,G24,79:79)-SUMIF(78:78,C24,79:79)+100</f>
        <v>100</v>
      </c>
      <c r="I23" s="565"/>
      <c r="J23" s="562">
        <f>SUMIF(78:78,I24,79:79)-SUMIF(78:78,C24,79:79)+100</f>
        <v>100</v>
      </c>
      <c r="K23" s="901"/>
      <c r="L23" s="2151"/>
      <c r="M23" s="2143"/>
      <c r="N23" s="2143"/>
      <c r="O23" s="2150"/>
      <c r="P23" s="3393"/>
      <c r="Q23" s="1576" t="str">
        <f>B23</f>
        <v>环境质量</v>
      </c>
      <c r="R23" s="1577" t="s">
        <v>8</v>
      </c>
      <c r="S23" s="1578">
        <f>F23</f>
        <v>100</v>
      </c>
      <c r="T23" s="1577" t="s">
        <v>8</v>
      </c>
      <c r="U23" s="1578">
        <f>H23</f>
        <v>100</v>
      </c>
      <c r="V23" s="1577" t="s">
        <v>8</v>
      </c>
      <c r="W23" s="1578">
        <f>J23</f>
        <v>100</v>
      </c>
      <c r="X23" s="1571"/>
      <c r="Y23" s="3393"/>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51"/>
      <c r="M24" s="2143"/>
      <c r="N24" s="2143"/>
      <c r="O24" s="2150"/>
      <c r="P24" s="3393"/>
      <c r="Q24" s="1576"/>
      <c r="R24" s="1577"/>
      <c r="S24" s="1578"/>
      <c r="T24" s="1577"/>
      <c r="U24" s="1578"/>
      <c r="V24" s="1577"/>
      <c r="W24" s="1578"/>
      <c r="X24" s="1571"/>
      <c r="Y24" s="3393"/>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393"/>
      <c r="Q25" s="1576">
        <f>B25</f>
        <v>111</v>
      </c>
      <c r="R25" s="1577" t="s">
        <v>8</v>
      </c>
      <c r="S25" s="1578">
        <f>F25</f>
        <v>100</v>
      </c>
      <c r="T25" s="1577" t="s">
        <v>8</v>
      </c>
      <c r="U25" s="1578">
        <f>H25</f>
        <v>100</v>
      </c>
      <c r="V25" s="1577" t="s">
        <v>8</v>
      </c>
      <c r="W25" s="1578">
        <f>J25</f>
        <v>100</v>
      </c>
      <c r="X25" s="1571"/>
      <c r="Y25" s="3393"/>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393"/>
      <c r="Q26" s="1576">
        <f t="shared" ref="Q26:Q40" si="11">B26</f>
        <v>111</v>
      </c>
      <c r="R26" s="1577" t="s">
        <v>8</v>
      </c>
      <c r="S26" s="1578">
        <f>F26</f>
        <v>100</v>
      </c>
      <c r="T26" s="1577" t="s">
        <v>8</v>
      </c>
      <c r="U26" s="1578">
        <f>H26</f>
        <v>100</v>
      </c>
      <c r="V26" s="1577" t="s">
        <v>8</v>
      </c>
      <c r="W26" s="1578">
        <f>J26</f>
        <v>100</v>
      </c>
      <c r="X26" s="1571"/>
      <c r="Y26" s="3393"/>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393"/>
      <c r="Q27" s="1154">
        <f t="shared" si="11"/>
        <v>111</v>
      </c>
      <c r="R27" s="1572" t="s">
        <v>8</v>
      </c>
      <c r="S27" s="1573">
        <f>F27</f>
        <v>100</v>
      </c>
      <c r="T27" s="1572" t="s">
        <v>8</v>
      </c>
      <c r="U27" s="1573">
        <f>H27</f>
        <v>100</v>
      </c>
      <c r="V27" s="1572" t="s">
        <v>8</v>
      </c>
      <c r="W27" s="1573">
        <f>J27</f>
        <v>100</v>
      </c>
      <c r="X27" s="1574"/>
      <c r="Y27" s="3393"/>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1"/>
      <c r="M28" s="2143"/>
      <c r="N28" s="2143"/>
      <c r="O28" s="2150"/>
      <c r="P28" s="3393"/>
      <c r="Q28" s="1576">
        <f t="shared" si="11"/>
        <v>111</v>
      </c>
      <c r="R28" s="1577" t="s">
        <v>8</v>
      </c>
      <c r="S28" s="1578">
        <f t="shared" ref="S28:S40" si="12">F28</f>
        <v>100</v>
      </c>
      <c r="T28" s="1577" t="s">
        <v>8</v>
      </c>
      <c r="U28" s="1578">
        <f t="shared" ref="U28:U40" si="13">H28</f>
        <v>100</v>
      </c>
      <c r="V28" s="1577" t="s">
        <v>8</v>
      </c>
      <c r="W28" s="1578">
        <f t="shared" ref="W28:W40" si="14">J28</f>
        <v>100</v>
      </c>
      <c r="X28" s="1571"/>
      <c r="Y28" s="3393"/>
      <c r="Z28" s="1579">
        <f t="shared" ref="Z28:Z40" si="15">Q28</f>
        <v>111</v>
      </c>
      <c r="AA28" s="1580">
        <f t="shared" si="3"/>
        <v>1</v>
      </c>
      <c r="AB28" s="1580">
        <f t="shared" si="4"/>
        <v>1</v>
      </c>
      <c r="AC28" s="1580">
        <f t="shared" si="5"/>
        <v>1</v>
      </c>
    </row>
    <row r="29" spans="1:29" ht="15">
      <c r="A29" s="2945" t="s">
        <v>2766</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1"/>
      <c r="M29" s="2143"/>
      <c r="N29" s="2143"/>
      <c r="O29" s="2150"/>
      <c r="P29" s="3394" t="s">
        <v>551</v>
      </c>
      <c r="Q29" s="1576" t="str">
        <f t="shared" si="11"/>
        <v>建筑类型</v>
      </c>
      <c r="R29" s="1577" t="s">
        <v>8</v>
      </c>
      <c r="S29" s="1578">
        <f t="shared" si="12"/>
        <v>100</v>
      </c>
      <c r="T29" s="1577" t="s">
        <v>8</v>
      </c>
      <c r="U29" s="1578">
        <f t="shared" si="13"/>
        <v>100</v>
      </c>
      <c r="V29" s="1577" t="s">
        <v>8</v>
      </c>
      <c r="W29" s="1578">
        <f t="shared" si="14"/>
        <v>100</v>
      </c>
      <c r="X29" s="1571"/>
      <c r="Y29" s="3395" t="s">
        <v>551</v>
      </c>
      <c r="Z29" s="1579" t="str">
        <f t="shared" si="15"/>
        <v>建筑类型</v>
      </c>
      <c r="AA29" s="1580">
        <f t="shared" si="3"/>
        <v>1</v>
      </c>
      <c r="AB29" s="1580">
        <f t="shared" si="4"/>
        <v>1</v>
      </c>
      <c r="AC29" s="1580">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395"/>
      <c r="Q30" s="1609" t="str">
        <f t="shared" si="11"/>
        <v>项目建筑规模</v>
      </c>
      <c r="R30" s="1581" t="s">
        <v>8</v>
      </c>
      <c r="S30" s="1582" t="e">
        <f t="shared" si="12"/>
        <v>#N/A</v>
      </c>
      <c r="T30" s="1581" t="s">
        <v>8</v>
      </c>
      <c r="U30" s="1582" t="e">
        <f t="shared" si="13"/>
        <v>#N/A</v>
      </c>
      <c r="V30" s="1581" t="s">
        <v>8</v>
      </c>
      <c r="W30" s="1582" t="e">
        <f t="shared" si="14"/>
        <v>#N/A</v>
      </c>
      <c r="X30" s="1583"/>
      <c r="Y30" s="3395"/>
      <c r="Z30" s="1584" t="str">
        <f t="shared" si="15"/>
        <v>项目建筑规模</v>
      </c>
      <c r="AA30" s="1580" t="e">
        <f t="shared" si="3"/>
        <v>#N/A</v>
      </c>
      <c r="AB30" s="1580" t="e">
        <f t="shared" si="4"/>
        <v>#N/A</v>
      </c>
      <c r="AC30" s="1580"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395"/>
      <c r="Q31" s="1576" t="str">
        <f t="shared" si="11"/>
        <v>建筑结构</v>
      </c>
      <c r="R31" s="1577" t="s">
        <v>8</v>
      </c>
      <c r="S31" s="1578">
        <f t="shared" si="12"/>
        <v>100</v>
      </c>
      <c r="T31" s="1577" t="s">
        <v>8</v>
      </c>
      <c r="U31" s="1578">
        <f t="shared" si="13"/>
        <v>100</v>
      </c>
      <c r="V31" s="1577" t="s">
        <v>8</v>
      </c>
      <c r="W31" s="1578">
        <f t="shared" si="14"/>
        <v>100</v>
      </c>
      <c r="X31" s="1571"/>
      <c r="Y31" s="3395"/>
      <c r="Z31" s="1579" t="str">
        <f t="shared" si="15"/>
        <v>建筑结构</v>
      </c>
      <c r="AA31" s="1580">
        <f t="shared" si="3"/>
        <v>1</v>
      </c>
      <c r="AB31" s="1580">
        <f t="shared" si="4"/>
        <v>1</v>
      </c>
      <c r="AC31" s="1580">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395"/>
      <c r="Q32" s="1576" t="str">
        <f t="shared" si="11"/>
        <v>公共部分装修</v>
      </c>
      <c r="R32" s="1577" t="s">
        <v>8</v>
      </c>
      <c r="S32" s="1578">
        <f t="shared" si="12"/>
        <v>100</v>
      </c>
      <c r="T32" s="1577" t="s">
        <v>8</v>
      </c>
      <c r="U32" s="1578">
        <f t="shared" si="13"/>
        <v>100</v>
      </c>
      <c r="V32" s="1577" t="s">
        <v>8</v>
      </c>
      <c r="W32" s="1578">
        <f t="shared" si="14"/>
        <v>100</v>
      </c>
      <c r="X32" s="1571"/>
      <c r="Y32" s="3395"/>
      <c r="Z32" s="1579" t="str">
        <f t="shared" si="15"/>
        <v>公共部分装修</v>
      </c>
      <c r="AA32" s="1580">
        <f t="shared" si="3"/>
        <v>1</v>
      </c>
      <c r="AB32" s="1580">
        <f t="shared" si="4"/>
        <v>1</v>
      </c>
      <c r="AC32" s="1580">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1"/>
      <c r="M33" s="2143"/>
      <c r="N33" s="2143"/>
      <c r="O33" s="2150"/>
      <c r="P33" s="3395"/>
      <c r="Q33" s="1576" t="str">
        <f t="shared" si="11"/>
        <v>成新度</v>
      </c>
      <c r="R33" s="1577" t="s">
        <v>8</v>
      </c>
      <c r="S33" s="1578" t="e">
        <f t="shared" si="12"/>
        <v>#N/A</v>
      </c>
      <c r="T33" s="1577" t="s">
        <v>8</v>
      </c>
      <c r="U33" s="1578" t="e">
        <f t="shared" si="13"/>
        <v>#N/A</v>
      </c>
      <c r="V33" s="1577" t="s">
        <v>8</v>
      </c>
      <c r="W33" s="1578" t="e">
        <f t="shared" si="14"/>
        <v>#N/A</v>
      </c>
      <c r="X33" s="1571"/>
      <c r="Y33" s="3395"/>
      <c r="Z33" s="1579" t="str">
        <f t="shared" si="15"/>
        <v>成新度</v>
      </c>
      <c r="AA33" s="1580" t="e">
        <f t="shared" si="3"/>
        <v>#N/A</v>
      </c>
      <c r="AB33" s="1580" t="e">
        <f t="shared" si="4"/>
        <v>#N/A</v>
      </c>
      <c r="AC33" s="1580"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395"/>
      <c r="Q34" s="1154" t="str">
        <f t="shared" si="11"/>
        <v>物业管理</v>
      </c>
      <c r="R34" s="1572" t="s">
        <v>8</v>
      </c>
      <c r="S34" s="1573">
        <f t="shared" si="12"/>
        <v>100</v>
      </c>
      <c r="T34" s="1572" t="s">
        <v>8</v>
      </c>
      <c r="U34" s="1573">
        <f t="shared" si="13"/>
        <v>100</v>
      </c>
      <c r="V34" s="1572" t="s">
        <v>8</v>
      </c>
      <c r="W34" s="1573">
        <f t="shared" si="14"/>
        <v>100</v>
      </c>
      <c r="X34" s="1574"/>
      <c r="Y34" s="3395"/>
      <c r="Z34" s="1153" t="str">
        <f t="shared" si="15"/>
        <v>物业管理</v>
      </c>
      <c r="AA34" s="1575">
        <f t="shared" si="3"/>
        <v>1</v>
      </c>
      <c r="AB34" s="1575">
        <f t="shared" si="4"/>
        <v>1</v>
      </c>
      <c r="AC34" s="1575">
        <f t="shared" si="5"/>
        <v>1</v>
      </c>
    </row>
    <row r="35" spans="1:29" ht="15">
      <c r="A35" s="597"/>
      <c r="B35" s="1900" t="s">
        <v>2573</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395" t="s">
        <v>551</v>
      </c>
      <c r="Q35" s="1576" t="str">
        <f t="shared" si="11"/>
        <v>市政基础设施</v>
      </c>
      <c r="R35" s="1577" t="s">
        <v>8</v>
      </c>
      <c r="S35" s="1578">
        <f t="shared" si="12"/>
        <v>100</v>
      </c>
      <c r="T35" s="1577" t="s">
        <v>8</v>
      </c>
      <c r="U35" s="1578">
        <f t="shared" si="13"/>
        <v>100</v>
      </c>
      <c r="V35" s="1577" t="s">
        <v>8</v>
      </c>
      <c r="W35" s="1578">
        <f t="shared" si="14"/>
        <v>100</v>
      </c>
      <c r="X35" s="1571"/>
      <c r="Y35" s="3395" t="s">
        <v>551</v>
      </c>
      <c r="Z35" s="1579" t="str">
        <f t="shared" si="15"/>
        <v>市政基础设施</v>
      </c>
      <c r="AA35" s="1580">
        <f t="shared" si="3"/>
        <v>1</v>
      </c>
      <c r="AB35" s="1580">
        <f t="shared" si="4"/>
        <v>1</v>
      </c>
      <c r="AC35" s="1580">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395"/>
      <c r="Q36" s="1576" t="str">
        <f t="shared" si="11"/>
        <v>内部装修</v>
      </c>
      <c r="R36" s="1577" t="s">
        <v>8</v>
      </c>
      <c r="S36" s="1578">
        <f t="shared" si="12"/>
        <v>100</v>
      </c>
      <c r="T36" s="1577" t="s">
        <v>8</v>
      </c>
      <c r="U36" s="1578">
        <f t="shared" si="13"/>
        <v>100</v>
      </c>
      <c r="V36" s="1577" t="s">
        <v>8</v>
      </c>
      <c r="W36" s="1578">
        <f t="shared" si="14"/>
        <v>100</v>
      </c>
      <c r="X36" s="1571"/>
      <c r="Y36" s="3395"/>
      <c r="Z36" s="1579" t="str">
        <f t="shared" si="15"/>
        <v>内部装修</v>
      </c>
      <c r="AA36" s="1580">
        <f t="shared" si="3"/>
        <v>1</v>
      </c>
      <c r="AB36" s="1580">
        <f t="shared" si="4"/>
        <v>1</v>
      </c>
      <c r="AC36" s="1580">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395"/>
      <c r="Q37" s="1576" t="str">
        <f t="shared" si="11"/>
        <v>内部装修状况</v>
      </c>
      <c r="R37" s="1577" t="s">
        <v>8</v>
      </c>
      <c r="S37" s="1578">
        <f t="shared" si="12"/>
        <v>100</v>
      </c>
      <c r="T37" s="1577" t="s">
        <v>8</v>
      </c>
      <c r="U37" s="1578">
        <f t="shared" si="13"/>
        <v>100</v>
      </c>
      <c r="V37" s="1577" t="s">
        <v>8</v>
      </c>
      <c r="W37" s="1578">
        <f t="shared" si="14"/>
        <v>100</v>
      </c>
      <c r="X37" s="1571"/>
      <c r="Y37" s="3395"/>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9"/>
      <c r="M38" s="2180"/>
      <c r="N38" s="2180"/>
      <c r="O38" s="2152"/>
      <c r="P38" s="3395"/>
      <c r="Q38" s="1609">
        <f t="shared" si="11"/>
        <v>111</v>
      </c>
      <c r="R38" s="1581" t="s">
        <v>8</v>
      </c>
      <c r="S38" s="1582">
        <f t="shared" si="12"/>
        <v>100</v>
      </c>
      <c r="T38" s="1581" t="s">
        <v>8</v>
      </c>
      <c r="U38" s="1582">
        <f t="shared" si="13"/>
        <v>100</v>
      </c>
      <c r="V38" s="1581" t="s">
        <v>8</v>
      </c>
      <c r="W38" s="1582">
        <f t="shared" si="14"/>
        <v>100</v>
      </c>
      <c r="X38" s="1583"/>
      <c r="Y38" s="3395"/>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1"/>
      <c r="M39" s="2143"/>
      <c r="N39" s="2143"/>
      <c r="O39" s="2150"/>
      <c r="P39" s="3395"/>
      <c r="Q39" s="1576">
        <f t="shared" si="11"/>
        <v>111</v>
      </c>
      <c r="R39" s="1577" t="s">
        <v>8</v>
      </c>
      <c r="S39" s="1578">
        <f t="shared" si="12"/>
        <v>100</v>
      </c>
      <c r="T39" s="1577" t="s">
        <v>8</v>
      </c>
      <c r="U39" s="1578">
        <f t="shared" si="13"/>
        <v>100</v>
      </c>
      <c r="V39" s="1577" t="s">
        <v>8</v>
      </c>
      <c r="W39" s="1578">
        <f t="shared" si="14"/>
        <v>100</v>
      </c>
      <c r="X39" s="1571"/>
      <c r="Y39" s="3395"/>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1"/>
      <c r="M40" s="2143"/>
      <c r="N40" s="2143"/>
      <c r="O40" s="2150"/>
      <c r="P40" s="3452"/>
      <c r="Q40" s="1576">
        <f t="shared" si="11"/>
        <v>111</v>
      </c>
      <c r="R40" s="1577" t="s">
        <v>8</v>
      </c>
      <c r="S40" s="1578">
        <f t="shared" si="12"/>
        <v>100</v>
      </c>
      <c r="T40" s="1577" t="s">
        <v>8</v>
      </c>
      <c r="U40" s="1578">
        <f t="shared" si="13"/>
        <v>100</v>
      </c>
      <c r="V40" s="1577" t="s">
        <v>8</v>
      </c>
      <c r="W40" s="1578">
        <f t="shared" si="14"/>
        <v>100</v>
      </c>
      <c r="X40" s="1571"/>
      <c r="Y40" s="3452"/>
      <c r="Z40" s="1579">
        <f t="shared" si="15"/>
        <v>111</v>
      </c>
      <c r="AA40" s="1580">
        <f t="shared" si="3"/>
        <v>1</v>
      </c>
      <c r="AB40" s="1580">
        <f t="shared" si="4"/>
        <v>1</v>
      </c>
      <c r="AC40" s="1580">
        <f t="shared" si="5"/>
        <v>1</v>
      </c>
    </row>
    <row r="41" spans="1:29" ht="15">
      <c r="A41" s="610" t="s">
        <v>739</v>
      </c>
      <c r="B41" s="890"/>
      <c r="C41" s="2661" t="s">
        <v>1</v>
      </c>
      <c r="D41" s="2662"/>
      <c r="E41" s="2663"/>
      <c r="F41" s="2664"/>
      <c r="G41" s="2665"/>
      <c r="H41" s="2666"/>
      <c r="I41" s="2663"/>
      <c r="J41" s="2666"/>
      <c r="K41" s="1615"/>
      <c r="L41" s="2153"/>
      <c r="M41" s="2154"/>
      <c r="N41" s="2143"/>
      <c r="O41" s="2154"/>
      <c r="P41" s="3358" t="str">
        <f>A41</f>
        <v>成交单价（元/平方米）</v>
      </c>
      <c r="Q41" s="3358"/>
      <c r="R41" s="3451">
        <f>E41</f>
        <v>0</v>
      </c>
      <c r="S41" s="3451"/>
      <c r="T41" s="3451">
        <f>G41</f>
        <v>0</v>
      </c>
      <c r="U41" s="3451"/>
      <c r="V41" s="3451">
        <f>I41</f>
        <v>0</v>
      </c>
      <c r="W41" s="3451"/>
      <c r="X41" s="1563"/>
      <c r="Y41" s="1585"/>
      <c r="Z41" s="1563"/>
      <c r="AA41" s="1563"/>
      <c r="AB41" s="1563"/>
      <c r="AC41" s="1563"/>
    </row>
    <row r="42" spans="1:29" ht="15.75" thickBot="1">
      <c r="A42" s="618" t="s">
        <v>2771</v>
      </c>
      <c r="B42" s="891"/>
      <c r="C42" s="2667" t="e">
        <f>R43</f>
        <v>#DIV/0!</v>
      </c>
      <c r="D42" s="2668"/>
      <c r="E42" s="2669" t="e">
        <f>R42</f>
        <v>#DIV/0!</v>
      </c>
      <c r="F42" s="2669"/>
      <c r="G42" s="2667" t="e">
        <f>T42</f>
        <v>#DIV/0!</v>
      </c>
      <c r="H42" s="2668"/>
      <c r="I42" s="2669" t="e">
        <f>V42</f>
        <v>#DIV/0!</v>
      </c>
      <c r="J42" s="2668"/>
      <c r="K42" s="1616"/>
      <c r="L42" s="2153"/>
      <c r="M42" s="2154"/>
      <c r="N42" s="2143"/>
      <c r="O42" s="2154"/>
      <c r="P42" s="3358" t="str">
        <f>A42</f>
        <v>比较价格（元/平方米）</v>
      </c>
      <c r="Q42" s="3358"/>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3"/>
      <c r="Y42" s="1563"/>
      <c r="Z42" s="1563"/>
      <c r="AA42" s="1563"/>
      <c r="AB42" s="1563"/>
      <c r="AC42" s="1563"/>
    </row>
    <row r="43" spans="1:29" ht="15.75" thickBot="1">
      <c r="A43" s="624" t="s">
        <v>2944</v>
      </c>
      <c r="B43" s="625"/>
      <c r="C43" s="2670" t="e">
        <f>R43</f>
        <v>#DIV/0!</v>
      </c>
      <c r="D43" s="2670"/>
      <c r="E43" s="2670"/>
      <c r="F43" s="2670"/>
      <c r="G43" s="2670"/>
      <c r="H43" s="2670"/>
      <c r="I43" s="2670"/>
      <c r="J43" s="2670"/>
      <c r="K43" s="1617"/>
      <c r="L43" s="2153"/>
      <c r="M43" s="2154"/>
      <c r="N43" s="2154"/>
      <c r="O43" s="2154"/>
      <c r="P43" s="3355" t="str">
        <f>A43</f>
        <v>估价对象XX用房的比较价格（楼面单价，元/平方米）</v>
      </c>
      <c r="Q43" s="3356"/>
      <c r="R43" s="3450" t="e">
        <f>IF(F1="售价",ROUND(AVERAGE(R42:V42),0),ROUND(AVERAGE(R42:V42),1))</f>
        <v>#DIV/0!</v>
      </c>
      <c r="S43" s="3450"/>
      <c r="T43" s="3450"/>
      <c r="U43" s="3450"/>
      <c r="V43" s="3450"/>
      <c r="W43" s="3450"/>
      <c r="X43" s="1563"/>
      <c r="Y43" s="1563"/>
      <c r="Z43" s="1563"/>
      <c r="AA43" s="1563"/>
      <c r="AB43" s="1563"/>
      <c r="AC43" s="1563"/>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8"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8"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8" t="s">
        <v>575</v>
      </c>
      <c r="B51" s="1563"/>
      <c r="C51" s="1587"/>
      <c r="D51" s="1587"/>
      <c r="E51" s="1587"/>
      <c r="F51" s="1589"/>
      <c r="G51" s="1589"/>
      <c r="H51" s="1587"/>
      <c r="I51" s="1587"/>
      <c r="J51" s="1587"/>
      <c r="K51" s="1590"/>
      <c r="L51" s="1586"/>
      <c r="M51" s="1587"/>
      <c r="N51" s="1587"/>
      <c r="O51" s="1587"/>
      <c r="P51" s="2166"/>
      <c r="Q51" s="2167"/>
      <c r="R51" s="2154"/>
      <c r="S51" s="2154"/>
      <c r="T51" s="2154"/>
      <c r="U51" s="2154"/>
      <c r="V51" s="2154"/>
      <c r="W51" s="2154"/>
      <c r="X51" s="2154"/>
      <c r="Y51" s="2154"/>
      <c r="Z51" s="2154"/>
      <c r="AA51" s="2154"/>
      <c r="AB51" s="2154"/>
      <c r="AC51" s="2154"/>
    </row>
    <row r="52" spans="1:29" s="1350" customFormat="1" ht="15">
      <c r="A52" s="648" t="s">
        <v>530</v>
      </c>
      <c r="B52" s="649"/>
      <c r="C52" s="2840" t="str">
        <f>YEAR(C7)&amp;"-"&amp;MONTH(C7)</f>
        <v>2017-9</v>
      </c>
      <c r="D52" s="2842">
        <f>EDATE(C52,-1)</f>
        <v>42948</v>
      </c>
      <c r="E52" s="2842">
        <f t="shared" ref="E52:O52" si="16">EDATE(D52,-1)</f>
        <v>42917</v>
      </c>
      <c r="F52" s="2842">
        <f t="shared" si="16"/>
        <v>42887</v>
      </c>
      <c r="G52" s="2842">
        <f t="shared" si="16"/>
        <v>42856</v>
      </c>
      <c r="H52" s="2842">
        <f t="shared" si="16"/>
        <v>42826</v>
      </c>
      <c r="I52" s="2842">
        <f t="shared" si="16"/>
        <v>42795</v>
      </c>
      <c r="J52" s="2842">
        <f t="shared" si="16"/>
        <v>42767</v>
      </c>
      <c r="K52" s="2842">
        <f t="shared" si="16"/>
        <v>42736</v>
      </c>
      <c r="L52" s="2842">
        <f t="shared" si="16"/>
        <v>42705</v>
      </c>
      <c r="M52" s="2842">
        <f t="shared" si="16"/>
        <v>42675</v>
      </c>
      <c r="N52" s="2842">
        <f t="shared" si="16"/>
        <v>42644</v>
      </c>
      <c r="O52" s="2842">
        <f t="shared" si="16"/>
        <v>42614</v>
      </c>
      <c r="P52" s="2169"/>
      <c r="Q52" s="2170"/>
      <c r="R52" s="2170"/>
      <c r="S52" s="2170"/>
      <c r="T52" s="2170"/>
      <c r="U52" s="2170"/>
      <c r="V52" s="2170"/>
      <c r="W52" s="2170"/>
      <c r="X52" s="2170"/>
      <c r="Y52" s="2170"/>
      <c r="Z52" s="2170"/>
      <c r="AA52" s="2170"/>
      <c r="AB52" s="2170"/>
      <c r="AC52" s="2170"/>
    </row>
    <row r="53" spans="1:29" s="1223"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2"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2"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2"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2"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2"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2"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2565</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2566</v>
      </c>
      <c r="C76" s="2632" t="s">
        <v>2567</v>
      </c>
      <c r="D76" s="2632" t="s">
        <v>2568</v>
      </c>
      <c r="E76" s="2632" t="s">
        <v>2569</v>
      </c>
      <c r="F76" s="2632" t="s">
        <v>2570</v>
      </c>
      <c r="G76" s="2632" t="s">
        <v>2571</v>
      </c>
      <c r="H76" s="938"/>
      <c r="I76" s="938"/>
      <c r="J76" s="938"/>
      <c r="K76" s="938"/>
      <c r="L76" s="938"/>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3" customFormat="1" ht="15.75" thickTop="1">
      <c r="A80" s="712"/>
      <c r="B80" s="676">
        <f>B25</f>
        <v>111</v>
      </c>
      <c r="C80" s="691"/>
      <c r="D80" s="691"/>
      <c r="E80" s="691"/>
      <c r="F80" s="691"/>
      <c r="G80" s="691"/>
      <c r="H80" s="691"/>
      <c r="I80" s="691"/>
      <c r="J80" s="691"/>
      <c r="K80" s="691"/>
      <c r="L80" s="893"/>
      <c r="M80" s="894"/>
      <c r="N80" s="2171"/>
      <c r="O80" s="2171"/>
      <c r="P80" s="2174"/>
      <c r="Q80" s="2167"/>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71"/>
      <c r="O82" s="2171"/>
      <c r="P82" s="2174"/>
      <c r="Q82" s="2167"/>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6"/>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2"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7">
        <v>0.5</v>
      </c>
      <c r="D98" s="897">
        <v>0.6</v>
      </c>
      <c r="E98" s="897">
        <v>0.7</v>
      </c>
      <c r="F98" s="897">
        <v>0.8</v>
      </c>
      <c r="G98" s="897">
        <v>0.9</v>
      </c>
      <c r="H98" s="897">
        <v>1.0001</v>
      </c>
      <c r="I98" s="908"/>
      <c r="J98" s="908"/>
      <c r="K98" s="909"/>
      <c r="L98" s="910"/>
      <c r="M98" s="911"/>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2"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2564</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2"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2"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6"/>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798</v>
      </c>
      <c r="B3" s="513" t="e">
        <f>IF(B37="元/平方米",C39,ROUND(B2*10000/D3,0))</f>
        <v>#DIV/0!</v>
      </c>
      <c r="C3" s="855" t="s">
        <v>799</v>
      </c>
      <c r="D3" s="854">
        <f>SUMIF('数据-汇总表'!$C19:$C33,D1,'数据-汇总表'!$E19:$E33)</f>
        <v>0</v>
      </c>
      <c r="E3" s="1853" t="s">
        <v>2082</v>
      </c>
      <c r="F3" s="854">
        <f>SUMIF('数据-取费表'!A5:A15,D1,'数据-取费表'!AH5:AH15)</f>
        <v>0</v>
      </c>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800</v>
      </c>
      <c r="B4" s="516"/>
      <c r="C4" s="3364" t="s">
        <v>801</v>
      </c>
      <c r="D4" s="3365"/>
      <c r="E4" s="3364" t="s">
        <v>802</v>
      </c>
      <c r="F4" s="3365"/>
      <c r="G4" s="3364" t="s">
        <v>803</v>
      </c>
      <c r="H4" s="3365"/>
      <c r="I4" s="3364" t="s">
        <v>804</v>
      </c>
      <c r="J4" s="3365"/>
      <c r="K4" s="517" t="s">
        <v>805</v>
      </c>
      <c r="L4" s="2142"/>
      <c r="M4" s="2143"/>
      <c r="N4" s="2143"/>
      <c r="O4" s="2143"/>
      <c r="P4" s="3366" t="s">
        <v>806</v>
      </c>
      <c r="Q4" s="3367"/>
      <c r="R4" s="3372" t="s">
        <v>802</v>
      </c>
      <c r="S4" s="3373"/>
      <c r="T4" s="3372" t="s">
        <v>803</v>
      </c>
      <c r="U4" s="3373"/>
      <c r="V4" s="3359" t="s">
        <v>804</v>
      </c>
      <c r="W4" s="3359"/>
      <c r="X4" s="1571"/>
      <c r="Y4" s="3372" t="s">
        <v>806</v>
      </c>
      <c r="Z4" s="3373"/>
      <c r="AA4" s="3361" t="s">
        <v>802</v>
      </c>
      <c r="AB4" s="3362" t="s">
        <v>803</v>
      </c>
      <c r="AC4" s="3361" t="s">
        <v>804</v>
      </c>
    </row>
    <row r="5" spans="1:29" ht="15">
      <c r="A5" s="518"/>
      <c r="B5" s="519"/>
      <c r="C5" s="3380" t="s">
        <v>2938</v>
      </c>
      <c r="D5" s="3381"/>
      <c r="E5" s="3380" t="s">
        <v>2939</v>
      </c>
      <c r="F5" s="3381"/>
      <c r="G5" s="3380" t="s">
        <v>2940</v>
      </c>
      <c r="H5" s="3381"/>
      <c r="I5" s="3380" t="s">
        <v>2941</v>
      </c>
      <c r="J5" s="3381"/>
      <c r="K5" s="517"/>
      <c r="L5" s="2142"/>
      <c r="M5" s="2143"/>
      <c r="N5" s="2143"/>
      <c r="O5" s="2143"/>
      <c r="P5" s="3368"/>
      <c r="Q5" s="3369"/>
      <c r="R5" s="3374"/>
      <c r="S5" s="3375"/>
      <c r="T5" s="3374"/>
      <c r="U5" s="3375"/>
      <c r="V5" s="3359"/>
      <c r="W5" s="3359"/>
      <c r="X5" s="1571"/>
      <c r="Y5" s="3374"/>
      <c r="Z5" s="3375"/>
      <c r="AA5" s="3362"/>
      <c r="AB5" s="3362"/>
      <c r="AC5" s="3362"/>
    </row>
    <row r="6" spans="1:29" ht="15.75" thickBot="1">
      <c r="A6" s="520"/>
      <c r="B6" s="521"/>
      <c r="C6" s="3378" t="s">
        <v>2942</v>
      </c>
      <c r="D6" s="3379"/>
      <c r="E6" s="3382" t="s">
        <v>2942</v>
      </c>
      <c r="F6" s="3383"/>
      <c r="G6" s="3378" t="s">
        <v>2942</v>
      </c>
      <c r="H6" s="3379"/>
      <c r="I6" s="3378" t="s">
        <v>2942</v>
      </c>
      <c r="J6" s="3379"/>
      <c r="K6" s="517" t="s">
        <v>529</v>
      </c>
      <c r="L6" s="2142"/>
      <c r="M6" s="2143"/>
      <c r="N6" s="2143"/>
      <c r="O6" s="2143"/>
      <c r="P6" s="3370"/>
      <c r="Q6" s="3371"/>
      <c r="R6" s="3374"/>
      <c r="S6" s="3375"/>
      <c r="T6" s="3376"/>
      <c r="U6" s="3377"/>
      <c r="V6" s="3359"/>
      <c r="W6" s="3359"/>
      <c r="X6" s="1571"/>
      <c r="Y6" s="3376"/>
      <c r="Z6" s="3377"/>
      <c r="AA6" s="3363"/>
      <c r="AB6" s="3363"/>
      <c r="AC6" s="3363"/>
    </row>
    <row r="7" spans="1:29" s="1223" customFormat="1" ht="15.75" thickBot="1">
      <c r="A7" s="2950"/>
      <c r="B7" s="2957" t="s">
        <v>530</v>
      </c>
      <c r="C7" s="522">
        <f>'数据-取费表'!B2</f>
        <v>43005</v>
      </c>
      <c r="D7" s="523">
        <v>100</v>
      </c>
      <c r="E7" s="524"/>
      <c r="F7" s="525">
        <f>SUMIF(48:48,YEAR(E7)&amp;"-"&amp;MONTH(E7),49:49)</f>
        <v>0</v>
      </c>
      <c r="G7" s="526"/>
      <c r="H7" s="523">
        <f>SUMIF(48:48,YEAR(G7)&amp;"-"&amp;MONTH(G7),49:49)</f>
        <v>0</v>
      </c>
      <c r="I7" s="526"/>
      <c r="J7" s="523">
        <f>SUMIF(48:48,YEAR(I7)&amp;"-"&amp;MONTH(I7),49:49)</f>
        <v>0</v>
      </c>
      <c r="K7" s="527"/>
      <c r="L7" s="2144"/>
      <c r="M7" s="2145"/>
      <c r="N7" s="2145"/>
      <c r="O7" s="2145"/>
      <c r="P7" s="3389" t="s">
        <v>531</v>
      </c>
      <c r="Q7" s="3391"/>
      <c r="R7" s="1572" t="s">
        <v>8</v>
      </c>
      <c r="S7" s="1573">
        <f t="shared" ref="S7:S14" si="0">F7</f>
        <v>0</v>
      </c>
      <c r="T7" s="1572" t="s">
        <v>8</v>
      </c>
      <c r="U7" s="1573">
        <f t="shared" ref="U7:U14" si="1">H7</f>
        <v>0</v>
      </c>
      <c r="V7" s="1572" t="s">
        <v>8</v>
      </c>
      <c r="W7" s="1573">
        <f t="shared" ref="W7:W14" si="2">J7</f>
        <v>0</v>
      </c>
      <c r="X7" s="1574"/>
      <c r="Y7" s="3389" t="s">
        <v>531</v>
      </c>
      <c r="Z7" s="3390"/>
      <c r="AA7" s="1575" t="e">
        <f>D7/F7</f>
        <v>#DIV/0!</v>
      </c>
      <c r="AB7" s="1575" t="e">
        <f>D7/H7</f>
        <v>#DIV/0!</v>
      </c>
      <c r="AC7" s="1575" t="e">
        <f>D7/J7</f>
        <v>#DIV/0!</v>
      </c>
    </row>
    <row r="8" spans="1:29" s="1223" customFormat="1" ht="15.75" thickBot="1">
      <c r="A8" s="2951"/>
      <c r="B8" s="2958"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389" t="s">
        <v>534</v>
      </c>
      <c r="Q8" s="3390"/>
      <c r="R8" s="1572" t="s">
        <v>8</v>
      </c>
      <c r="S8" s="1573">
        <f t="shared" si="0"/>
        <v>0</v>
      </c>
      <c r="T8" s="1572" t="s">
        <v>8</v>
      </c>
      <c r="U8" s="1573">
        <f t="shared" si="1"/>
        <v>0</v>
      </c>
      <c r="V8" s="1572" t="s">
        <v>8</v>
      </c>
      <c r="W8" s="1573">
        <f t="shared" si="2"/>
        <v>0</v>
      </c>
      <c r="X8" s="1574"/>
      <c r="Y8" s="3389" t="s">
        <v>534</v>
      </c>
      <c r="Z8" s="3390"/>
      <c r="AA8" s="1575" t="e">
        <f t="shared" ref="AA8:AA36" si="3">D8/F8</f>
        <v>#DIV/0!</v>
      </c>
      <c r="AB8" s="1575" t="e">
        <f t="shared" ref="AB8:AB36" si="4">D8/H8</f>
        <v>#DIV/0!</v>
      </c>
      <c r="AC8" s="1575" t="e">
        <f t="shared" ref="AC8:AC36" si="5">D8/J8</f>
        <v>#DIV/0!</v>
      </c>
    </row>
    <row r="9" spans="1:29" s="1223" customFormat="1" ht="15">
      <c r="A9" s="2952"/>
      <c r="B9" s="2959" t="s">
        <v>2767</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58" t="s">
        <v>536</v>
      </c>
      <c r="Q9" s="1154" t="str">
        <f t="shared" ref="Q9:Q14" si="6">B9</f>
        <v>用途</v>
      </c>
      <c r="R9" s="1572" t="s">
        <v>8</v>
      </c>
      <c r="S9" s="1573">
        <f t="shared" si="0"/>
        <v>100</v>
      </c>
      <c r="T9" s="1572" t="s">
        <v>8</v>
      </c>
      <c r="U9" s="1573">
        <f t="shared" si="1"/>
        <v>100</v>
      </c>
      <c r="V9" s="1572" t="s">
        <v>8</v>
      </c>
      <c r="W9" s="1573">
        <f t="shared" si="2"/>
        <v>100</v>
      </c>
      <c r="X9" s="1574"/>
      <c r="Y9" s="3286" t="s">
        <v>537</v>
      </c>
      <c r="Z9" s="1153" t="str">
        <f t="shared" ref="Z9:Z14" si="7">Q9</f>
        <v>用途</v>
      </c>
      <c r="AA9" s="1575">
        <f t="shared" si="3"/>
        <v>1</v>
      </c>
      <c r="AB9" s="1575">
        <f t="shared" si="4"/>
        <v>1</v>
      </c>
      <c r="AC9" s="1575">
        <f t="shared" si="5"/>
        <v>1</v>
      </c>
    </row>
    <row r="10" spans="1:29" s="1341" customFormat="1" ht="27">
      <c r="A10" s="2953"/>
      <c r="B10" s="2958" t="s">
        <v>2768</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58"/>
      <c r="Q10" s="1154" t="str">
        <f t="shared" si="6"/>
        <v>土地使用年限（年）</v>
      </c>
      <c r="R10" s="1572" t="s">
        <v>8</v>
      </c>
      <c r="S10" s="1573">
        <f t="shared" si="0"/>
        <v>100</v>
      </c>
      <c r="T10" s="1572" t="s">
        <v>8</v>
      </c>
      <c r="U10" s="1573">
        <f t="shared" si="1"/>
        <v>100</v>
      </c>
      <c r="V10" s="1572" t="s">
        <v>8</v>
      </c>
      <c r="W10" s="1573">
        <f t="shared" si="2"/>
        <v>100</v>
      </c>
      <c r="X10" s="1574"/>
      <c r="Y10" s="3286"/>
      <c r="Z10" s="1153" t="str">
        <f t="shared" si="7"/>
        <v>土地使用年限（年）</v>
      </c>
      <c r="AA10" s="1575">
        <f t="shared" si="3"/>
        <v>1</v>
      </c>
      <c r="AB10" s="1575">
        <f t="shared" si="4"/>
        <v>1</v>
      </c>
      <c r="AC10" s="1575">
        <f t="shared" si="5"/>
        <v>1</v>
      </c>
    </row>
    <row r="11" spans="1:29" ht="15">
      <c r="A11" s="2955"/>
      <c r="B11" s="2961">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58"/>
      <c r="Q11" s="1154">
        <f t="shared" si="6"/>
        <v>111</v>
      </c>
      <c r="R11" s="1572" t="s">
        <v>8</v>
      </c>
      <c r="S11" s="1573">
        <f t="shared" si="0"/>
        <v>100</v>
      </c>
      <c r="T11" s="1572" t="s">
        <v>8</v>
      </c>
      <c r="U11" s="1573">
        <f t="shared" si="1"/>
        <v>100</v>
      </c>
      <c r="V11" s="1572" t="s">
        <v>8</v>
      </c>
      <c r="W11" s="1573">
        <f t="shared" si="2"/>
        <v>100</v>
      </c>
      <c r="X11" s="1574"/>
      <c r="Y11" s="3286"/>
      <c r="Z11" s="1153">
        <f t="shared" si="7"/>
        <v>111</v>
      </c>
      <c r="AA11" s="1575">
        <f t="shared" si="3"/>
        <v>1</v>
      </c>
      <c r="AB11" s="1575">
        <f t="shared" si="4"/>
        <v>1</v>
      </c>
      <c r="AC11" s="1575">
        <f t="shared" si="5"/>
        <v>1</v>
      </c>
    </row>
    <row r="12" spans="1:29" s="1223" customFormat="1" ht="15">
      <c r="A12" s="2955"/>
      <c r="B12" s="2961">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58"/>
      <c r="Q12" s="1154">
        <f t="shared" si="6"/>
        <v>111</v>
      </c>
      <c r="R12" s="1572" t="s">
        <v>8</v>
      </c>
      <c r="S12" s="1573">
        <f t="shared" si="0"/>
        <v>100</v>
      </c>
      <c r="T12" s="1572" t="s">
        <v>8</v>
      </c>
      <c r="U12" s="1573">
        <f t="shared" si="1"/>
        <v>100</v>
      </c>
      <c r="V12" s="1572" t="s">
        <v>8</v>
      </c>
      <c r="W12" s="1573">
        <f t="shared" si="2"/>
        <v>100</v>
      </c>
      <c r="X12" s="1574"/>
      <c r="Y12" s="3286"/>
      <c r="Z12" s="1153">
        <f t="shared" si="7"/>
        <v>111</v>
      </c>
      <c r="AA12" s="1575">
        <f>D12/F12</f>
        <v>1</v>
      </c>
      <c r="AB12" s="1575">
        <f>D12/H12</f>
        <v>1</v>
      </c>
      <c r="AC12" s="1575">
        <f>D12/J12</f>
        <v>1</v>
      </c>
    </row>
    <row r="13" spans="1:29" ht="15.75" thickBot="1">
      <c r="A13" s="2956"/>
      <c r="B13" s="2962">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58"/>
      <c r="Q13" s="1154">
        <f t="shared" si="6"/>
        <v>111</v>
      </c>
      <c r="R13" s="1572" t="s">
        <v>8</v>
      </c>
      <c r="S13" s="1573">
        <f t="shared" si="0"/>
        <v>100</v>
      </c>
      <c r="T13" s="1572" t="s">
        <v>8</v>
      </c>
      <c r="U13" s="1573">
        <f t="shared" si="1"/>
        <v>100</v>
      </c>
      <c r="V13" s="1572" t="s">
        <v>8</v>
      </c>
      <c r="W13" s="1573">
        <f t="shared" si="2"/>
        <v>100</v>
      </c>
      <c r="X13" s="1574"/>
      <c r="Y13" s="3286"/>
      <c r="Z13" s="1153">
        <f t="shared" si="7"/>
        <v>111</v>
      </c>
      <c r="AA13" s="1575">
        <f t="shared" si="3"/>
        <v>1</v>
      </c>
      <c r="AB13" s="1575">
        <f t="shared" si="4"/>
        <v>1</v>
      </c>
      <c r="AC13" s="1575">
        <f t="shared" si="5"/>
        <v>1</v>
      </c>
    </row>
    <row r="14" spans="1:29" ht="85.5">
      <c r="A14" s="2948" t="s">
        <v>2765</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1"/>
      <c r="M14" s="2143"/>
      <c r="N14" s="2143"/>
      <c r="O14" s="2150"/>
      <c r="P14" s="3392" t="s">
        <v>541</v>
      </c>
      <c r="Q14" s="1576" t="str">
        <f t="shared" si="6"/>
        <v>交通便捷度</v>
      </c>
      <c r="R14" s="1577" t="s">
        <v>8</v>
      </c>
      <c r="S14" s="1578">
        <f t="shared" si="0"/>
        <v>100</v>
      </c>
      <c r="T14" s="1577" t="s">
        <v>8</v>
      </c>
      <c r="U14" s="1578">
        <f t="shared" si="1"/>
        <v>100</v>
      </c>
      <c r="V14" s="1577" t="s">
        <v>8</v>
      </c>
      <c r="W14" s="1578">
        <f t="shared" si="2"/>
        <v>100</v>
      </c>
      <c r="X14" s="1571"/>
      <c r="Y14" s="3392"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51"/>
      <c r="M15" s="2143"/>
      <c r="N15" s="2143"/>
      <c r="O15" s="2150"/>
      <c r="P15" s="3393"/>
      <c r="Q15" s="1576"/>
      <c r="R15" s="1577"/>
      <c r="S15" s="1578"/>
      <c r="T15" s="1577"/>
      <c r="U15" s="1578"/>
      <c r="V15" s="1577"/>
      <c r="W15" s="1578"/>
      <c r="X15" s="1571"/>
      <c r="Y15" s="3393"/>
      <c r="Z15" s="1579"/>
      <c r="AA15" s="1580">
        <v>1</v>
      </c>
      <c r="AB15" s="1580">
        <v>1</v>
      </c>
      <c r="AC15" s="1580">
        <v>1</v>
      </c>
    </row>
    <row r="16" spans="1:29" ht="42.75">
      <c r="A16" s="518"/>
      <c r="B16" s="2637" t="s">
        <v>2554</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1"/>
      <c r="M16" s="2143"/>
      <c r="N16" s="2143"/>
      <c r="O16" s="2150"/>
      <c r="P16" s="3393"/>
      <c r="Q16" s="1576" t="str">
        <f>B16</f>
        <v>公共配套设施</v>
      </c>
      <c r="R16" s="1577" t="s">
        <v>8</v>
      </c>
      <c r="S16" s="1578">
        <f>F16</f>
        <v>100</v>
      </c>
      <c r="T16" s="1577" t="s">
        <v>8</v>
      </c>
      <c r="U16" s="1578">
        <f>H16</f>
        <v>100</v>
      </c>
      <c r="V16" s="1577" t="s">
        <v>8</v>
      </c>
      <c r="W16" s="1578">
        <f>J16</f>
        <v>100</v>
      </c>
      <c r="X16" s="1571"/>
      <c r="Y16" s="3393"/>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51"/>
      <c r="M17" s="2143"/>
      <c r="N17" s="2143"/>
      <c r="O17" s="2150"/>
      <c r="P17" s="3393"/>
      <c r="Q17" s="1576"/>
      <c r="R17" s="1577"/>
      <c r="S17" s="1578"/>
      <c r="T17" s="1577"/>
      <c r="U17" s="1578"/>
      <c r="V17" s="1577"/>
      <c r="W17" s="1578"/>
      <c r="X17" s="1571"/>
      <c r="Y17" s="3393"/>
      <c r="Z17" s="1579"/>
      <c r="AA17" s="1580">
        <v>1</v>
      </c>
      <c r="AB17" s="1580">
        <v>1</v>
      </c>
      <c r="AC17" s="1580">
        <v>1</v>
      </c>
    </row>
    <row r="18" spans="1:29" ht="28.5">
      <c r="A18" s="518"/>
      <c r="B18" s="2625" t="s">
        <v>2566</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1"/>
      <c r="M18" s="2143"/>
      <c r="N18" s="2143"/>
      <c r="O18" s="2150"/>
      <c r="P18" s="3393"/>
      <c r="Q18" s="2613" t="str">
        <f>B18</f>
        <v>基础设施水平</v>
      </c>
      <c r="R18" s="1577" t="s">
        <v>8</v>
      </c>
      <c r="S18" s="1578">
        <f>F18</f>
        <v>100</v>
      </c>
      <c r="T18" s="1577" t="s">
        <v>8</v>
      </c>
      <c r="U18" s="1578">
        <f>H18</f>
        <v>100</v>
      </c>
      <c r="V18" s="1577" t="s">
        <v>8</v>
      </c>
      <c r="W18" s="1578">
        <f>J18</f>
        <v>100</v>
      </c>
      <c r="X18" s="2615"/>
      <c r="Y18" s="3393"/>
      <c r="Z18" s="2614"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6"/>
      <c r="L19" s="2151"/>
      <c r="M19" s="2143"/>
      <c r="N19" s="2143"/>
      <c r="O19" s="2150"/>
      <c r="P19" s="3393"/>
      <c r="Q19" s="2613"/>
      <c r="R19" s="1577"/>
      <c r="S19" s="1578"/>
      <c r="T19" s="1577"/>
      <c r="U19" s="1578"/>
      <c r="V19" s="1577"/>
      <c r="W19" s="1578"/>
      <c r="X19" s="2615"/>
      <c r="Y19" s="3393"/>
      <c r="Z19" s="2614"/>
      <c r="AA19" s="1580">
        <v>1</v>
      </c>
      <c r="AB19" s="1580">
        <v>1</v>
      </c>
      <c r="AC19" s="1580">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1"/>
      <c r="M20" s="2143"/>
      <c r="N20" s="2143"/>
      <c r="O20" s="2150"/>
      <c r="P20" s="3393"/>
      <c r="Q20" s="1576" t="str">
        <f>B20</f>
        <v>自然及人文环境</v>
      </c>
      <c r="R20" s="1577" t="s">
        <v>8</v>
      </c>
      <c r="S20" s="1578">
        <f>F20</f>
        <v>100</v>
      </c>
      <c r="T20" s="1577" t="s">
        <v>8</v>
      </c>
      <c r="U20" s="1578">
        <f>H20</f>
        <v>100</v>
      </c>
      <c r="V20" s="1577" t="s">
        <v>8</v>
      </c>
      <c r="W20" s="1578">
        <f>J20</f>
        <v>100</v>
      </c>
      <c r="X20" s="1571"/>
      <c r="Y20" s="3393"/>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51"/>
      <c r="M21" s="2143"/>
      <c r="N21" s="2143"/>
      <c r="O21" s="2150"/>
      <c r="P21" s="3393"/>
      <c r="Q21" s="1576"/>
      <c r="R21" s="1577"/>
      <c r="S21" s="1578"/>
      <c r="T21" s="1577"/>
      <c r="U21" s="1578"/>
      <c r="V21" s="1577"/>
      <c r="W21" s="1578"/>
      <c r="X21" s="1571"/>
      <c r="Y21" s="3393"/>
      <c r="Z21" s="1579"/>
      <c r="AA21" s="1580">
        <v>1</v>
      </c>
      <c r="AB21" s="1580">
        <v>1</v>
      </c>
      <c r="AC21" s="1580">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393"/>
      <c r="Q22" s="1576" t="str">
        <f>B22</f>
        <v>楼层</v>
      </c>
      <c r="R22" s="1577" t="s">
        <v>8</v>
      </c>
      <c r="S22" s="1578">
        <f>F22</f>
        <v>100</v>
      </c>
      <c r="T22" s="1577" t="s">
        <v>8</v>
      </c>
      <c r="U22" s="1578">
        <f>H22</f>
        <v>100</v>
      </c>
      <c r="V22" s="1577" t="s">
        <v>8</v>
      </c>
      <c r="W22" s="1578">
        <f>J22</f>
        <v>100</v>
      </c>
      <c r="X22" s="1571"/>
      <c r="Y22" s="3393"/>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393"/>
      <c r="Q23" s="1576">
        <f>B23</f>
        <v>111</v>
      </c>
      <c r="R23" s="1577" t="s">
        <v>8</v>
      </c>
      <c r="S23" s="1578">
        <f>F23</f>
        <v>100</v>
      </c>
      <c r="T23" s="1577" t="s">
        <v>8</v>
      </c>
      <c r="U23" s="1578">
        <f>H23</f>
        <v>100</v>
      </c>
      <c r="V23" s="1577" t="s">
        <v>8</v>
      </c>
      <c r="W23" s="1578">
        <f>J23</f>
        <v>100</v>
      </c>
      <c r="X23" s="1571"/>
      <c r="Y23" s="3393"/>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393"/>
      <c r="Q24" s="1576">
        <f t="shared" ref="Q24:Q36" si="11">B24</f>
        <v>111</v>
      </c>
      <c r="R24" s="1577" t="s">
        <v>8</v>
      </c>
      <c r="S24" s="1578">
        <f>F24</f>
        <v>100</v>
      </c>
      <c r="T24" s="1577" t="s">
        <v>8</v>
      </c>
      <c r="U24" s="1578">
        <f>H24</f>
        <v>100</v>
      </c>
      <c r="V24" s="1577" t="s">
        <v>8</v>
      </c>
      <c r="W24" s="1578">
        <f>J24</f>
        <v>100</v>
      </c>
      <c r="X24" s="1571"/>
      <c r="Y24" s="3393"/>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4"/>
      <c r="M25" s="2145"/>
      <c r="N25" s="2145"/>
      <c r="O25" s="2146"/>
      <c r="P25" s="3393"/>
      <c r="Q25" s="1154">
        <f t="shared" si="11"/>
        <v>111</v>
      </c>
      <c r="R25" s="1572" t="s">
        <v>8</v>
      </c>
      <c r="S25" s="1573">
        <f>F25</f>
        <v>100</v>
      </c>
      <c r="T25" s="1572" t="s">
        <v>8</v>
      </c>
      <c r="U25" s="1573">
        <f>H25</f>
        <v>100</v>
      </c>
      <c r="V25" s="1572" t="s">
        <v>8</v>
      </c>
      <c r="W25" s="1573">
        <f>J25</f>
        <v>100</v>
      </c>
      <c r="X25" s="1574"/>
      <c r="Y25" s="3393"/>
      <c r="Z25" s="1153">
        <f>Q25</f>
        <v>111</v>
      </c>
      <c r="AA25" s="1580">
        <f>D25/F25</f>
        <v>1</v>
      </c>
      <c r="AB25" s="1580">
        <f>D25/H25</f>
        <v>1</v>
      </c>
      <c r="AC25" s="1580">
        <f>D25/J25</f>
        <v>1</v>
      </c>
    </row>
    <row r="26" spans="1:29" ht="15">
      <c r="A26" s="2945" t="s">
        <v>2766</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394"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95" t="s">
        <v>551</v>
      </c>
      <c r="Z26" s="1579" t="str">
        <f t="shared" ref="Z26:Z36" si="15">Q26</f>
        <v>配套类型</v>
      </c>
      <c r="AA26" s="1580">
        <f t="shared" si="3"/>
        <v>1</v>
      </c>
      <c r="AB26" s="1580">
        <f t="shared" si="4"/>
        <v>1</v>
      </c>
      <c r="AC26" s="1580">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9"/>
      <c r="M27" s="2180"/>
      <c r="N27" s="2180"/>
      <c r="O27" s="2152"/>
      <c r="P27" s="3395"/>
      <c r="Q27" s="1609" t="str">
        <f t="shared" si="11"/>
        <v>项目停车位配比</v>
      </c>
      <c r="R27" s="1581" t="s">
        <v>8</v>
      </c>
      <c r="S27" s="1582">
        <f t="shared" si="12"/>
        <v>100</v>
      </c>
      <c r="T27" s="1581" t="s">
        <v>8</v>
      </c>
      <c r="U27" s="1582">
        <f t="shared" si="13"/>
        <v>100</v>
      </c>
      <c r="V27" s="1581" t="s">
        <v>8</v>
      </c>
      <c r="W27" s="1582">
        <f t="shared" si="14"/>
        <v>100</v>
      </c>
      <c r="X27" s="1583"/>
      <c r="Y27" s="3395"/>
      <c r="Z27" s="1584" t="str">
        <f t="shared" si="15"/>
        <v>项目停车位配比</v>
      </c>
      <c r="AA27" s="1580">
        <f t="shared" si="3"/>
        <v>1</v>
      </c>
      <c r="AB27" s="1580">
        <f t="shared" si="4"/>
        <v>1</v>
      </c>
      <c r="AC27" s="1580">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395"/>
      <c r="Q28" s="1576" t="str">
        <f t="shared" si="11"/>
        <v>公共部分装修</v>
      </c>
      <c r="R28" s="1577" t="s">
        <v>8</v>
      </c>
      <c r="S28" s="1578">
        <f t="shared" si="12"/>
        <v>100</v>
      </c>
      <c r="T28" s="1577" t="s">
        <v>8</v>
      </c>
      <c r="U28" s="1578">
        <f t="shared" si="13"/>
        <v>100</v>
      </c>
      <c r="V28" s="1577" t="s">
        <v>8</v>
      </c>
      <c r="W28" s="1578">
        <f t="shared" si="14"/>
        <v>100</v>
      </c>
      <c r="X28" s="1571"/>
      <c r="Y28" s="3395"/>
      <c r="Z28" s="1579" t="str">
        <f t="shared" si="15"/>
        <v>公共部分装修</v>
      </c>
      <c r="AA28" s="1580">
        <f t="shared" si="3"/>
        <v>1</v>
      </c>
      <c r="AB28" s="1580">
        <f t="shared" si="4"/>
        <v>1</v>
      </c>
      <c r="AC28" s="1580">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1"/>
      <c r="M29" s="2143"/>
      <c r="N29" s="2143"/>
      <c r="O29" s="2150"/>
      <c r="P29" s="3395"/>
      <c r="Q29" s="1576" t="str">
        <f t="shared" si="11"/>
        <v>成新率</v>
      </c>
      <c r="R29" s="1577" t="s">
        <v>8</v>
      </c>
      <c r="S29" s="1578" t="e">
        <f t="shared" si="12"/>
        <v>#N/A</v>
      </c>
      <c r="T29" s="1577" t="s">
        <v>8</v>
      </c>
      <c r="U29" s="1578" t="e">
        <f t="shared" si="13"/>
        <v>#N/A</v>
      </c>
      <c r="V29" s="1577" t="s">
        <v>8</v>
      </c>
      <c r="W29" s="1578" t="e">
        <f t="shared" si="14"/>
        <v>#N/A</v>
      </c>
      <c r="X29" s="1571"/>
      <c r="Y29" s="3395"/>
      <c r="Z29" s="1579" t="str">
        <f t="shared" si="15"/>
        <v>成新率</v>
      </c>
      <c r="AA29" s="1580" t="e">
        <f t="shared" si="3"/>
        <v>#N/A</v>
      </c>
      <c r="AB29" s="1580" t="e">
        <f t="shared" si="4"/>
        <v>#N/A</v>
      </c>
      <c r="AC29" s="1580"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1"/>
      <c r="M30" s="2143"/>
      <c r="N30" s="2143"/>
      <c r="O30" s="2150"/>
      <c r="P30" s="3395"/>
      <c r="Q30" s="1576" t="str">
        <f t="shared" si="11"/>
        <v>物业等级</v>
      </c>
      <c r="R30" s="1577" t="s">
        <v>8</v>
      </c>
      <c r="S30" s="1578">
        <f t="shared" si="12"/>
        <v>100</v>
      </c>
      <c r="T30" s="1577" t="s">
        <v>8</v>
      </c>
      <c r="U30" s="1578">
        <f t="shared" si="13"/>
        <v>100</v>
      </c>
      <c r="V30" s="1577" t="s">
        <v>8</v>
      </c>
      <c r="W30" s="1578">
        <f t="shared" si="14"/>
        <v>100</v>
      </c>
      <c r="X30" s="1571"/>
      <c r="Y30" s="3395"/>
      <c r="Z30" s="1579" t="str">
        <f t="shared" si="15"/>
        <v>物业等级</v>
      </c>
      <c r="AA30" s="1580">
        <f t="shared" si="3"/>
        <v>1</v>
      </c>
      <c r="AB30" s="1580">
        <f t="shared" si="4"/>
        <v>1</v>
      </c>
      <c r="AC30" s="1580">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4"/>
      <c r="M31" s="2145"/>
      <c r="N31" s="2145"/>
      <c r="O31" s="2146"/>
      <c r="P31" s="3395"/>
      <c r="Q31" s="1154" t="str">
        <f t="shared" si="11"/>
        <v>停车位面积</v>
      </c>
      <c r="R31" s="1572" t="s">
        <v>8</v>
      </c>
      <c r="S31" s="1573" t="e">
        <f t="shared" si="12"/>
        <v>#N/A</v>
      </c>
      <c r="T31" s="1572" t="s">
        <v>8</v>
      </c>
      <c r="U31" s="1573" t="e">
        <f t="shared" si="13"/>
        <v>#N/A</v>
      </c>
      <c r="V31" s="1572" t="s">
        <v>8</v>
      </c>
      <c r="W31" s="1573" t="e">
        <f t="shared" si="14"/>
        <v>#N/A</v>
      </c>
      <c r="X31" s="1574"/>
      <c r="Y31" s="3395"/>
      <c r="Z31" s="1153" t="str">
        <f t="shared" si="15"/>
        <v>停车位面积</v>
      </c>
      <c r="AA31" s="1575" t="e">
        <f t="shared" si="3"/>
        <v>#N/A</v>
      </c>
      <c r="AB31" s="1575" t="e">
        <f t="shared" si="4"/>
        <v>#N/A</v>
      </c>
      <c r="AC31" s="1575"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395" t="s">
        <v>551</v>
      </c>
      <c r="Q32" s="1576" t="str">
        <f t="shared" si="11"/>
        <v>车位类型</v>
      </c>
      <c r="R32" s="1577" t="s">
        <v>8</v>
      </c>
      <c r="S32" s="1578">
        <f t="shared" si="12"/>
        <v>100</v>
      </c>
      <c r="T32" s="1577" t="s">
        <v>8</v>
      </c>
      <c r="U32" s="1578">
        <f t="shared" si="13"/>
        <v>100</v>
      </c>
      <c r="V32" s="1577" t="s">
        <v>8</v>
      </c>
      <c r="W32" s="1578">
        <f t="shared" si="14"/>
        <v>100</v>
      </c>
      <c r="X32" s="1571"/>
      <c r="Y32" s="3395" t="s">
        <v>551</v>
      </c>
      <c r="Z32" s="1579" t="str">
        <f t="shared" si="15"/>
        <v>车位类型</v>
      </c>
      <c r="AA32" s="1580">
        <f t="shared" si="3"/>
        <v>1</v>
      </c>
      <c r="AB32" s="1580">
        <f t="shared" si="4"/>
        <v>1</v>
      </c>
      <c r="AC32" s="1580">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395"/>
      <c r="Q33" s="1576" t="str">
        <f t="shared" si="11"/>
        <v>是否直接入户</v>
      </c>
      <c r="R33" s="1577" t="s">
        <v>8</v>
      </c>
      <c r="S33" s="1578">
        <f t="shared" si="12"/>
        <v>100</v>
      </c>
      <c r="T33" s="1577" t="s">
        <v>8</v>
      </c>
      <c r="U33" s="1578">
        <f t="shared" si="13"/>
        <v>100</v>
      </c>
      <c r="V33" s="1577" t="s">
        <v>8</v>
      </c>
      <c r="W33" s="1578">
        <f t="shared" si="14"/>
        <v>100</v>
      </c>
      <c r="X33" s="1571"/>
      <c r="Y33" s="3395"/>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395"/>
      <c r="Q34" s="1576">
        <f t="shared" si="11"/>
        <v>111</v>
      </c>
      <c r="R34" s="1577" t="s">
        <v>8</v>
      </c>
      <c r="S34" s="1578">
        <f t="shared" si="12"/>
        <v>100</v>
      </c>
      <c r="T34" s="1577" t="s">
        <v>8</v>
      </c>
      <c r="U34" s="1578">
        <f t="shared" si="13"/>
        <v>100</v>
      </c>
      <c r="V34" s="1577" t="s">
        <v>8</v>
      </c>
      <c r="W34" s="1578">
        <f t="shared" si="14"/>
        <v>100</v>
      </c>
      <c r="X34" s="1571"/>
      <c r="Y34" s="3395"/>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395"/>
      <c r="Q35" s="1609">
        <f t="shared" si="11"/>
        <v>111</v>
      </c>
      <c r="R35" s="1581" t="s">
        <v>8</v>
      </c>
      <c r="S35" s="1582">
        <f t="shared" si="12"/>
        <v>100</v>
      </c>
      <c r="T35" s="1581" t="s">
        <v>8</v>
      </c>
      <c r="U35" s="1582">
        <f t="shared" si="13"/>
        <v>100</v>
      </c>
      <c r="V35" s="1581" t="s">
        <v>8</v>
      </c>
      <c r="W35" s="1582">
        <f t="shared" si="14"/>
        <v>100</v>
      </c>
      <c r="X35" s="1583"/>
      <c r="Y35" s="3395"/>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395"/>
      <c r="Q36" s="1576">
        <f t="shared" si="11"/>
        <v>111</v>
      </c>
      <c r="R36" s="1577" t="s">
        <v>8</v>
      </c>
      <c r="S36" s="1578">
        <f t="shared" si="12"/>
        <v>100</v>
      </c>
      <c r="T36" s="1577" t="s">
        <v>8</v>
      </c>
      <c r="U36" s="1578">
        <f t="shared" si="13"/>
        <v>100</v>
      </c>
      <c r="V36" s="1577" t="s">
        <v>8</v>
      </c>
      <c r="W36" s="1578">
        <f t="shared" si="14"/>
        <v>100</v>
      </c>
      <c r="X36" s="1571"/>
      <c r="Y36" s="3395"/>
      <c r="Z36" s="1579">
        <f t="shared" si="15"/>
        <v>111</v>
      </c>
      <c r="AA36" s="1580">
        <f t="shared" si="3"/>
        <v>1</v>
      </c>
      <c r="AB36" s="1580">
        <f t="shared" si="4"/>
        <v>1</v>
      </c>
      <c r="AC36" s="1580">
        <f t="shared" si="5"/>
        <v>1</v>
      </c>
    </row>
    <row r="37" spans="1:29" ht="15">
      <c r="A37" s="1851" t="s">
        <v>2083</v>
      </c>
      <c r="B37" s="1852" t="s">
        <v>2084</v>
      </c>
      <c r="C37" s="2661" t="s">
        <v>1</v>
      </c>
      <c r="D37" s="2662"/>
      <c r="E37" s="2663"/>
      <c r="F37" s="2664"/>
      <c r="G37" s="2665"/>
      <c r="H37" s="2666"/>
      <c r="I37" s="2663"/>
      <c r="J37" s="2666"/>
      <c r="K37" s="1615"/>
      <c r="L37" s="2153"/>
      <c r="M37" s="2154"/>
      <c r="N37" s="2143"/>
      <c r="O37" s="2154"/>
      <c r="P37" s="3358" t="str">
        <f>A37</f>
        <v>成交单价</v>
      </c>
      <c r="Q37" s="3358"/>
      <c r="R37" s="3451">
        <f>E37</f>
        <v>0</v>
      </c>
      <c r="S37" s="3451"/>
      <c r="T37" s="3451">
        <f>G37</f>
        <v>0</v>
      </c>
      <c r="U37" s="3451"/>
      <c r="V37" s="3451">
        <f>I37</f>
        <v>0</v>
      </c>
      <c r="W37" s="3451"/>
      <c r="X37" s="1563"/>
      <c r="Y37" s="1585"/>
      <c r="Z37" s="1563"/>
      <c r="AA37" s="1563"/>
      <c r="AB37" s="1563"/>
      <c r="AC37" s="1563"/>
    </row>
    <row r="38" spans="1:29" ht="15.75" thickBot="1">
      <c r="A38" s="618" t="s">
        <v>2771</v>
      </c>
      <c r="B38" s="891"/>
      <c r="C38" s="2667" t="e">
        <f>R39</f>
        <v>#DIV/0!</v>
      </c>
      <c r="D38" s="2668"/>
      <c r="E38" s="2669" t="e">
        <f>R38</f>
        <v>#DIV/0!</v>
      </c>
      <c r="F38" s="2669"/>
      <c r="G38" s="2667" t="e">
        <f>T38</f>
        <v>#DIV/0!</v>
      </c>
      <c r="H38" s="2668"/>
      <c r="I38" s="2669" t="e">
        <f>V38</f>
        <v>#DIV/0!</v>
      </c>
      <c r="J38" s="2668"/>
      <c r="K38" s="1616"/>
      <c r="L38" s="2153"/>
      <c r="M38" s="2154"/>
      <c r="N38" s="2154"/>
      <c r="O38" s="2154"/>
      <c r="P38" s="3358" t="str">
        <f>A38</f>
        <v>比较价格（元/平方米）</v>
      </c>
      <c r="Q38" s="3358"/>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63"/>
      <c r="Y38" s="1563"/>
      <c r="Z38" s="1563"/>
      <c r="AA38" s="1563"/>
      <c r="AB38" s="1563"/>
      <c r="AC38" s="1563"/>
    </row>
    <row r="39" spans="1:29" ht="15.75" thickBot="1">
      <c r="A39" s="624" t="s">
        <v>2944</v>
      </c>
      <c r="B39" s="625"/>
      <c r="C39" s="2670" t="e">
        <f>R39</f>
        <v>#DIV/0!</v>
      </c>
      <c r="D39" s="2670"/>
      <c r="E39" s="2670"/>
      <c r="F39" s="2670"/>
      <c r="G39" s="2670"/>
      <c r="H39" s="2670"/>
      <c r="I39" s="2670"/>
      <c r="J39" s="2670"/>
      <c r="K39" s="1617"/>
      <c r="L39" s="2153"/>
      <c r="M39" s="2154"/>
      <c r="N39" s="2154"/>
      <c r="O39" s="2154"/>
      <c r="P39" s="3355" t="str">
        <f>A39</f>
        <v>估价对象XX用房的比较价格（楼面单价，元/平方米）</v>
      </c>
      <c r="Q39" s="3356"/>
      <c r="R39" s="3450" t="e">
        <f>IF(F1="售价",ROUND(AVERAGE(R38:V38),0),ROUND(AVERAGE(R38:V38),1))</f>
        <v>#DIV/0!</v>
      </c>
      <c r="S39" s="3450"/>
      <c r="T39" s="3450"/>
      <c r="U39" s="3450"/>
      <c r="V39" s="3450"/>
      <c r="W39" s="3450"/>
      <c r="X39" s="1563"/>
      <c r="Y39" s="1563"/>
      <c r="Z39" s="1563"/>
      <c r="AA39" s="1563"/>
      <c r="AB39" s="1563"/>
      <c r="AC39" s="1563"/>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8"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8"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8" t="s">
        <v>575</v>
      </c>
      <c r="B47" s="1563"/>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50" customFormat="1" ht="15">
      <c r="A48" s="648" t="s">
        <v>530</v>
      </c>
      <c r="B48" s="649"/>
      <c r="C48" s="2840" t="str">
        <f>YEAR(C7)&amp;"-"&amp;MONTH(C7)</f>
        <v>2017-9</v>
      </c>
      <c r="D48" s="2842">
        <f>EDATE(C48,-1)</f>
        <v>42948</v>
      </c>
      <c r="E48" s="2842">
        <f t="shared" ref="E48:O48" si="16">EDATE(D48,-1)</f>
        <v>42917</v>
      </c>
      <c r="F48" s="2842">
        <f t="shared" si="16"/>
        <v>42887</v>
      </c>
      <c r="G48" s="2842">
        <f t="shared" si="16"/>
        <v>42856</v>
      </c>
      <c r="H48" s="2842">
        <f t="shared" si="16"/>
        <v>42826</v>
      </c>
      <c r="I48" s="2842">
        <f t="shared" si="16"/>
        <v>42795</v>
      </c>
      <c r="J48" s="2842">
        <f t="shared" si="16"/>
        <v>42767</v>
      </c>
      <c r="K48" s="2842">
        <f t="shared" si="16"/>
        <v>42736</v>
      </c>
      <c r="L48" s="2842">
        <f t="shared" si="16"/>
        <v>42705</v>
      </c>
      <c r="M48" s="2842">
        <f t="shared" si="16"/>
        <v>42675</v>
      </c>
      <c r="N48" s="2842">
        <f t="shared" si="16"/>
        <v>42644</v>
      </c>
      <c r="O48" s="2842">
        <f t="shared" si="16"/>
        <v>42614</v>
      </c>
      <c r="P48" s="2169"/>
      <c r="Q48" s="2170"/>
      <c r="R48" s="2170"/>
      <c r="S48" s="2170"/>
      <c r="T48" s="2170"/>
      <c r="U48" s="2170"/>
      <c r="V48" s="2170"/>
      <c r="W48" s="2170"/>
      <c r="X48" s="2170"/>
      <c r="Y48" s="2170"/>
      <c r="Z48" s="2170"/>
      <c r="AA48" s="2170"/>
      <c r="AB48" s="2170"/>
      <c r="AC48" s="2170"/>
    </row>
    <row r="49" spans="1:29" s="1223"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8">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2"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2"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2"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2"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2565</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2566</v>
      </c>
      <c r="C67" s="2632" t="s">
        <v>2567</v>
      </c>
      <c r="D67" s="2632" t="s">
        <v>2568</v>
      </c>
      <c r="E67" s="2632" t="s">
        <v>2569</v>
      </c>
      <c r="F67" s="2632" t="s">
        <v>2570</v>
      </c>
      <c r="G67" s="2632" t="s">
        <v>2571</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3" customFormat="1" ht="15.75" thickTop="1">
      <c r="A73" s="712"/>
      <c r="B73" s="676">
        <f>B23</f>
        <v>111</v>
      </c>
      <c r="C73" s="544"/>
      <c r="D73" s="544"/>
      <c r="E73" s="544"/>
      <c r="F73" s="544"/>
      <c r="G73" s="691"/>
      <c r="H73" s="691"/>
      <c r="I73" s="691"/>
      <c r="J73" s="691"/>
      <c r="K73" s="691"/>
      <c r="L73" s="893"/>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71"/>
      <c r="O75" s="2171"/>
      <c r="P75" s="2174"/>
      <c r="Q75" s="2167"/>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2"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9"/>
      <c r="D81" s="939"/>
      <c r="E81" s="939"/>
      <c r="F81" s="939"/>
      <c r="G81" s="939"/>
      <c r="H81" s="939"/>
      <c r="I81" s="939"/>
      <c r="J81" s="939"/>
      <c r="K81" s="940"/>
      <c r="L81" s="941"/>
      <c r="M81" s="942"/>
      <c r="N81" s="2171"/>
      <c r="O81" s="2171"/>
      <c r="P81" s="2174"/>
      <c r="Q81" s="2167"/>
      <c r="R81" s="2154"/>
      <c r="S81" s="2154"/>
      <c r="T81" s="2154"/>
      <c r="U81" s="2154"/>
      <c r="V81" s="2154"/>
      <c r="W81" s="2154"/>
      <c r="X81" s="2154"/>
      <c r="Y81" s="2154"/>
      <c r="Z81" s="2154"/>
      <c r="AA81" s="2154"/>
      <c r="AB81" s="2154"/>
      <c r="AC81" s="2154"/>
    </row>
    <row r="82" spans="1:29" s="1342"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7">
        <v>0.5</v>
      </c>
      <c r="D86" s="897">
        <v>0.6</v>
      </c>
      <c r="E86" s="897">
        <v>0.7</v>
      </c>
      <c r="F86" s="897">
        <v>0.8</v>
      </c>
      <c r="G86" s="897">
        <v>0.9</v>
      </c>
      <c r="H86" s="897">
        <v>1.0001</v>
      </c>
      <c r="I86" s="908"/>
      <c r="J86" s="908"/>
      <c r="K86" s="909"/>
      <c r="L86" s="910"/>
      <c r="M86" s="911"/>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2"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20">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2"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2"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ROUND(B3*D3/10000,0)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800</v>
      </c>
      <c r="B4" s="516"/>
      <c r="C4" s="3364" t="s">
        <v>801</v>
      </c>
      <c r="D4" s="3365"/>
      <c r="E4" s="3404" t="s">
        <v>802</v>
      </c>
      <c r="F4" s="3405"/>
      <c r="G4" s="3364" t="s">
        <v>803</v>
      </c>
      <c r="H4" s="3365"/>
      <c r="I4" s="3364" t="s">
        <v>804</v>
      </c>
      <c r="J4" s="3365"/>
      <c r="K4" s="517" t="s">
        <v>805</v>
      </c>
      <c r="L4" s="2142"/>
      <c r="M4" s="2143"/>
      <c r="N4" s="2143"/>
      <c r="O4" s="2143"/>
      <c r="P4" s="3366" t="s">
        <v>806</v>
      </c>
      <c r="Q4" s="3367"/>
      <c r="R4" s="3372" t="s">
        <v>802</v>
      </c>
      <c r="S4" s="3373"/>
      <c r="T4" s="3372" t="s">
        <v>803</v>
      </c>
      <c r="U4" s="3373"/>
      <c r="V4" s="3359" t="s">
        <v>804</v>
      </c>
      <c r="W4" s="3359"/>
      <c r="X4" s="1571"/>
      <c r="Y4" s="3372" t="s">
        <v>806</v>
      </c>
      <c r="Z4" s="3373"/>
      <c r="AA4" s="3361" t="s">
        <v>802</v>
      </c>
      <c r="AB4" s="3362" t="s">
        <v>803</v>
      </c>
      <c r="AC4" s="3361" t="s">
        <v>804</v>
      </c>
    </row>
    <row r="5" spans="1:29" ht="15">
      <c r="A5" s="518"/>
      <c r="B5" s="519"/>
      <c r="C5" s="3380" t="s">
        <v>2938</v>
      </c>
      <c r="D5" s="3381"/>
      <c r="E5" s="3406" t="s">
        <v>2939</v>
      </c>
      <c r="F5" s="3407"/>
      <c r="G5" s="3380" t="s">
        <v>2940</v>
      </c>
      <c r="H5" s="3381"/>
      <c r="I5" s="3380" t="s">
        <v>2941</v>
      </c>
      <c r="J5" s="3381"/>
      <c r="K5" s="517"/>
      <c r="L5" s="2142"/>
      <c r="M5" s="2143"/>
      <c r="N5" s="2143"/>
      <c r="O5" s="2143"/>
      <c r="P5" s="3368"/>
      <c r="Q5" s="3369"/>
      <c r="R5" s="3374"/>
      <c r="S5" s="3375"/>
      <c r="T5" s="3374"/>
      <c r="U5" s="3375"/>
      <c r="V5" s="3359"/>
      <c r="W5" s="3359"/>
      <c r="X5" s="1571"/>
      <c r="Y5" s="3374"/>
      <c r="Z5" s="3375"/>
      <c r="AA5" s="3362"/>
      <c r="AB5" s="3362"/>
      <c r="AC5" s="3362"/>
    </row>
    <row r="6" spans="1:29" ht="15.75" thickBot="1">
      <c r="A6" s="520"/>
      <c r="B6" s="521"/>
      <c r="C6" s="3378" t="s">
        <v>2942</v>
      </c>
      <c r="D6" s="3379"/>
      <c r="E6" s="3402" t="s">
        <v>2942</v>
      </c>
      <c r="F6" s="3403"/>
      <c r="G6" s="3378" t="s">
        <v>2942</v>
      </c>
      <c r="H6" s="3379"/>
      <c r="I6" s="3378" t="s">
        <v>2942</v>
      </c>
      <c r="J6" s="3379"/>
      <c r="K6" s="517" t="s">
        <v>529</v>
      </c>
      <c r="L6" s="2142"/>
      <c r="M6" s="2143"/>
      <c r="N6" s="2143"/>
      <c r="O6" s="2143"/>
      <c r="P6" s="3370"/>
      <c r="Q6" s="3371"/>
      <c r="R6" s="3374"/>
      <c r="S6" s="3375"/>
      <c r="T6" s="3376"/>
      <c r="U6" s="3377"/>
      <c r="V6" s="3359"/>
      <c r="W6" s="3359"/>
      <c r="X6" s="1571"/>
      <c r="Y6" s="3376"/>
      <c r="Z6" s="3377"/>
      <c r="AA6" s="3363"/>
      <c r="AB6" s="3363"/>
      <c r="AC6" s="3363"/>
    </row>
    <row r="7" spans="1:29" s="1223" customFormat="1" ht="15.75" thickBot="1">
      <c r="A7" s="2950"/>
      <c r="B7" s="2957" t="s">
        <v>530</v>
      </c>
      <c r="C7" s="522">
        <f>'数据-取费表'!B2</f>
        <v>43005</v>
      </c>
      <c r="D7" s="523">
        <v>100</v>
      </c>
      <c r="E7" s="524"/>
      <c r="F7" s="525">
        <f>SUMIF(46:46,YEAR(E7)&amp;"-"&amp;MONTH(E7),47:47)</f>
        <v>0</v>
      </c>
      <c r="G7" s="526"/>
      <c r="H7" s="523">
        <f>SUMIF(46:46,YEAR(G7)&amp;"-"&amp;MONTH(G7),47:47)</f>
        <v>0</v>
      </c>
      <c r="I7" s="526"/>
      <c r="J7" s="523">
        <f>SUMIF(46:46,YEAR(I7)&amp;"-"&amp;MONTH(I7),47:47)</f>
        <v>0</v>
      </c>
      <c r="K7" s="527"/>
      <c r="L7" s="2144"/>
      <c r="M7" s="2145"/>
      <c r="N7" s="2145"/>
      <c r="O7" s="2145"/>
      <c r="P7" s="3389" t="s">
        <v>531</v>
      </c>
      <c r="Q7" s="3391"/>
      <c r="R7" s="1572" t="s">
        <v>8</v>
      </c>
      <c r="S7" s="1573">
        <f t="shared" ref="S7:S14" si="0">F7</f>
        <v>0</v>
      </c>
      <c r="T7" s="1572" t="s">
        <v>8</v>
      </c>
      <c r="U7" s="1573">
        <f t="shared" ref="U7:U14" si="1">H7</f>
        <v>0</v>
      </c>
      <c r="V7" s="1572" t="s">
        <v>8</v>
      </c>
      <c r="W7" s="1573">
        <f t="shared" ref="W7:W14" si="2">J7</f>
        <v>0</v>
      </c>
      <c r="X7" s="1574"/>
      <c r="Y7" s="3389" t="s">
        <v>531</v>
      </c>
      <c r="Z7" s="3390"/>
      <c r="AA7" s="1575" t="e">
        <f>D7/F7</f>
        <v>#DIV/0!</v>
      </c>
      <c r="AB7" s="1575" t="e">
        <f>D7/H7</f>
        <v>#DIV/0!</v>
      </c>
      <c r="AC7" s="1575" t="e">
        <f>D7/J7</f>
        <v>#DIV/0!</v>
      </c>
    </row>
    <row r="8" spans="1:29" s="1223" customFormat="1" ht="15.75" thickBot="1">
      <c r="A8" s="2951"/>
      <c r="B8" s="2958"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389" t="s">
        <v>534</v>
      </c>
      <c r="Q8" s="3390"/>
      <c r="R8" s="1572" t="s">
        <v>8</v>
      </c>
      <c r="S8" s="1573">
        <f t="shared" si="0"/>
        <v>0</v>
      </c>
      <c r="T8" s="1572" t="s">
        <v>8</v>
      </c>
      <c r="U8" s="1573">
        <f t="shared" si="1"/>
        <v>0</v>
      </c>
      <c r="V8" s="1572" t="s">
        <v>8</v>
      </c>
      <c r="W8" s="1573">
        <f t="shared" si="2"/>
        <v>0</v>
      </c>
      <c r="X8" s="1574"/>
      <c r="Y8" s="3389" t="s">
        <v>534</v>
      </c>
      <c r="Z8" s="3390"/>
      <c r="AA8" s="1575" t="e">
        <f t="shared" ref="AA8:AA34" si="3">D8/F8</f>
        <v>#DIV/0!</v>
      </c>
      <c r="AB8" s="1575" t="e">
        <f t="shared" ref="AB8:AB34" si="4">D8/H8</f>
        <v>#DIV/0!</v>
      </c>
      <c r="AC8" s="1575" t="e">
        <f t="shared" ref="AC8:AC34" si="5">D8/J8</f>
        <v>#DIV/0!</v>
      </c>
    </row>
    <row r="9" spans="1:29" s="1223" customFormat="1" ht="15">
      <c r="A9" s="2952"/>
      <c r="B9" s="2959" t="s">
        <v>2767</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58" t="s">
        <v>536</v>
      </c>
      <c r="Q9" s="1154" t="str">
        <f t="shared" ref="Q9:Q14" si="6">B9</f>
        <v>用途</v>
      </c>
      <c r="R9" s="1572" t="s">
        <v>8</v>
      </c>
      <c r="S9" s="1573">
        <f t="shared" si="0"/>
        <v>100</v>
      </c>
      <c r="T9" s="1572" t="s">
        <v>8</v>
      </c>
      <c r="U9" s="1573">
        <f t="shared" si="1"/>
        <v>100</v>
      </c>
      <c r="V9" s="1572" t="s">
        <v>8</v>
      </c>
      <c r="W9" s="1573">
        <f t="shared" si="2"/>
        <v>100</v>
      </c>
      <c r="X9" s="1574"/>
      <c r="Y9" s="3286" t="s">
        <v>537</v>
      </c>
      <c r="Z9" s="1153" t="str">
        <f t="shared" ref="Z9:Z14" si="7">Q9</f>
        <v>用途</v>
      </c>
      <c r="AA9" s="1575">
        <f t="shared" si="3"/>
        <v>1</v>
      </c>
      <c r="AB9" s="1575">
        <f t="shared" si="4"/>
        <v>1</v>
      </c>
      <c r="AC9" s="1575">
        <f t="shared" si="5"/>
        <v>1</v>
      </c>
    </row>
    <row r="10" spans="1:29" s="1341" customFormat="1" ht="27">
      <c r="A10" s="2953"/>
      <c r="B10" s="2958" t="s">
        <v>2768</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58"/>
      <c r="Q10" s="1154" t="str">
        <f t="shared" si="6"/>
        <v>土地使用年限（年）</v>
      </c>
      <c r="R10" s="1572" t="s">
        <v>8</v>
      </c>
      <c r="S10" s="1573">
        <f t="shared" si="0"/>
        <v>100</v>
      </c>
      <c r="T10" s="1572" t="s">
        <v>8</v>
      </c>
      <c r="U10" s="1573">
        <f t="shared" si="1"/>
        <v>100</v>
      </c>
      <c r="V10" s="1572" t="s">
        <v>8</v>
      </c>
      <c r="W10" s="1573">
        <f t="shared" si="2"/>
        <v>100</v>
      </c>
      <c r="X10" s="1574"/>
      <c r="Y10" s="3286"/>
      <c r="Z10" s="1153" t="str">
        <f t="shared" si="7"/>
        <v>土地使用年限（年）</v>
      </c>
      <c r="AA10" s="1575">
        <f t="shared" si="3"/>
        <v>1</v>
      </c>
      <c r="AB10" s="1575">
        <f t="shared" si="4"/>
        <v>1</v>
      </c>
      <c r="AC10" s="1575">
        <f t="shared" si="5"/>
        <v>1</v>
      </c>
    </row>
    <row r="11" spans="1:29" ht="15">
      <c r="A11" s="2955"/>
      <c r="B11" s="2961">
        <v>111</v>
      </c>
      <c r="C11" s="531"/>
      <c r="D11" s="255">
        <v>100</v>
      </c>
      <c r="E11" s="883"/>
      <c r="F11" s="255">
        <f>SUMIF(55:55,E11,56:56)-SUMIF(55:55,C11,56:56)+100</f>
        <v>100</v>
      </c>
      <c r="G11" s="883"/>
      <c r="H11" s="255">
        <f>SUMIF(55:55,G11,56:56)-SUMIF(55:55,C11,56:56)+100</f>
        <v>100</v>
      </c>
      <c r="I11" s="883"/>
      <c r="J11" s="255">
        <f>SUMIF(55:55,I11,56:56)-SUMIF(55:55,C11,56:56)+100</f>
        <v>100</v>
      </c>
      <c r="K11" s="584"/>
      <c r="L11" s="2149"/>
      <c r="M11" s="2143"/>
      <c r="N11" s="2143"/>
      <c r="O11" s="2150"/>
      <c r="P11" s="3358"/>
      <c r="Q11" s="1154">
        <f t="shared" si="6"/>
        <v>111</v>
      </c>
      <c r="R11" s="1572" t="s">
        <v>8</v>
      </c>
      <c r="S11" s="1573">
        <f t="shared" si="0"/>
        <v>100</v>
      </c>
      <c r="T11" s="1572" t="s">
        <v>8</v>
      </c>
      <c r="U11" s="1573">
        <f t="shared" si="1"/>
        <v>100</v>
      </c>
      <c r="V11" s="1572" t="s">
        <v>8</v>
      </c>
      <c r="W11" s="1573">
        <f t="shared" si="2"/>
        <v>100</v>
      </c>
      <c r="X11" s="1574"/>
      <c r="Y11" s="3286"/>
      <c r="Z11" s="1153">
        <f t="shared" si="7"/>
        <v>111</v>
      </c>
      <c r="AA11" s="1575">
        <f t="shared" si="3"/>
        <v>1</v>
      </c>
      <c r="AB11" s="1575">
        <f t="shared" si="4"/>
        <v>1</v>
      </c>
      <c r="AC11" s="1575">
        <f t="shared" si="5"/>
        <v>1</v>
      </c>
    </row>
    <row r="12" spans="1:29" s="1223" customFormat="1" ht="15">
      <c r="A12" s="2955"/>
      <c r="B12" s="2961">
        <v>111</v>
      </c>
      <c r="C12" s="531"/>
      <c r="D12" s="541">
        <v>100</v>
      </c>
      <c r="E12" s="883"/>
      <c r="F12" s="255">
        <f>SUMIF(57:57,E12,58:58)-SUMIF(57:57,C12,58:58)+100</f>
        <v>100</v>
      </c>
      <c r="G12" s="883"/>
      <c r="H12" s="255">
        <f>SUMIF(57:57,G12,58:58)-SUMIF(57:57,C12,58:58)+100</f>
        <v>100</v>
      </c>
      <c r="I12" s="883"/>
      <c r="J12" s="255">
        <f>SUMIF(57:57,I12,58:58)-SUMIF(57:57,C12,58:58)+100</f>
        <v>100</v>
      </c>
      <c r="K12" s="584"/>
      <c r="L12" s="2144"/>
      <c r="M12" s="2145"/>
      <c r="N12" s="2145"/>
      <c r="O12" s="2146"/>
      <c r="P12" s="3358"/>
      <c r="Q12" s="1154">
        <f t="shared" si="6"/>
        <v>111</v>
      </c>
      <c r="R12" s="1572" t="s">
        <v>8</v>
      </c>
      <c r="S12" s="1573">
        <f t="shared" si="0"/>
        <v>100</v>
      </c>
      <c r="T12" s="1572" t="s">
        <v>8</v>
      </c>
      <c r="U12" s="1573">
        <f t="shared" si="1"/>
        <v>100</v>
      </c>
      <c r="V12" s="1572" t="s">
        <v>8</v>
      </c>
      <c r="W12" s="1573">
        <f t="shared" si="2"/>
        <v>100</v>
      </c>
      <c r="X12" s="1574"/>
      <c r="Y12" s="3286"/>
      <c r="Z12" s="1153">
        <f t="shared" si="7"/>
        <v>111</v>
      </c>
      <c r="AA12" s="1575">
        <f>D12/F12</f>
        <v>1</v>
      </c>
      <c r="AB12" s="1575">
        <f>D12/H12</f>
        <v>1</v>
      </c>
      <c r="AC12" s="1575">
        <f>D12/J12</f>
        <v>1</v>
      </c>
    </row>
    <row r="13" spans="1:29" ht="15.75" thickBot="1">
      <c r="A13" s="2956"/>
      <c r="B13" s="2962">
        <v>111</v>
      </c>
      <c r="C13" s="542"/>
      <c r="D13" s="543">
        <v>100</v>
      </c>
      <c r="E13" s="883"/>
      <c r="F13" s="255">
        <f>SUMIF(59:59,E13,60:60)-SUMIF(59:59,C13,60:60)+100</f>
        <v>100</v>
      </c>
      <c r="G13" s="883"/>
      <c r="H13" s="543">
        <f>SUMIF(59:59,G13,60:60)-SUMIF(59:59,C13,60:60)+100</f>
        <v>100</v>
      </c>
      <c r="I13" s="883"/>
      <c r="J13" s="543">
        <f>SUMIF(59:59,I13,60:60)-SUMIF(59:59,C13,60:60)+100</f>
        <v>100</v>
      </c>
      <c r="K13" s="584"/>
      <c r="L13" s="2151"/>
      <c r="M13" s="2143"/>
      <c r="N13" s="2143"/>
      <c r="O13" s="2150"/>
      <c r="P13" s="3358"/>
      <c r="Q13" s="1154">
        <f t="shared" si="6"/>
        <v>111</v>
      </c>
      <c r="R13" s="1572" t="s">
        <v>8</v>
      </c>
      <c r="S13" s="1573">
        <f t="shared" si="0"/>
        <v>100</v>
      </c>
      <c r="T13" s="1572" t="s">
        <v>8</v>
      </c>
      <c r="U13" s="1573">
        <f t="shared" si="1"/>
        <v>100</v>
      </c>
      <c r="V13" s="1572" t="s">
        <v>8</v>
      </c>
      <c r="W13" s="1573">
        <f t="shared" si="2"/>
        <v>100</v>
      </c>
      <c r="X13" s="1574"/>
      <c r="Y13" s="3286"/>
      <c r="Z13" s="1153">
        <f t="shared" si="7"/>
        <v>111</v>
      </c>
      <c r="AA13" s="1575">
        <f t="shared" si="3"/>
        <v>1</v>
      </c>
      <c r="AB13" s="1575">
        <f t="shared" si="4"/>
        <v>1</v>
      </c>
      <c r="AC13" s="1575">
        <f t="shared" si="5"/>
        <v>1</v>
      </c>
    </row>
    <row r="14" spans="1:29" ht="85.5">
      <c r="A14" s="2948" t="s">
        <v>2765</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1"/>
      <c r="M14" s="2143"/>
      <c r="N14" s="2143"/>
      <c r="O14" s="2150"/>
      <c r="P14" s="3392" t="s">
        <v>541</v>
      </c>
      <c r="Q14" s="1576" t="str">
        <f t="shared" si="6"/>
        <v>交通便捷度</v>
      </c>
      <c r="R14" s="1577" t="s">
        <v>8</v>
      </c>
      <c r="S14" s="1578">
        <f t="shared" si="0"/>
        <v>100</v>
      </c>
      <c r="T14" s="1577" t="s">
        <v>8</v>
      </c>
      <c r="U14" s="1578">
        <f t="shared" si="1"/>
        <v>100</v>
      </c>
      <c r="V14" s="1577" t="s">
        <v>8</v>
      </c>
      <c r="W14" s="1578">
        <f t="shared" si="2"/>
        <v>100</v>
      </c>
      <c r="X14" s="1571"/>
      <c r="Y14" s="3392"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51"/>
      <c r="M15" s="2143"/>
      <c r="N15" s="2143"/>
      <c r="O15" s="2150"/>
      <c r="P15" s="3393"/>
      <c r="Q15" s="1576"/>
      <c r="R15" s="1577"/>
      <c r="S15" s="1578"/>
      <c r="T15" s="1577"/>
      <c r="U15" s="1578"/>
      <c r="V15" s="1577"/>
      <c r="W15" s="1578"/>
      <c r="X15" s="1571"/>
      <c r="Y15" s="3393"/>
      <c r="Z15" s="1579"/>
      <c r="AA15" s="1580">
        <v>1</v>
      </c>
      <c r="AB15" s="1580">
        <v>1</v>
      </c>
      <c r="AC15" s="1580">
        <v>1</v>
      </c>
    </row>
    <row r="16" spans="1:29" ht="42.75">
      <c r="A16" s="535"/>
      <c r="B16" s="2637" t="s">
        <v>2554</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1"/>
      <c r="M16" s="2143"/>
      <c r="N16" s="2143"/>
      <c r="O16" s="2150"/>
      <c r="P16" s="3393"/>
      <c r="Q16" s="1576" t="str">
        <f>B16</f>
        <v>公共配套设施</v>
      </c>
      <c r="R16" s="1577" t="s">
        <v>8</v>
      </c>
      <c r="S16" s="1578">
        <f>F16</f>
        <v>100</v>
      </c>
      <c r="T16" s="1577" t="s">
        <v>8</v>
      </c>
      <c r="U16" s="1578">
        <f>H16</f>
        <v>100</v>
      </c>
      <c r="V16" s="1577" t="s">
        <v>8</v>
      </c>
      <c r="W16" s="1578">
        <f>J16</f>
        <v>100</v>
      </c>
      <c r="X16" s="1571"/>
      <c r="Y16" s="3393"/>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51"/>
      <c r="M17" s="2143"/>
      <c r="N17" s="2143"/>
      <c r="O17" s="2150"/>
      <c r="P17" s="3393"/>
      <c r="Q17" s="1576"/>
      <c r="R17" s="1577"/>
      <c r="S17" s="1578"/>
      <c r="T17" s="1577"/>
      <c r="U17" s="1578"/>
      <c r="V17" s="1577"/>
      <c r="W17" s="1578"/>
      <c r="X17" s="1571"/>
      <c r="Y17" s="3393"/>
      <c r="Z17" s="1579"/>
      <c r="AA17" s="1580">
        <v>1</v>
      </c>
      <c r="AB17" s="1580">
        <v>1</v>
      </c>
      <c r="AC17" s="1580">
        <v>1</v>
      </c>
    </row>
    <row r="18" spans="1:29" ht="28.5">
      <c r="A18" s="535"/>
      <c r="B18" s="2625" t="s">
        <v>2566</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1"/>
      <c r="M18" s="2143"/>
      <c r="N18" s="2143"/>
      <c r="O18" s="2150"/>
      <c r="P18" s="3393"/>
      <c r="Q18" s="2613" t="str">
        <f>B18</f>
        <v>基础设施水平</v>
      </c>
      <c r="R18" s="1577" t="s">
        <v>8</v>
      </c>
      <c r="S18" s="1578">
        <f>F18</f>
        <v>100</v>
      </c>
      <c r="T18" s="1577" t="s">
        <v>8</v>
      </c>
      <c r="U18" s="1578">
        <f>H18</f>
        <v>100</v>
      </c>
      <c r="V18" s="1577" t="s">
        <v>8</v>
      </c>
      <c r="W18" s="1578">
        <f>J18</f>
        <v>100</v>
      </c>
      <c r="X18" s="2615"/>
      <c r="Y18" s="3393"/>
      <c r="Z18" s="2614"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6"/>
      <c r="L19" s="2151"/>
      <c r="M19" s="2143"/>
      <c r="N19" s="2143"/>
      <c r="O19" s="2150"/>
      <c r="P19" s="3393"/>
      <c r="Q19" s="2613"/>
      <c r="R19" s="1577"/>
      <c r="S19" s="1578"/>
      <c r="T19" s="1577"/>
      <c r="U19" s="1578"/>
      <c r="V19" s="1577"/>
      <c r="W19" s="1578"/>
      <c r="X19" s="2615"/>
      <c r="Y19" s="3393"/>
      <c r="Z19" s="2614"/>
      <c r="AA19" s="1580">
        <v>1</v>
      </c>
      <c r="AB19" s="1580">
        <v>1</v>
      </c>
      <c r="AC19" s="1580">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1"/>
      <c r="M20" s="2143"/>
      <c r="N20" s="2143"/>
      <c r="O20" s="2150"/>
      <c r="P20" s="3393"/>
      <c r="Q20" s="1576" t="str">
        <f>B20</f>
        <v>自然及人文环境</v>
      </c>
      <c r="R20" s="1577" t="s">
        <v>8</v>
      </c>
      <c r="S20" s="1578">
        <f>F20</f>
        <v>100</v>
      </c>
      <c r="T20" s="1577" t="s">
        <v>8</v>
      </c>
      <c r="U20" s="1578">
        <f>H20</f>
        <v>100</v>
      </c>
      <c r="V20" s="1577" t="s">
        <v>8</v>
      </c>
      <c r="W20" s="1578">
        <f>J20</f>
        <v>100</v>
      </c>
      <c r="X20" s="1571"/>
      <c r="Y20" s="3393"/>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51"/>
      <c r="M21" s="2143"/>
      <c r="N21" s="2143"/>
      <c r="O21" s="2150"/>
      <c r="P21" s="3393"/>
      <c r="Q21" s="1576"/>
      <c r="R21" s="1577"/>
      <c r="S21" s="1578"/>
      <c r="T21" s="1577"/>
      <c r="U21" s="1578"/>
      <c r="V21" s="1577"/>
      <c r="W21" s="1578"/>
      <c r="X21" s="1571"/>
      <c r="Y21" s="3393"/>
      <c r="Z21" s="1579"/>
      <c r="AA21" s="1580">
        <v>1</v>
      </c>
      <c r="AB21" s="1580">
        <v>1</v>
      </c>
      <c r="AC21" s="1580">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393"/>
      <c r="Q22" s="1576" t="str">
        <f>B22</f>
        <v>楼层</v>
      </c>
      <c r="R22" s="1577" t="s">
        <v>8</v>
      </c>
      <c r="S22" s="1578">
        <f>F22</f>
        <v>100</v>
      </c>
      <c r="T22" s="1577" t="s">
        <v>8</v>
      </c>
      <c r="U22" s="1578">
        <f>H22</f>
        <v>100</v>
      </c>
      <c r="V22" s="1577" t="s">
        <v>8</v>
      </c>
      <c r="W22" s="1578">
        <f>J22</f>
        <v>100</v>
      </c>
      <c r="X22" s="1571"/>
      <c r="Y22" s="3393"/>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393"/>
      <c r="Q23" s="1576">
        <f>B23</f>
        <v>111</v>
      </c>
      <c r="R23" s="1577" t="s">
        <v>8</v>
      </c>
      <c r="S23" s="1578">
        <f>F23</f>
        <v>100</v>
      </c>
      <c r="T23" s="1577" t="s">
        <v>8</v>
      </c>
      <c r="U23" s="1578">
        <f>H23</f>
        <v>100</v>
      </c>
      <c r="V23" s="1577" t="s">
        <v>8</v>
      </c>
      <c r="W23" s="1578">
        <f>J23</f>
        <v>100</v>
      </c>
      <c r="X23" s="1571"/>
      <c r="Y23" s="3393"/>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393"/>
      <c r="Q24" s="1576">
        <f t="shared" ref="Q24:Q34" si="11">B24</f>
        <v>111</v>
      </c>
      <c r="R24" s="1577" t="s">
        <v>8</v>
      </c>
      <c r="S24" s="1578">
        <f>F24</f>
        <v>100</v>
      </c>
      <c r="T24" s="1577" t="s">
        <v>8</v>
      </c>
      <c r="U24" s="1578">
        <f>H24</f>
        <v>100</v>
      </c>
      <c r="V24" s="1577" t="s">
        <v>8</v>
      </c>
      <c r="W24" s="1578">
        <f>J24</f>
        <v>100</v>
      </c>
      <c r="X24" s="1571"/>
      <c r="Y24" s="3393"/>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4"/>
      <c r="M25" s="2145"/>
      <c r="N25" s="2145"/>
      <c r="O25" s="2146"/>
      <c r="P25" s="3393"/>
      <c r="Q25" s="1154">
        <f t="shared" si="11"/>
        <v>111</v>
      </c>
      <c r="R25" s="1572" t="s">
        <v>8</v>
      </c>
      <c r="S25" s="1573">
        <f>F25</f>
        <v>100</v>
      </c>
      <c r="T25" s="1572" t="s">
        <v>8</v>
      </c>
      <c r="U25" s="1573">
        <f>H25</f>
        <v>100</v>
      </c>
      <c r="V25" s="1572" t="s">
        <v>8</v>
      </c>
      <c r="W25" s="1573">
        <f>J25</f>
        <v>100</v>
      </c>
      <c r="X25" s="1574"/>
      <c r="Y25" s="3393"/>
      <c r="Z25" s="1153">
        <f>Q25</f>
        <v>111</v>
      </c>
      <c r="AA25" s="1580">
        <f>D25/F25</f>
        <v>1</v>
      </c>
      <c r="AB25" s="1580">
        <f>D25/H25</f>
        <v>1</v>
      </c>
      <c r="AC25" s="1580">
        <f>D25/J25</f>
        <v>1</v>
      </c>
    </row>
    <row r="26" spans="1:29" ht="15">
      <c r="A26" s="2945" t="s">
        <v>2766</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1"/>
      <c r="M26" s="2143"/>
      <c r="N26" s="2143"/>
      <c r="O26" s="2150"/>
      <c r="P26" s="3394"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95" t="s">
        <v>824</v>
      </c>
      <c r="Z26" s="1579" t="str">
        <f t="shared" ref="Z26:Z34" si="15">Q26</f>
        <v>公共部分装修</v>
      </c>
      <c r="AA26" s="1580">
        <f t="shared" si="3"/>
        <v>1</v>
      </c>
      <c r="AB26" s="1580">
        <f t="shared" si="4"/>
        <v>1</v>
      </c>
      <c r="AC26" s="1580">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9"/>
      <c r="M27" s="2180"/>
      <c r="N27" s="2180"/>
      <c r="O27" s="2152"/>
      <c r="P27" s="3395"/>
      <c r="Q27" s="1609" t="str">
        <f t="shared" si="11"/>
        <v>成新率</v>
      </c>
      <c r="R27" s="1581" t="s">
        <v>8</v>
      </c>
      <c r="S27" s="1582" t="e">
        <f t="shared" si="12"/>
        <v>#N/A</v>
      </c>
      <c r="T27" s="1581" t="s">
        <v>8</v>
      </c>
      <c r="U27" s="1582" t="e">
        <f t="shared" si="13"/>
        <v>#N/A</v>
      </c>
      <c r="V27" s="1581" t="s">
        <v>8</v>
      </c>
      <c r="W27" s="1582" t="e">
        <f t="shared" si="14"/>
        <v>#N/A</v>
      </c>
      <c r="X27" s="1583"/>
      <c r="Y27" s="3395"/>
      <c r="Z27" s="1584" t="str">
        <f t="shared" si="15"/>
        <v>成新率</v>
      </c>
      <c r="AA27" s="1580" t="e">
        <f t="shared" si="3"/>
        <v>#N/A</v>
      </c>
      <c r="AB27" s="1580" t="e">
        <f t="shared" si="4"/>
        <v>#N/A</v>
      </c>
      <c r="AC27" s="1580"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395"/>
      <c r="Q28" s="1576" t="str">
        <f t="shared" si="11"/>
        <v>物业等级</v>
      </c>
      <c r="R28" s="1577" t="s">
        <v>8</v>
      </c>
      <c r="S28" s="1578">
        <f t="shared" si="12"/>
        <v>100</v>
      </c>
      <c r="T28" s="1577" t="s">
        <v>8</v>
      </c>
      <c r="U28" s="1578">
        <f t="shared" si="13"/>
        <v>100</v>
      </c>
      <c r="V28" s="1577" t="s">
        <v>8</v>
      </c>
      <c r="W28" s="1578">
        <f t="shared" si="14"/>
        <v>100</v>
      </c>
      <c r="X28" s="1571"/>
      <c r="Y28" s="3395"/>
      <c r="Z28" s="1579" t="str">
        <f t="shared" si="15"/>
        <v>物业等级</v>
      </c>
      <c r="AA28" s="1580">
        <f t="shared" si="3"/>
        <v>1</v>
      </c>
      <c r="AB28" s="1580">
        <f t="shared" si="4"/>
        <v>1</v>
      </c>
      <c r="AC28" s="1580">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1"/>
      <c r="M29" s="2143"/>
      <c r="N29" s="2143"/>
      <c r="O29" s="2150"/>
      <c r="P29" s="3395"/>
      <c r="Q29" s="1576" t="str">
        <f t="shared" si="11"/>
        <v>有无电梯</v>
      </c>
      <c r="R29" s="1577" t="s">
        <v>8</v>
      </c>
      <c r="S29" s="1578">
        <f t="shared" si="12"/>
        <v>100</v>
      </c>
      <c r="T29" s="1577" t="s">
        <v>8</v>
      </c>
      <c r="U29" s="1578">
        <f t="shared" si="13"/>
        <v>100</v>
      </c>
      <c r="V29" s="1577" t="s">
        <v>8</v>
      </c>
      <c r="W29" s="1578">
        <f t="shared" si="14"/>
        <v>100</v>
      </c>
      <c r="X29" s="1571"/>
      <c r="Y29" s="3395"/>
      <c r="Z29" s="1579" t="str">
        <f t="shared" si="15"/>
        <v>有无电梯</v>
      </c>
      <c r="AA29" s="1580">
        <f t="shared" si="3"/>
        <v>1</v>
      </c>
      <c r="AB29" s="1580">
        <f t="shared" si="4"/>
        <v>1</v>
      </c>
      <c r="AC29" s="1580">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1"/>
      <c r="M30" s="2143"/>
      <c r="N30" s="2143"/>
      <c r="O30" s="2150"/>
      <c r="P30" s="3395"/>
      <c r="Q30" s="1576" t="str">
        <f t="shared" si="11"/>
        <v>建筑面积</v>
      </c>
      <c r="R30" s="1577" t="s">
        <v>8</v>
      </c>
      <c r="S30" s="1578" t="e">
        <f t="shared" si="12"/>
        <v>#N/A</v>
      </c>
      <c r="T30" s="1577" t="s">
        <v>8</v>
      </c>
      <c r="U30" s="1578" t="e">
        <f t="shared" si="13"/>
        <v>#N/A</v>
      </c>
      <c r="V30" s="1577" t="s">
        <v>8</v>
      </c>
      <c r="W30" s="1578" t="e">
        <f t="shared" si="14"/>
        <v>#N/A</v>
      </c>
      <c r="X30" s="1571"/>
      <c r="Y30" s="3395"/>
      <c r="Z30" s="1579" t="str">
        <f t="shared" si="15"/>
        <v>建筑面积</v>
      </c>
      <c r="AA30" s="1580" t="e">
        <f t="shared" si="3"/>
        <v>#N/A</v>
      </c>
      <c r="AB30" s="1580" t="e">
        <f t="shared" si="4"/>
        <v>#N/A</v>
      </c>
      <c r="AC30" s="1580"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4"/>
      <c r="M31" s="2145"/>
      <c r="N31" s="2145"/>
      <c r="O31" s="2146"/>
      <c r="P31" s="3395"/>
      <c r="Q31" s="1154" t="str">
        <f t="shared" si="11"/>
        <v>是否封闭</v>
      </c>
      <c r="R31" s="1572" t="s">
        <v>8</v>
      </c>
      <c r="S31" s="1573">
        <f t="shared" si="12"/>
        <v>100</v>
      </c>
      <c r="T31" s="1572" t="s">
        <v>8</v>
      </c>
      <c r="U31" s="1573">
        <f t="shared" si="13"/>
        <v>100</v>
      </c>
      <c r="V31" s="1572" t="s">
        <v>8</v>
      </c>
      <c r="W31" s="1573">
        <f t="shared" si="14"/>
        <v>100</v>
      </c>
      <c r="X31" s="1574"/>
      <c r="Y31" s="3395"/>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1"/>
      <c r="M32" s="2143"/>
      <c r="N32" s="2143"/>
      <c r="O32" s="2150"/>
      <c r="P32" s="3395" t="s">
        <v>551</v>
      </c>
      <c r="Q32" s="1576">
        <f t="shared" si="11"/>
        <v>111</v>
      </c>
      <c r="R32" s="1577" t="s">
        <v>8</v>
      </c>
      <c r="S32" s="1578">
        <f t="shared" si="12"/>
        <v>100</v>
      </c>
      <c r="T32" s="1577" t="s">
        <v>8</v>
      </c>
      <c r="U32" s="1578">
        <f t="shared" si="13"/>
        <v>100</v>
      </c>
      <c r="V32" s="1577" t="s">
        <v>8</v>
      </c>
      <c r="W32" s="1578">
        <f t="shared" si="14"/>
        <v>100</v>
      </c>
      <c r="X32" s="1571"/>
      <c r="Y32" s="3395"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1"/>
      <c r="M33" s="2143"/>
      <c r="N33" s="2143"/>
      <c r="O33" s="2150"/>
      <c r="P33" s="3395"/>
      <c r="Q33" s="1576">
        <f t="shared" si="11"/>
        <v>111</v>
      </c>
      <c r="R33" s="1577" t="s">
        <v>8</v>
      </c>
      <c r="S33" s="1578">
        <f t="shared" si="12"/>
        <v>100</v>
      </c>
      <c r="T33" s="1577" t="s">
        <v>8</v>
      </c>
      <c r="U33" s="1578">
        <f t="shared" si="13"/>
        <v>100</v>
      </c>
      <c r="V33" s="1577" t="s">
        <v>8</v>
      </c>
      <c r="W33" s="1578">
        <f t="shared" si="14"/>
        <v>100</v>
      </c>
      <c r="X33" s="1571"/>
      <c r="Y33" s="3395"/>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1"/>
      <c r="M34" s="2143"/>
      <c r="N34" s="2143"/>
      <c r="O34" s="2150"/>
      <c r="P34" s="3395"/>
      <c r="Q34" s="1576">
        <f t="shared" si="11"/>
        <v>111</v>
      </c>
      <c r="R34" s="1577" t="s">
        <v>8</v>
      </c>
      <c r="S34" s="1578">
        <f t="shared" si="12"/>
        <v>100</v>
      </c>
      <c r="T34" s="1577" t="s">
        <v>8</v>
      </c>
      <c r="U34" s="1578">
        <f t="shared" si="13"/>
        <v>100</v>
      </c>
      <c r="V34" s="1577" t="s">
        <v>8</v>
      </c>
      <c r="W34" s="1578">
        <f t="shared" si="14"/>
        <v>100</v>
      </c>
      <c r="X34" s="1571"/>
      <c r="Y34" s="3395"/>
      <c r="Z34" s="1579">
        <f t="shared" si="15"/>
        <v>111</v>
      </c>
      <c r="AA34" s="1580">
        <f t="shared" si="3"/>
        <v>1</v>
      </c>
      <c r="AB34" s="1580">
        <f t="shared" si="4"/>
        <v>1</v>
      </c>
      <c r="AC34" s="1580">
        <f t="shared" si="5"/>
        <v>1</v>
      </c>
    </row>
    <row r="35" spans="1:29" ht="15">
      <c r="A35" s="610" t="s">
        <v>739</v>
      </c>
      <c r="B35" s="890"/>
      <c r="C35" s="2661" t="s">
        <v>1</v>
      </c>
      <c r="D35" s="2662"/>
      <c r="E35" s="2663"/>
      <c r="F35" s="2664"/>
      <c r="G35" s="2665"/>
      <c r="H35" s="2666"/>
      <c r="I35" s="2663"/>
      <c r="J35" s="2666"/>
      <c r="K35" s="1615"/>
      <c r="L35" s="2153"/>
      <c r="M35" s="2154"/>
      <c r="N35" s="2143"/>
      <c r="O35" s="2154"/>
      <c r="P35" s="3358" t="str">
        <f>A35</f>
        <v>成交单价（元/平方米）</v>
      </c>
      <c r="Q35" s="3358"/>
      <c r="R35" s="3451">
        <f>E35</f>
        <v>0</v>
      </c>
      <c r="S35" s="3451"/>
      <c r="T35" s="3451">
        <f>G35</f>
        <v>0</v>
      </c>
      <c r="U35" s="3451"/>
      <c r="V35" s="3451">
        <f>I35</f>
        <v>0</v>
      </c>
      <c r="W35" s="3451"/>
      <c r="X35" s="1563"/>
      <c r="Y35" s="1585"/>
      <c r="Z35" s="1563"/>
      <c r="AA35" s="1563"/>
      <c r="AB35" s="1563"/>
      <c r="AC35" s="1563"/>
    </row>
    <row r="36" spans="1:29" ht="15.75" thickBot="1">
      <c r="A36" s="618" t="s">
        <v>2771</v>
      </c>
      <c r="B36" s="891"/>
      <c r="C36" s="2667" t="e">
        <f>R37</f>
        <v>#DIV/0!</v>
      </c>
      <c r="D36" s="2668"/>
      <c r="E36" s="2669" t="e">
        <f>R36</f>
        <v>#DIV/0!</v>
      </c>
      <c r="F36" s="2669"/>
      <c r="G36" s="2667" t="e">
        <f>T36</f>
        <v>#DIV/0!</v>
      </c>
      <c r="H36" s="2668"/>
      <c r="I36" s="2669" t="e">
        <f>V36</f>
        <v>#DIV/0!</v>
      </c>
      <c r="J36" s="2668"/>
      <c r="K36" s="1616"/>
      <c r="L36" s="2153"/>
      <c r="M36" s="2154"/>
      <c r="N36" s="2143"/>
      <c r="O36" s="2154"/>
      <c r="P36" s="3358" t="str">
        <f>A36</f>
        <v>比较价格（元/平方米）</v>
      </c>
      <c r="Q36" s="3358"/>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3"/>
      <c r="Y36" s="1563"/>
      <c r="Z36" s="1563"/>
      <c r="AA36" s="1563"/>
      <c r="AB36" s="1563"/>
      <c r="AC36" s="1563"/>
    </row>
    <row r="37" spans="1:29" ht="15.75" thickBot="1">
      <c r="A37" s="624" t="s">
        <v>2944</v>
      </c>
      <c r="B37" s="625"/>
      <c r="C37" s="2670" t="e">
        <f>R37</f>
        <v>#DIV/0!</v>
      </c>
      <c r="D37" s="2670"/>
      <c r="E37" s="2670"/>
      <c r="F37" s="2670"/>
      <c r="G37" s="2670"/>
      <c r="H37" s="2670"/>
      <c r="I37" s="2670"/>
      <c r="J37" s="2670"/>
      <c r="K37" s="1617"/>
      <c r="L37" s="2153"/>
      <c r="M37" s="2154"/>
      <c r="N37" s="2154"/>
      <c r="O37" s="2154"/>
      <c r="P37" s="3355" t="str">
        <f>A37</f>
        <v>估价对象XX用房的比较价格（楼面单价，元/平方米）</v>
      </c>
      <c r="Q37" s="3356"/>
      <c r="R37" s="3450" t="e">
        <f>IF(F1="售价",ROUND(AVERAGE(R36:V36),0),ROUND(AVERAGE(R36:V36),1))</f>
        <v>#DIV/0!</v>
      </c>
      <c r="S37" s="3450"/>
      <c r="T37" s="3450"/>
      <c r="U37" s="3450"/>
      <c r="V37" s="3450"/>
      <c r="W37" s="3450"/>
      <c r="X37" s="1563"/>
      <c r="Y37" s="1563"/>
      <c r="Z37" s="1563"/>
      <c r="AA37" s="1563"/>
      <c r="AB37" s="1563"/>
      <c r="AC37" s="1563"/>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8"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8"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8" t="s">
        <v>575</v>
      </c>
      <c r="B45" s="1563"/>
      <c r="C45" s="1587"/>
      <c r="D45" s="1587"/>
      <c r="E45" s="1587"/>
      <c r="F45" s="1589"/>
      <c r="G45" s="1589"/>
      <c r="H45" s="1587"/>
      <c r="I45" s="1587"/>
      <c r="J45" s="1587"/>
      <c r="K45" s="1590"/>
      <c r="L45" s="1586"/>
      <c r="M45" s="1587"/>
      <c r="N45" s="1587"/>
      <c r="O45" s="1587"/>
      <c r="P45" s="2166"/>
      <c r="Q45" s="2167"/>
      <c r="R45" s="2154"/>
      <c r="S45" s="2154"/>
      <c r="T45" s="2154"/>
      <c r="U45" s="2154"/>
      <c r="V45" s="2154"/>
      <c r="W45" s="2154"/>
      <c r="X45" s="2154"/>
      <c r="Y45" s="2154"/>
      <c r="Z45" s="2154"/>
      <c r="AA45" s="2154"/>
      <c r="AB45" s="2154"/>
      <c r="AC45" s="2154"/>
    </row>
    <row r="46" spans="1:29" s="1350" customFormat="1" ht="15">
      <c r="A46" s="648" t="s">
        <v>530</v>
      </c>
      <c r="B46" s="649"/>
      <c r="C46" s="2840" t="str">
        <f>YEAR(C7)&amp;"-"&amp;MONTH(C7)</f>
        <v>2017-9</v>
      </c>
      <c r="D46" s="2842">
        <f>EDATE(C46,-1)</f>
        <v>42948</v>
      </c>
      <c r="E46" s="2842">
        <f t="shared" ref="E46:O46" si="16">EDATE(D46,-1)</f>
        <v>42917</v>
      </c>
      <c r="F46" s="2842">
        <f t="shared" si="16"/>
        <v>42887</v>
      </c>
      <c r="G46" s="2842">
        <f t="shared" si="16"/>
        <v>42856</v>
      </c>
      <c r="H46" s="2842">
        <f t="shared" si="16"/>
        <v>42826</v>
      </c>
      <c r="I46" s="2842">
        <f t="shared" si="16"/>
        <v>42795</v>
      </c>
      <c r="J46" s="2842">
        <f t="shared" si="16"/>
        <v>42767</v>
      </c>
      <c r="K46" s="2842">
        <f t="shared" si="16"/>
        <v>42736</v>
      </c>
      <c r="L46" s="2842">
        <f t="shared" si="16"/>
        <v>42705</v>
      </c>
      <c r="M46" s="2842">
        <f t="shared" si="16"/>
        <v>42675</v>
      </c>
      <c r="N46" s="2842">
        <f t="shared" si="16"/>
        <v>42644</v>
      </c>
      <c r="O46" s="2842">
        <f t="shared" si="16"/>
        <v>42614</v>
      </c>
      <c r="P46" s="2169"/>
      <c r="Q46" s="2170"/>
      <c r="R46" s="2170"/>
      <c r="S46" s="2170"/>
      <c r="T46" s="2170"/>
      <c r="U46" s="2170"/>
      <c r="V46" s="2170"/>
      <c r="W46" s="2170"/>
      <c r="X46" s="2170"/>
      <c r="Y46" s="2170"/>
      <c r="Z46" s="2170"/>
      <c r="AA46" s="2170"/>
      <c r="AB46" s="2170"/>
      <c r="AC46" s="2170"/>
    </row>
    <row r="47" spans="1:29" s="1223"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8">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2"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2"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2"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2"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2565</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2566</v>
      </c>
      <c r="C65" s="2632" t="s">
        <v>2567</v>
      </c>
      <c r="D65" s="2632" t="s">
        <v>2568</v>
      </c>
      <c r="E65" s="2632" t="s">
        <v>2569</v>
      </c>
      <c r="F65" s="2632" t="s">
        <v>2570</v>
      </c>
      <c r="G65" s="2632" t="s">
        <v>2571</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3" customFormat="1" ht="15.75" thickTop="1">
      <c r="A71" s="712"/>
      <c r="B71" s="676">
        <f>B23</f>
        <v>111</v>
      </c>
      <c r="C71" s="544"/>
      <c r="D71" s="544"/>
      <c r="E71" s="544"/>
      <c r="F71" s="544"/>
      <c r="G71" s="691"/>
      <c r="H71" s="691"/>
      <c r="I71" s="691"/>
      <c r="J71" s="691"/>
      <c r="K71" s="691"/>
      <c r="L71" s="893"/>
      <c r="M71" s="894"/>
      <c r="N71" s="2171"/>
      <c r="O71" s="2171"/>
      <c r="P71" s="2174"/>
      <c r="Q71" s="2167"/>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2"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7">
        <v>0.5</v>
      </c>
      <c r="D80" s="897">
        <v>0.6</v>
      </c>
      <c r="E80" s="897">
        <v>0.7</v>
      </c>
      <c r="F80" s="897">
        <v>0.8</v>
      </c>
      <c r="G80" s="897">
        <v>0.9</v>
      </c>
      <c r="H80" s="897">
        <v>1.0001</v>
      </c>
      <c r="I80" s="938"/>
      <c r="J80" s="938"/>
      <c r="K80" s="948"/>
      <c r="L80" s="949"/>
      <c r="M80" s="950"/>
      <c r="N80" s="2171"/>
      <c r="O80" s="2171"/>
      <c r="P80" s="2174"/>
      <c r="Q80" s="2167"/>
      <c r="R80" s="2154"/>
      <c r="S80" s="2154"/>
      <c r="T80" s="2154"/>
      <c r="U80" s="2154"/>
      <c r="V80" s="2154"/>
      <c r="W80" s="2154"/>
      <c r="X80" s="2154"/>
      <c r="Y80" s="2154"/>
      <c r="Z80" s="2154"/>
      <c r="AA80" s="2154"/>
      <c r="AB80" s="2154"/>
      <c r="AC80" s="2154"/>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2" customFormat="1" ht="15" thickTop="1">
      <c r="A89" s="731"/>
      <c r="B89" s="676" t="s">
        <v>830</v>
      </c>
      <c r="C89" s="691"/>
      <c r="D89" s="691"/>
      <c r="E89" s="691"/>
      <c r="F89" s="691"/>
      <c r="G89" s="691"/>
      <c r="H89" s="691"/>
      <c r="I89" s="691"/>
      <c r="J89" s="691"/>
      <c r="K89" s="691"/>
      <c r="L89" s="691"/>
      <c r="M89" s="894"/>
      <c r="N89" s="2176"/>
      <c r="O89" s="2176"/>
      <c r="P89" s="2177"/>
      <c r="Q89" s="2178"/>
      <c r="R89" s="2179"/>
      <c r="S89" s="2179"/>
      <c r="T89" s="2179"/>
      <c r="U89" s="2179"/>
      <c r="V89" s="2179"/>
      <c r="W89" s="2179"/>
      <c r="X89" s="2179"/>
      <c r="Y89" s="2179"/>
      <c r="Z89" s="2179"/>
      <c r="AA89" s="2179"/>
      <c r="AB89" s="2179"/>
      <c r="AC89" s="2179"/>
    </row>
    <row r="90" spans="1:29" s="1342"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20">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43" t="s">
        <v>2309</v>
      </c>
      <c r="C1" s="3460" t="s">
        <v>2310</v>
      </c>
      <c r="D1" s="3461"/>
      <c r="E1" s="3461"/>
      <c r="F1" s="3461"/>
      <c r="G1" s="3461"/>
      <c r="H1" s="3461"/>
      <c r="I1" s="3461"/>
      <c r="J1" s="3461"/>
      <c r="K1" s="3461"/>
      <c r="L1" s="3461"/>
      <c r="M1" s="3461"/>
      <c r="N1" s="3461"/>
      <c r="O1" s="3461"/>
      <c r="P1" s="3461"/>
      <c r="Q1" s="3461"/>
      <c r="R1" s="3461"/>
      <c r="S1" s="3462"/>
      <c r="T1" s="2243" t="s">
        <v>2311</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2" t="s">
        <v>2312</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5" t="str">
        <f>S3&amp;"(含)"&amp;"-"</f>
        <v>(含)-</v>
      </c>
      <c r="T2" s="955"/>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6"/>
      <c r="C3" s="957"/>
      <c r="D3" s="958"/>
      <c r="E3" s="958"/>
      <c r="F3" s="958"/>
      <c r="G3" s="958"/>
      <c r="H3" s="958"/>
      <c r="I3" s="958"/>
      <c r="J3" s="959"/>
      <c r="K3" s="959"/>
      <c r="L3" s="960"/>
      <c r="M3" s="2248"/>
      <c r="N3" s="2249"/>
      <c r="O3" s="958"/>
      <c r="P3" s="958"/>
      <c r="Q3" s="958"/>
      <c r="R3" s="958"/>
      <c r="S3" s="2250"/>
      <c r="T3" s="961"/>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6" t="s">
        <v>2937</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28" t="s">
        <v>2936</v>
      </c>
      <c r="C7" s="1966"/>
      <c r="D7" s="1967"/>
      <c r="E7" s="1967"/>
      <c r="F7" s="1967"/>
      <c r="G7" s="1967"/>
      <c r="H7" s="1967"/>
      <c r="I7" s="1967"/>
      <c r="J7" s="1967"/>
      <c r="K7" s="1967"/>
      <c r="L7" s="1967"/>
      <c r="M7" s="2268"/>
      <c r="N7" s="2269"/>
      <c r="O7" s="2270"/>
      <c r="P7" s="2271"/>
      <c r="Q7" s="2272"/>
      <c r="R7" s="2273"/>
      <c r="S7" s="2274"/>
      <c r="T7" s="96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28" t="s">
        <v>2935</v>
      </c>
      <c r="C9" s="1966"/>
      <c r="D9" s="1967"/>
      <c r="E9" s="1967"/>
      <c r="F9" s="1967"/>
      <c r="G9" s="1967"/>
      <c r="H9" s="1967"/>
      <c r="I9" s="1967"/>
      <c r="J9" s="1967"/>
      <c r="K9" s="1967"/>
      <c r="L9" s="1968"/>
      <c r="M9" s="2268"/>
      <c r="N9" s="2269"/>
      <c r="O9" s="2270"/>
      <c r="P9" s="2271"/>
      <c r="Q9" s="2272"/>
      <c r="R9" s="2273"/>
      <c r="S9" s="2274"/>
      <c r="T9" s="96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7"/>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6" t="s">
        <v>2950</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6" t="s">
        <v>2934</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6" t="s">
        <v>2933</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2313</v>
      </c>
      <c r="B17" s="2287" t="s">
        <v>2314</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1"/>
      <c r="C19" s="1995"/>
      <c r="D19" s="1995"/>
      <c r="E19" s="1995"/>
      <c r="F19" s="1995"/>
      <c r="G19" s="1995"/>
      <c r="H19" s="1995"/>
      <c r="I19" s="1995"/>
      <c r="J19" s="1995"/>
      <c r="K19" s="1995"/>
      <c r="L19" s="1995"/>
      <c r="M19" s="1995"/>
      <c r="N19" s="1995"/>
      <c r="O19" s="1995"/>
      <c r="P19" s="1995"/>
      <c r="Q19" s="1995"/>
      <c r="R19" s="2234"/>
      <c r="S19" s="2033"/>
    </row>
    <row r="20" spans="1:45" ht="15.75">
      <c r="A20" s="963" t="s">
        <v>831</v>
      </c>
      <c r="B20" s="778">
        <f>S22</f>
        <v>0</v>
      </c>
      <c r="C20" s="1995"/>
      <c r="D20" s="1995"/>
      <c r="E20" s="1995"/>
      <c r="F20" s="1995"/>
      <c r="G20" s="1995"/>
      <c r="H20" s="1995"/>
      <c r="I20" s="1995"/>
      <c r="J20" s="1995"/>
      <c r="K20" s="1995"/>
      <c r="L20" s="1995"/>
      <c r="M20" s="1995"/>
      <c r="N20" s="1995"/>
      <c r="O20" s="1995"/>
      <c r="P20" s="1995"/>
      <c r="Q20" s="1995"/>
      <c r="R20" s="2234"/>
      <c r="S20" s="2033"/>
    </row>
    <row r="21" spans="1:45" ht="15.75">
      <c r="A21" s="963" t="s">
        <v>832</v>
      </c>
      <c r="B21" s="778" t="e">
        <f>R22</f>
        <v>#DIV/0!</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0</v>
      </c>
      <c r="C22" s="3457" t="s">
        <v>20</v>
      </c>
      <c r="D22" s="3458"/>
      <c r="E22" s="3458"/>
      <c r="F22" s="3458"/>
      <c r="G22" s="3458"/>
      <c r="H22" s="3458"/>
      <c r="I22" s="3458"/>
      <c r="J22" s="3458"/>
      <c r="K22" s="3458"/>
      <c r="L22" s="3458"/>
      <c r="M22" s="3458"/>
      <c r="N22" s="3458"/>
      <c r="O22" s="3458"/>
      <c r="P22" s="3458"/>
      <c r="Q22" s="3459"/>
      <c r="R22" s="493"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9"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北京中纺联创投资开发有限公司：</v>
      </c>
    </row>
    <row r="4" spans="1:4" ht="37.5">
      <c r="A4" s="1796" t="str">
        <f>"受贵公司委托，我公司对"&amp;项目基本情况!K2&amp;项目基本情况!B9&amp;"进行了预评估。"</f>
        <v>受贵公司委托，我公司对北京市平谷区兴谷经济开发区内出让国有建设用地使用权抵押价格进行了预评估。</v>
      </c>
    </row>
    <row r="5" spans="1:4" ht="18.75">
      <c r="A5" s="1799" t="s">
        <v>1910</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中纺联创投资开发有限公司使用的、位于北京市平谷区兴谷经济开发区内出让国有建设用地使用权。根据《国有土地使用证》[]，估价对象（分摊）出让国有建设用地使用权面积为41016.61平方米。根据《建设工程规划许可证》[]、《出让合同》[]，估价对象规划建筑面积为41016平方米。</v>
      </c>
    </row>
    <row r="7" spans="1:4" ht="93.75">
      <c r="A7" s="2911" t="s">
        <v>2759</v>
      </c>
    </row>
    <row r="8" spans="1:4" ht="18.75">
      <c r="A8" s="1799" t="s">
        <v>1911</v>
      </c>
    </row>
    <row r="9" spans="1:4" ht="75">
      <c r="A9" s="1801" t="str">
        <f>IF(项目基本情况!B8="抵押",IF(项目基本情况!B5=项目基本情况!B6,定义!C51,定义!B51),定义!D51)</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2032</v>
      </c>
    </row>
    <row r="11" spans="1:4" ht="18.75">
      <c r="A11" s="1785" t="str">
        <f>TEXT(项目基本情况!D3,"yyyy年m月d日;;")&amp;IF(项目基本情况!B3=项目基本情况!D3,"（评估专业人员勘察现场之日）","")</f>
        <v>2017年9月27日（评估专业人员勘察现场之日）</v>
      </c>
    </row>
    <row r="12" spans="1:4" ht="18.75">
      <c r="A12" s="1802" t="s">
        <v>2031</v>
      </c>
    </row>
    <row r="13" spans="1:4" ht="18.75">
      <c r="A13" s="1796" t="s">
        <v>2077</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6"/>
      <c r="D15" s="1787"/>
    </row>
    <row r="16" spans="1:4" ht="18.75">
      <c r="A16" s="1796" t="s">
        <v>2078</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2079</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根据《国有土地使用证》[]，估价对象（分摊）出让国有建设用地使用权面积为41016.61平方米。根据《建设工程规划许可证》[]、《出让合同》[]，估价对象规划建筑面积为41016平方米。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2080</v>
      </c>
    </row>
    <row r="23" spans="1:1" ht="18.75">
      <c r="A23" s="2913" t="s">
        <v>2760</v>
      </c>
    </row>
    <row r="24" spans="1:1" ht="18.75">
      <c r="A24" s="1796" t="s">
        <v>2081</v>
      </c>
    </row>
    <row r="25" spans="1:1" ht="93.75">
      <c r="A25" s="1796" t="str">
        <f>定义!C53</f>
        <v>本次估价的“出让国有建设用地使用权价格”是指在估价对象土地所有权为国家所有，使用权性质为出让，在公开市场条件下、于估价期日2017年9月27日，在规划利用条件下、设定土地开发程度为红线外“七通”、宗地内场地平整，设定用途为工业，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IF(项目基本情况!E9="——","",定义!C57)</f>
        <v/>
      </c>
    </row>
    <row r="29" spans="1:1" ht="18.75">
      <c r="A29" s="1802" t="s">
        <v>2033</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2798</v>
      </c>
      <c r="C1" s="3042">
        <f>项目基本情况!D3</f>
        <v>43005</v>
      </c>
      <c r="H1" s="2976">
        <f>IF(C1&gt;C13,0,MATCH(C1,C$13:C$100,-1))+IF(SUMIF(C13:C100,C1,D13:D100)=0,13,12)</f>
        <v>13</v>
      </c>
      <c r="I1" s="2976">
        <f>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2829</v>
      </c>
      <c r="C2" s="3043">
        <f>'数据-取费表'!B22</f>
        <v>2</v>
      </c>
      <c r="D2" s="3038" t="s">
        <v>2799</v>
      </c>
      <c r="E2" s="3041">
        <f ca="1">INDIRECT("I"&amp;$I$1)/100</f>
        <v>4.7500000000000001E-2</v>
      </c>
      <c r="G2" s="2978"/>
      <c r="H2" s="2978"/>
      <c r="I2" s="2978" t="s">
        <v>2800</v>
      </c>
      <c r="K2" s="2978"/>
      <c r="L2" s="2978"/>
      <c r="M2" s="2978"/>
      <c r="N2" s="2978" t="s">
        <v>2801</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2831</v>
      </c>
      <c r="C3" s="3040">
        <f>'数据-取费表'!B19</f>
        <v>0</v>
      </c>
      <c r="D3" s="3038" t="s">
        <v>2799</v>
      </c>
      <c r="E3" s="3041">
        <f ca="1">INDIRECT("J"&amp;$J$1)/100</f>
        <v>0</v>
      </c>
      <c r="G3" s="2980" t="s">
        <v>2802</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2830</v>
      </c>
      <c r="C4" s="3041">
        <f ca="1">N4/100</f>
        <v>1.4999999999999999E-2</v>
      </c>
      <c r="G4" s="2986" t="s">
        <v>2803</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2804</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2805</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2806</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2807</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2808</v>
      </c>
      <c r="C10" s="3005"/>
      <c r="D10" s="3005"/>
      <c r="E10" s="3005"/>
      <c r="F10" s="3005"/>
      <c r="G10" s="3005"/>
      <c r="H10" s="3005"/>
      <c r="I10" s="2979"/>
      <c r="J10" s="2979"/>
      <c r="K10" s="3005"/>
      <c r="L10" s="3006" t="s">
        <v>2809</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2810</v>
      </c>
      <c r="C11" s="3010" t="s">
        <v>2811</v>
      </c>
      <c r="D11" s="3011" t="s">
        <v>2812</v>
      </c>
      <c r="E11" s="3012"/>
      <c r="F11" s="3011" t="s">
        <v>2813</v>
      </c>
      <c r="G11" s="3013"/>
      <c r="H11" s="3012"/>
      <c r="I11" s="3011" t="s">
        <v>2814</v>
      </c>
      <c r="J11" s="3012"/>
      <c r="K11" s="3008"/>
      <c r="L11" s="3009" t="s">
        <v>2810</v>
      </c>
      <c r="M11" s="3010" t="s">
        <v>2811</v>
      </c>
      <c r="N11" s="3009" t="s">
        <v>2815</v>
      </c>
      <c r="O11" s="3011" t="s">
        <v>2816</v>
      </c>
      <c r="P11" s="3013"/>
      <c r="Q11" s="3013"/>
      <c r="R11" s="3013"/>
      <c r="S11" s="3013"/>
      <c r="T11" s="3012"/>
      <c r="U11" s="3011" t="s">
        <v>2817</v>
      </c>
      <c r="V11" s="3013"/>
      <c r="W11" s="3012"/>
      <c r="X11" s="3009" t="s">
        <v>2818</v>
      </c>
      <c r="Y11" s="3009" t="s">
        <v>2819</v>
      </c>
      <c r="Z11" s="3009" t="s">
        <v>2820</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2821</v>
      </c>
      <c r="E12" s="3018" t="s">
        <v>2822</v>
      </c>
      <c r="F12" s="3018" t="s">
        <v>2823</v>
      </c>
      <c r="G12" s="3018" t="s">
        <v>2824</v>
      </c>
      <c r="H12" s="3018" t="s">
        <v>2806</v>
      </c>
      <c r="I12" s="3019" t="s">
        <v>2825</v>
      </c>
      <c r="J12" s="3019" t="s">
        <v>2825</v>
      </c>
      <c r="K12" s="3015"/>
      <c r="L12" s="3016"/>
      <c r="M12" s="3017"/>
      <c r="N12" s="3016"/>
      <c r="O12" s="3019" t="s">
        <v>2826</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2827</v>
      </c>
      <c r="C13" s="3023">
        <v>42301</v>
      </c>
      <c r="D13" s="3024">
        <v>4.3499999999999996</v>
      </c>
      <c r="E13" s="3024">
        <v>4.3499999999999996</v>
      </c>
      <c r="F13" s="3024">
        <v>4.75</v>
      </c>
      <c r="G13" s="3024">
        <v>4.75</v>
      </c>
      <c r="H13" s="3024">
        <v>4.9000000000000004</v>
      </c>
      <c r="I13" s="3024">
        <v>2.75</v>
      </c>
      <c r="J13" s="3024">
        <v>3.25</v>
      </c>
      <c r="K13" s="3021"/>
      <c r="L13" s="3022" t="s">
        <v>2827</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2828</v>
      </c>
      <c r="Y42" s="3028" t="s">
        <v>2828</v>
      </c>
      <c r="Z42" s="3028" t="s">
        <v>2828</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2828</v>
      </c>
      <c r="Y43" s="3028" t="s">
        <v>2828</v>
      </c>
      <c r="Z43" s="3028" t="s">
        <v>2828</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2828</v>
      </c>
      <c r="Y44" s="3028" t="s">
        <v>2828</v>
      </c>
      <c r="Z44" s="3028" t="s">
        <v>2828</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2828</v>
      </c>
      <c r="Y45" s="3028" t="s">
        <v>2828</v>
      </c>
      <c r="Z45" s="3028" t="s">
        <v>2828</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2828</v>
      </c>
      <c r="Y46" s="3028" t="s">
        <v>2828</v>
      </c>
      <c r="Z46" s="3028" t="s">
        <v>2828</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2828</v>
      </c>
      <c r="Y47" s="3028" t="s">
        <v>2828</v>
      </c>
      <c r="Z47" s="3028" t="s">
        <v>2828</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2828</v>
      </c>
      <c r="Y48" s="3028" t="s">
        <v>2828</v>
      </c>
      <c r="Z48" s="3028" t="s">
        <v>2828</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2828</v>
      </c>
      <c r="Y49" s="3028" t="s">
        <v>2828</v>
      </c>
      <c r="Z49" s="3028" t="s">
        <v>2828</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2828</v>
      </c>
      <c r="Y50" s="3028" t="s">
        <v>2828</v>
      </c>
      <c r="Z50" s="3028" t="s">
        <v>2828</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2828</v>
      </c>
      <c r="V51" s="3028" t="s">
        <v>2828</v>
      </c>
      <c r="W51" s="3028" t="s">
        <v>2828</v>
      </c>
      <c r="X51" s="3028" t="s">
        <v>2828</v>
      </c>
      <c r="Y51" s="3028" t="s">
        <v>2828</v>
      </c>
      <c r="Z51" s="3028" t="s">
        <v>2828</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2828</v>
      </c>
      <c r="J55" s="3028" t="s">
        <v>2828</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8" sqref="F1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4" t="s">
        <v>2044</v>
      </c>
      <c r="B1" s="3174"/>
      <c r="C1" s="3174"/>
      <c r="D1" s="3174"/>
      <c r="E1" s="3174"/>
      <c r="F1" s="3174"/>
      <c r="G1" s="3174"/>
      <c r="H1" s="3174"/>
      <c r="I1" s="3174"/>
      <c r="J1" s="3174"/>
      <c r="K1" s="3174"/>
      <c r="L1" s="3174"/>
      <c r="M1" s="3174"/>
      <c r="N1" s="3174"/>
      <c r="O1" s="3174"/>
      <c r="P1" s="3174"/>
      <c r="Q1" s="3174"/>
      <c r="R1" s="3174"/>
    </row>
    <row r="2" spans="1:18">
      <c r="A2" s="1812" t="s">
        <v>2046</v>
      </c>
      <c r="B2" s="1812"/>
      <c r="C2" s="1812"/>
      <c r="D2" s="1812"/>
      <c r="E2" s="1812"/>
      <c r="F2" s="1812"/>
      <c r="G2" s="1812"/>
      <c r="H2" s="1812"/>
      <c r="I2" s="1813"/>
      <c r="J2" s="1813"/>
      <c r="K2" s="1814" t="str">
        <f>"估价期日："&amp;TEXT(项目基本情况!D3,"yyyy年m月d日;;")</f>
        <v>估价期日：2017年9月27日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75" t="s">
        <v>2035</v>
      </c>
      <c r="B3" s="3175" t="s">
        <v>2742</v>
      </c>
      <c r="C3" s="3176" t="s">
        <v>2036</v>
      </c>
      <c r="D3" s="3175" t="s">
        <v>2746</v>
      </c>
      <c r="E3" s="3170" t="s">
        <v>2037</v>
      </c>
      <c r="F3" s="3170"/>
      <c r="G3" s="3170"/>
      <c r="H3" s="3170" t="s">
        <v>2038</v>
      </c>
      <c r="I3" s="3170"/>
      <c r="J3" s="3170"/>
      <c r="K3" s="3176" t="s">
        <v>2039</v>
      </c>
      <c r="L3" s="3176" t="s">
        <v>2040</v>
      </c>
      <c r="M3" s="3175" t="s">
        <v>2743</v>
      </c>
      <c r="N3" s="3177" t="str">
        <f>"（分摊）"&amp;项目基本情况!B16&amp;"国有建设用地使用权面积/㎡"</f>
        <v>（分摊）出让国有建设用地使用权面积/㎡</v>
      </c>
      <c r="O3" s="3175" t="s">
        <v>2069</v>
      </c>
      <c r="P3" s="3176" t="s">
        <v>2049</v>
      </c>
      <c r="Q3" s="3176" t="s">
        <v>2070</v>
      </c>
      <c r="R3" s="3176" t="s">
        <v>2041</v>
      </c>
    </row>
    <row r="4" spans="1:18" ht="36.75" customHeight="1">
      <c r="A4" s="3175"/>
      <c r="B4" s="3175"/>
      <c r="C4" s="3176"/>
      <c r="D4" s="3175"/>
      <c r="E4" s="2684" t="s">
        <v>2048</v>
      </c>
      <c r="F4" s="2684" t="s">
        <v>2755</v>
      </c>
      <c r="G4" s="2684" t="s">
        <v>2042</v>
      </c>
      <c r="H4" s="2684" t="s">
        <v>2043</v>
      </c>
      <c r="I4" s="2684" t="s">
        <v>2756</v>
      </c>
      <c r="J4" s="2684" t="s">
        <v>2042</v>
      </c>
      <c r="K4" s="3176"/>
      <c r="L4" s="3176"/>
      <c r="M4" s="3175"/>
      <c r="N4" s="3177"/>
      <c r="O4" s="3175"/>
      <c r="P4" s="3176"/>
      <c r="Q4" s="3176"/>
      <c r="R4" s="3176"/>
    </row>
    <row r="5" spans="1:18" ht="135" customHeight="1">
      <c r="A5" s="1948" t="s">
        <v>2666</v>
      </c>
      <c r="B5" s="2905" t="s">
        <v>2664</v>
      </c>
      <c r="C5" s="2683">
        <v>22</v>
      </c>
      <c r="D5" s="2682" t="s">
        <v>2665</v>
      </c>
      <c r="E5" s="1815" t="str">
        <f>项目基本情况!B12</f>
        <v>工业</v>
      </c>
      <c r="F5" s="2682">
        <v>258</v>
      </c>
      <c r="G5" s="1815" t="str">
        <f>项目基本情况!B13</f>
        <v>工业</v>
      </c>
      <c r="H5" s="2682">
        <v>1.5</v>
      </c>
      <c r="I5" s="2682">
        <v>1.5</v>
      </c>
      <c r="J5" s="2682">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41016.61</v>
      </c>
      <c r="O5" s="1815">
        <f>项目基本情况!C21</f>
        <v>41016</v>
      </c>
      <c r="P5" s="1815">
        <f ca="1">结果表!E42</f>
        <v>2443</v>
      </c>
      <c r="Q5" s="1815">
        <f ca="1">结果表!D42</f>
        <v>2443</v>
      </c>
      <c r="R5" s="1816">
        <f ca="1">结果表!C42</f>
        <v>10019</v>
      </c>
    </row>
    <row r="6" spans="1:18">
      <c r="A6" s="3171" t="str">
        <f>IF(项目基本情况!B9="市场价格","——","抵押价格")</f>
        <v>抵押价格</v>
      </c>
      <c r="B6" s="3172"/>
      <c r="C6" s="3172"/>
      <c r="D6" s="3172"/>
      <c r="E6" s="3172"/>
      <c r="F6" s="3172"/>
      <c r="G6" s="3172"/>
      <c r="H6" s="3172"/>
      <c r="I6" s="3172"/>
      <c r="J6" s="3172"/>
      <c r="K6" s="3172"/>
      <c r="L6" s="3172"/>
      <c r="M6" s="3172"/>
      <c r="N6" s="3172"/>
      <c r="O6" s="3172"/>
      <c r="P6" s="3172"/>
      <c r="Q6" s="3173"/>
      <c r="R6" s="1817">
        <f ca="1">结果表!O39</f>
        <v>10019</v>
      </c>
    </row>
    <row r="7" spans="1:18">
      <c r="A7" s="3171" t="str">
        <f>IF(项目基本情况!B9="市场价格","——",IF(项目基本情况!E8="已注销及未注销","抵押担保权已注销时的抵押价格","——"))</f>
        <v>——</v>
      </c>
      <c r="B7" s="3172"/>
      <c r="C7" s="3172"/>
      <c r="D7" s="3172"/>
      <c r="E7" s="3172"/>
      <c r="F7" s="3172"/>
      <c r="G7" s="3172"/>
      <c r="H7" s="3172"/>
      <c r="I7" s="3172"/>
      <c r="J7" s="3172"/>
      <c r="K7" s="3172"/>
      <c r="L7" s="3172"/>
      <c r="M7" s="3172"/>
      <c r="N7" s="3172"/>
      <c r="O7" s="3172"/>
      <c r="P7" s="3172"/>
      <c r="Q7" s="3173"/>
      <c r="R7" s="1817" t="str">
        <f>结果表!O40</f>
        <v>——</v>
      </c>
    </row>
    <row r="8" spans="1:18">
      <c r="A8" s="3171" t="str">
        <f>IF(项目基本情况!B9="市场价格","——",项目基本情况!E9)</f>
        <v>——</v>
      </c>
      <c r="B8" s="3172"/>
      <c r="C8" s="3172"/>
      <c r="D8" s="3172"/>
      <c r="E8" s="3172"/>
      <c r="F8" s="3172"/>
      <c r="G8" s="3172"/>
      <c r="H8" s="3172"/>
      <c r="I8" s="3172"/>
      <c r="J8" s="3172"/>
      <c r="K8" s="3172"/>
      <c r="L8" s="3172"/>
      <c r="M8" s="3172"/>
      <c r="N8" s="3172"/>
      <c r="O8" s="3172"/>
      <c r="P8" s="3172"/>
      <c r="Q8" s="3173"/>
      <c r="R8" s="1817" t="str">
        <f>结果表!O41</f>
        <v>——</v>
      </c>
    </row>
    <row r="9" spans="1:18">
      <c r="A9" s="1818" t="s">
        <v>2047</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2034</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79" t="s">
        <v>2071</v>
      </c>
      <c r="B1" s="3179"/>
      <c r="C1" s="3179"/>
      <c r="D1" s="3179"/>
    </row>
    <row r="2" spans="1:4" ht="47.25" customHeight="1">
      <c r="A2" s="3180" t="str">
        <f>"1.权利限制："&amp;项目基本情况!L24&amp;"未设定租赁等其他他项权利。"</f>
        <v>1.权利限制：根据估价对象《不动产权证书》原件、，截至估价期日，估价对象抵押权未见登记。未设定租赁等其他他项权利。</v>
      </c>
      <c r="B2" s="3180"/>
      <c r="C2" s="3180"/>
      <c r="D2" s="3180"/>
    </row>
    <row r="3" spans="1:4" ht="48" customHeight="1">
      <c r="A3" s="31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9"/>
      <c r="C3" s="3179"/>
      <c r="D3" s="3179"/>
    </row>
    <row r="4" spans="1:4" ht="36.75" customHeight="1">
      <c r="A4" s="3179" t="str">
        <f>"3.估价规划限制条件：详见"&amp;项目基本情况!E21&amp;"。"</f>
        <v>3.估价规划限制条件：详见《建设工程规划许可证》[]、《出让合同》[]。</v>
      </c>
      <c r="B4" s="3179"/>
      <c r="C4" s="3179"/>
      <c r="D4" s="3179"/>
    </row>
    <row r="5" spans="1:4">
      <c r="A5" s="3178" t="s">
        <v>2072</v>
      </c>
      <c r="B5" s="3178"/>
      <c r="C5" s="3178"/>
      <c r="D5" s="3178"/>
    </row>
    <row r="6" spans="1:4">
      <c r="A6" s="3179" t="s">
        <v>2050</v>
      </c>
      <c r="B6" s="3179"/>
      <c r="C6" s="3179"/>
      <c r="D6" s="3179"/>
    </row>
    <row r="7" spans="1:4" ht="33" customHeight="1">
      <c r="A7" s="3179" t="s">
        <v>2583</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1" t="str">
        <f>IF(项目基本情况!B8="抵押","（1）"&amp;CONCATENATE(项目基本情况!L24,项目基本情况!L25,项目基本情况!L26),"——")</f>
        <v>（1）根据估价对象《不动产权证书》原件、，截至估价期日，估价对象抵押权未见登记。</v>
      </c>
      <c r="B11" s="3181"/>
      <c r="C11" s="3181"/>
      <c r="D11" s="3181"/>
    </row>
    <row r="12" spans="1:4" ht="168" customHeight="1">
      <c r="A12" s="3178" t="s">
        <v>2074</v>
      </c>
      <c r="B12" s="3178"/>
      <c r="C12" s="3178"/>
      <c r="D12" s="3178"/>
    </row>
    <row r="13" spans="1:4">
      <c r="A13" s="3182" t="s">
        <v>2757</v>
      </c>
      <c r="B13" s="3182"/>
      <c r="C13" s="3182"/>
      <c r="D13" s="3182"/>
    </row>
    <row r="14" spans="1:4">
      <c r="A14" s="3181" t="str">
        <f>IF(项目基本情况!B8="抵押","综上，"&amp;结果表!K47,"——")</f>
        <v>综上，本次评估不存在估价师知悉的法定优先受偿款</v>
      </c>
      <c r="B14" s="3181"/>
      <c r="C14" s="3181"/>
      <c r="D14" s="3181"/>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2713</v>
      </c>
      <c r="B17" s="3179"/>
      <c r="C17" s="3179"/>
      <c r="D17" s="3179"/>
    </row>
    <row r="18" spans="1:4">
      <c r="A18" s="3179" t="s">
        <v>2705</v>
      </c>
      <c r="B18" s="3179"/>
      <c r="C18" s="3179"/>
      <c r="D18" s="3179"/>
    </row>
    <row r="19" spans="1:4">
      <c r="A19" s="2906" t="s">
        <v>2706</v>
      </c>
      <c r="B19" s="2906" t="s">
        <v>2707</v>
      </c>
      <c r="C19" s="2906" t="s">
        <v>2708</v>
      </c>
      <c r="D19" s="2906" t="s">
        <v>2709</v>
      </c>
    </row>
    <row r="20" spans="1:4">
      <c r="A20" s="2906" t="str">
        <f>项目基本情况!B4</f>
        <v>刘梅</v>
      </c>
      <c r="B20" s="2906">
        <f ca="1">项目基本情况!C4</f>
        <v>2008110059</v>
      </c>
      <c r="C20" s="2908"/>
      <c r="D20" s="1805" t="s">
        <v>2714</v>
      </c>
    </row>
    <row r="21" spans="1:4">
      <c r="A21" s="2906" t="str">
        <f>项目基本情况!D4</f>
        <v>吴薇</v>
      </c>
      <c r="B21" s="2906">
        <f ca="1">项目基本情况!E4</f>
        <v>2002110125</v>
      </c>
      <c r="C21" s="2908"/>
      <c r="D21" s="1805" t="s">
        <v>2715</v>
      </c>
    </row>
    <row r="23" spans="1:4">
      <c r="A23" s="3179" t="s">
        <v>2710</v>
      </c>
      <c r="B23" s="3179"/>
      <c r="C23" s="3179"/>
      <c r="D23" s="3179"/>
    </row>
    <row r="24" spans="1:4">
      <c r="A24" s="2906" t="s">
        <v>2706</v>
      </c>
      <c r="B24" s="2906" t="s">
        <v>2711</v>
      </c>
      <c r="C24" s="2906" t="s">
        <v>2708</v>
      </c>
      <c r="D24" s="2906" t="s">
        <v>2709</v>
      </c>
    </row>
    <row r="25" spans="1:4">
      <c r="A25" s="2909" t="s">
        <v>2712</v>
      </c>
      <c r="B25" s="2906" t="s">
        <v>955</v>
      </c>
      <c r="C25" s="2908"/>
      <c r="D25" s="1805" t="s">
        <v>2715</v>
      </c>
    </row>
    <row r="29" spans="1:4">
      <c r="D29" s="2907" t="s">
        <v>2045</v>
      </c>
    </row>
    <row r="30" spans="1:4">
      <c r="D30" s="29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90" t="s">
        <v>53</v>
      </c>
      <c r="B15" s="3191" t="s">
        <v>849</v>
      </c>
      <c r="C15" s="3187"/>
    </row>
    <row r="16" spans="1:7" ht="14.25">
      <c r="A16" s="3190"/>
      <c r="B16" s="3188" t="s">
        <v>54</v>
      </c>
      <c r="C16" s="1175" t="s">
        <v>53</v>
      </c>
    </row>
    <row r="17" spans="1:3" ht="14.25">
      <c r="A17" s="3190"/>
      <c r="B17" s="3188"/>
      <c r="C17" s="1175" t="s">
        <v>55</v>
      </c>
    </row>
    <row r="18" spans="1:3" ht="14.25">
      <c r="A18" s="3190"/>
      <c r="B18" s="3188"/>
      <c r="C18" s="1175" t="s">
        <v>56</v>
      </c>
    </row>
    <row r="19" spans="1:3" ht="14.25">
      <c r="A19" s="3190"/>
      <c r="B19" s="3186" t="s">
        <v>57</v>
      </c>
      <c r="C19" s="3187"/>
    </row>
    <row r="20" spans="1:3" ht="14.25">
      <c r="A20" s="1176" t="s">
        <v>58</v>
      </c>
      <c r="B20" s="1177"/>
      <c r="C20" s="1178"/>
    </row>
    <row r="21" spans="1:3" ht="14.25">
      <c r="A21" s="3189" t="s">
        <v>59</v>
      </c>
      <c r="B21" s="3186" t="s">
        <v>60</v>
      </c>
      <c r="C21" s="3187"/>
    </row>
    <row r="22" spans="1:3" ht="14.25">
      <c r="A22" s="3189"/>
      <c r="B22" s="3186" t="s">
        <v>61</v>
      </c>
      <c r="C22" s="3187"/>
    </row>
    <row r="23" spans="1:3" ht="14.25">
      <c r="A23" s="3189"/>
      <c r="B23" s="3186" t="s">
        <v>62</v>
      </c>
      <c r="C23" s="3187"/>
    </row>
    <row r="24" spans="1:3" ht="14.25">
      <c r="A24" s="3189"/>
      <c r="B24" s="3192" t="s">
        <v>63</v>
      </c>
      <c r="C24" s="1179" t="s">
        <v>840</v>
      </c>
    </row>
    <row r="25" spans="1:3" ht="14.25">
      <c r="A25" s="3189"/>
      <c r="B25" s="3193"/>
      <c r="C25" s="1179" t="s">
        <v>841</v>
      </c>
    </row>
    <row r="26" spans="1:3" ht="14.25">
      <c r="A26" s="3189"/>
      <c r="B26" s="3193"/>
      <c r="C26" s="1179" t="s">
        <v>842</v>
      </c>
    </row>
    <row r="27" spans="1:3" ht="14.25">
      <c r="A27" s="3189"/>
      <c r="B27" s="3193"/>
      <c r="C27" s="1179" t="s">
        <v>843</v>
      </c>
    </row>
    <row r="28" spans="1:3" ht="14.25">
      <c r="A28" s="3189"/>
      <c r="B28" s="3193"/>
      <c r="C28" s="1179" t="s">
        <v>844</v>
      </c>
    </row>
    <row r="29" spans="1:3" ht="14.25">
      <c r="A29" s="3189"/>
      <c r="B29" s="3193"/>
      <c r="C29" s="1179" t="s">
        <v>845</v>
      </c>
    </row>
    <row r="30" spans="1:3" ht="14.25">
      <c r="A30" s="3189"/>
      <c r="B30" s="3193"/>
      <c r="C30" s="1179" t="s">
        <v>846</v>
      </c>
    </row>
    <row r="31" spans="1:3" ht="14.25">
      <c r="A31" s="3189"/>
      <c r="B31" s="3193"/>
      <c r="C31" s="1179" t="s">
        <v>847</v>
      </c>
    </row>
    <row r="32" spans="1:3" ht="14.25">
      <c r="A32" s="3189"/>
      <c r="B32" s="3193"/>
      <c r="C32" s="1179" t="s">
        <v>1650</v>
      </c>
    </row>
    <row r="33" spans="1:3" ht="14.25">
      <c r="A33" s="3189"/>
      <c r="B33" s="3183" t="s">
        <v>1656</v>
      </c>
      <c r="C33" s="1179" t="s">
        <v>1651</v>
      </c>
    </row>
    <row r="34" spans="1:3" ht="14.25">
      <c r="A34" s="3189"/>
      <c r="B34" s="3184"/>
      <c r="C34" s="1184" t="s">
        <v>1652</v>
      </c>
    </row>
    <row r="35" spans="1:3" ht="14.25">
      <c r="A35" s="3189"/>
      <c r="B35" s="3184"/>
      <c r="C35" s="1185" t="s">
        <v>1653</v>
      </c>
    </row>
    <row r="36" spans="1:3" ht="14.25">
      <c r="A36" s="3189"/>
      <c r="B36" s="3184"/>
      <c r="C36" s="1185" t="s">
        <v>1654</v>
      </c>
    </row>
    <row r="37" spans="1:3" ht="14.25">
      <c r="A37" s="3189"/>
      <c r="B37" s="3185"/>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1">
        <f ca="1">TODAY()</f>
        <v>43017</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2582</v>
      </c>
      <c r="B15" s="2352">
        <v>1120070085</v>
      </c>
      <c r="C15" s="3044">
        <v>43814</v>
      </c>
      <c r="D15" s="2352" t="s">
        <v>2582</v>
      </c>
      <c r="E15" s="2352">
        <v>2004110128</v>
      </c>
      <c r="F15" s="3045">
        <v>47118</v>
      </c>
    </row>
    <row r="16" spans="1:6" ht="20.25" customHeight="1">
      <c r="A16" s="2352" t="s">
        <v>1929</v>
      </c>
      <c r="B16" s="2352">
        <f ca="1">IF(C16&lt;B2,"已过期",1120140022)</f>
        <v>1120140022</v>
      </c>
      <c r="C16" s="3044">
        <v>44029</v>
      </c>
      <c r="D16" s="2352" t="s">
        <v>1929</v>
      </c>
      <c r="E16" s="2352">
        <f ca="1">IF(F16&lt;B2,"已过期",2008110059)</f>
        <v>2008110059</v>
      </c>
      <c r="F16" s="3045">
        <v>47177</v>
      </c>
    </row>
    <row r="17" spans="1:7" ht="20.25" customHeight="1">
      <c r="A17" s="2352"/>
      <c r="B17" s="2352"/>
      <c r="C17" s="3044"/>
      <c r="D17" s="2352"/>
      <c r="E17" s="2352"/>
      <c r="F17" s="3045"/>
    </row>
    <row r="18" spans="1:7" ht="20.25" customHeight="1">
      <c r="A18" s="2352"/>
      <c r="B18" s="2352"/>
      <c r="C18" s="3044"/>
      <c r="D18" s="2352"/>
      <c r="E18" s="2352"/>
      <c r="F18" s="3045"/>
    </row>
    <row r="19" spans="1:7" ht="20.25" customHeight="1">
      <c r="A19" s="2352"/>
      <c r="B19" s="2352"/>
      <c r="C19" s="3044"/>
      <c r="D19" s="2352"/>
      <c r="E19" s="2352"/>
      <c r="F19" s="2352"/>
    </row>
    <row r="20" spans="1:7" ht="20.25" customHeight="1">
      <c r="A20" s="2352"/>
      <c r="B20" s="2352"/>
      <c r="C20" s="3044"/>
      <c r="D20" s="2352"/>
      <c r="E20" s="2352"/>
      <c r="F20" s="2352"/>
    </row>
    <row r="21" spans="1:7" ht="20.25" customHeight="1">
      <c r="A21" s="2352"/>
      <c r="B21" s="2352"/>
      <c r="C21" s="3044"/>
      <c r="D21" s="2352" t="s">
        <v>1930</v>
      </c>
      <c r="E21" s="2352">
        <f ca="1">IF(F21&lt;B2,"已过期",2011110090)</f>
        <v>2011110090</v>
      </c>
      <c r="F21" s="3045">
        <v>48302</v>
      </c>
    </row>
    <row r="22" spans="1:7" ht="20.25" customHeight="1">
      <c r="A22" s="2352" t="s">
        <v>1931</v>
      </c>
      <c r="B22" s="2352">
        <f ca="1">IF(C22&lt;B2,"已过期",1120020033)</f>
        <v>1120020033</v>
      </c>
      <c r="C22" s="3044">
        <v>43304</v>
      </c>
      <c r="D22" s="2352" t="s">
        <v>1931</v>
      </c>
      <c r="E22" s="2352">
        <f ca="1">IF(F22&lt;B2,"已过期",2000110137)</f>
        <v>2000110137</v>
      </c>
      <c r="F22" s="3045">
        <v>46387</v>
      </c>
    </row>
    <row r="23" spans="1:7" ht="20.25" customHeight="1">
      <c r="A23" s="2352" t="s">
        <v>1932</v>
      </c>
      <c r="B23" s="2352">
        <f ca="1">IF(C23&lt;B2,"已过期",1120130048)</f>
        <v>1120130048</v>
      </c>
      <c r="C23" s="3044">
        <v>43686</v>
      </c>
      <c r="D23" s="2352"/>
      <c r="E23" s="2352"/>
      <c r="F23" s="2352"/>
    </row>
    <row r="24" spans="1:7" s="2356" customFormat="1" ht="20.25" customHeight="1">
      <c r="A24" s="2354" t="s">
        <v>2059</v>
      </c>
      <c r="B24" s="2354" t="s">
        <v>2059</v>
      </c>
      <c r="C24" s="3044"/>
      <c r="D24" s="3046" t="s">
        <v>2059</v>
      </c>
      <c r="E24" s="2354" t="s">
        <v>2059</v>
      </c>
      <c r="F24" s="2355"/>
    </row>
    <row r="25" spans="1:7" ht="20.25" customHeight="1">
      <c r="A25" s="3194" t="s">
        <v>1933</v>
      </c>
      <c r="B25" s="3194"/>
      <c r="C25" s="3194"/>
      <c r="D25" s="3194"/>
      <c r="E25" s="3194"/>
      <c r="F25" s="3194"/>
      <c r="G25" s="3194"/>
    </row>
    <row r="26" spans="1:7" ht="20.25" customHeight="1">
      <c r="A26" s="3195" t="s">
        <v>1934</v>
      </c>
      <c r="B26" s="3195"/>
      <c r="C26" s="3195"/>
      <c r="D26" s="3195" t="s">
        <v>1935</v>
      </c>
      <c r="E26" s="3195"/>
      <c r="F26" s="3195"/>
    </row>
    <row r="27" spans="1:7" s="2360" customFormat="1" ht="20.25" customHeight="1">
      <c r="A27" s="2357" t="s">
        <v>1936</v>
      </c>
      <c r="B27" s="2358" t="s">
        <v>1937</v>
      </c>
      <c r="C27" s="2358" t="s">
        <v>1938</v>
      </c>
      <c r="D27" s="2359" t="s">
        <v>1936</v>
      </c>
      <c r="E27" s="2358" t="s">
        <v>1937</v>
      </c>
      <c r="F27" s="2358" t="s">
        <v>1938</v>
      </c>
    </row>
    <row r="28" spans="1:7" s="2360" customFormat="1" ht="20.25" customHeight="1">
      <c r="A28" s="2361" t="s">
        <v>1939</v>
      </c>
      <c r="B28" s="2361" t="s">
        <v>1940</v>
      </c>
      <c r="C28" s="2362">
        <v>43725</v>
      </c>
      <c r="D28" s="2361" t="s">
        <v>1941</v>
      </c>
      <c r="E28" s="2361" t="s">
        <v>1942</v>
      </c>
      <c r="F28" s="2363">
        <v>44377</v>
      </c>
    </row>
    <row r="29" spans="1:7" s="2360" customFormat="1" ht="20.25" customHeight="1">
      <c r="A29" s="2361"/>
      <c r="B29" s="2361"/>
      <c r="C29" s="2364"/>
      <c r="D29" s="2361" t="s">
        <v>1943</v>
      </c>
      <c r="E29" s="2365" t="s">
        <v>2954</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2553</v>
      </c>
      <c r="R1" s="2616" t="s">
        <v>2547</v>
      </c>
      <c r="S1" s="6" t="s">
        <v>146</v>
      </c>
      <c r="T1" s="7" t="s">
        <v>147</v>
      </c>
      <c r="U1" s="6" t="s">
        <v>148</v>
      </c>
      <c r="V1" s="6" t="s">
        <v>149</v>
      </c>
      <c r="W1" s="1007"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2548</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2549</v>
      </c>
      <c r="S3" s="9" t="s">
        <v>84</v>
      </c>
      <c r="T3" s="9" t="s">
        <v>85</v>
      </c>
      <c r="U3" s="9" t="s">
        <v>84</v>
      </c>
      <c r="V3" s="9" t="s">
        <v>86</v>
      </c>
      <c r="W3" s="9" t="s">
        <v>879</v>
      </c>
    </row>
    <row r="4" spans="1:23">
      <c r="A4" s="8" t="s">
        <v>87</v>
      </c>
      <c r="B4" s="8" t="s">
        <v>152</v>
      </c>
      <c r="C4" s="1555" t="s">
        <v>1715</v>
      </c>
      <c r="D4" s="9" t="s">
        <v>2000</v>
      </c>
      <c r="E4" s="9" t="s">
        <v>88</v>
      </c>
      <c r="F4" s="9" t="s">
        <v>89</v>
      </c>
      <c r="G4" s="9">
        <v>70</v>
      </c>
      <c r="H4" s="9" t="s">
        <v>90</v>
      </c>
      <c r="I4" s="9" t="s">
        <v>91</v>
      </c>
      <c r="K4" s="9" t="s">
        <v>92</v>
      </c>
      <c r="L4" s="9" t="s">
        <v>92</v>
      </c>
      <c r="M4" s="9" t="s">
        <v>92</v>
      </c>
      <c r="N4" s="9" t="s">
        <v>92</v>
      </c>
      <c r="O4" s="9" t="s">
        <v>92</v>
      </c>
      <c r="P4" s="1009" t="s">
        <v>763</v>
      </c>
      <c r="Q4" s="9" t="s">
        <v>92</v>
      </c>
      <c r="R4" s="1009" t="s">
        <v>2550</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9" t="s">
        <v>547</v>
      </c>
      <c r="Q5" s="9" t="s">
        <v>97</v>
      </c>
      <c r="R5" s="1009" t="s">
        <v>2551</v>
      </c>
      <c r="S5" s="9" t="s">
        <v>97</v>
      </c>
      <c r="T5" s="9" t="s">
        <v>98</v>
      </c>
      <c r="U5" s="9" t="s">
        <v>97</v>
      </c>
      <c r="W5" s="9" t="s">
        <v>881</v>
      </c>
    </row>
    <row r="6" spans="1:23">
      <c r="A6" s="8" t="s">
        <v>99</v>
      </c>
      <c r="B6" s="1152" t="s">
        <v>1644</v>
      </c>
      <c r="C6" s="1557" t="s">
        <v>1717</v>
      </c>
      <c r="F6" s="9" t="s">
        <v>71</v>
      </c>
      <c r="H6" s="9" t="s">
        <v>72</v>
      </c>
      <c r="I6" s="9" t="s">
        <v>100</v>
      </c>
      <c r="K6" s="9" t="s">
        <v>101</v>
      </c>
      <c r="L6" s="9" t="s">
        <v>101</v>
      </c>
      <c r="M6" s="9" t="s">
        <v>101</v>
      </c>
      <c r="N6" s="9" t="s">
        <v>101</v>
      </c>
      <c r="O6" s="9" t="s">
        <v>101</v>
      </c>
      <c r="P6" s="1009" t="s">
        <v>884</v>
      </c>
      <c r="Q6" s="9" t="s">
        <v>101</v>
      </c>
      <c r="R6" s="1009" t="s">
        <v>2552</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3" t="s">
        <v>2967</v>
      </c>
      <c r="C18" s="1558"/>
    </row>
    <row r="19" spans="1:3">
      <c r="A19" s="8" t="s">
        <v>120</v>
      </c>
      <c r="B19" s="8" t="s">
        <v>1645</v>
      </c>
      <c r="C19" s="1558"/>
    </row>
    <row r="20" spans="1:3">
      <c r="A20" s="8" t="s">
        <v>121</v>
      </c>
      <c r="B20" s="8" t="s">
        <v>1645</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1645</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70" t="s">
        <v>1949</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中纺联创投资开发有限公司拟使用北京市平谷区兴谷经济开发区内出让国有建设用地使用权作为抵押担保物，向中国工商银行股份有限公司北京海淀支行办理贷款手续。中国工商银行股份有限公司北京海淀支行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1992</v>
      </c>
      <c r="B52" s="1773" t="s">
        <v>1993</v>
      </c>
      <c r="C52" s="1771" t="s">
        <v>1994</v>
      </c>
      <c r="D52" s="1771" t="s">
        <v>1995</v>
      </c>
      <c r="E52" s="1772"/>
    </row>
    <row r="53" spans="1:5">
      <c r="A53" s="3196" t="s">
        <v>1996</v>
      </c>
      <c r="B53" s="1771" t="s">
        <v>2002</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27日，在规划利用条件下、设定土地开发程度为红线外“七通”、宗地内场地平整，设定用途为工业，剩余土地使用年限为的出让国有建设用地使用权价格。</v>
      </c>
      <c r="D53" s="1772"/>
      <c r="E53" s="1772"/>
    </row>
    <row r="54" spans="1:5">
      <c r="A54" s="3196"/>
      <c r="B54" s="1771" t="s">
        <v>2003</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196"/>
      <c r="B55" s="1771" t="s">
        <v>1997</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196"/>
      <c r="B56" s="1771" t="s">
        <v>1998</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196"/>
      <c r="B57" s="1771" t="s">
        <v>1999</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2055</v>
      </c>
      <c r="B58" s="1771" t="s">
        <v>2056</v>
      </c>
      <c r="C58" s="11" t="s">
        <v>2057</v>
      </c>
      <c r="D58" s="1322" t="s">
        <v>2058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不动产收益法</vt:lpstr>
      <vt:lpstr>比较法-工业</vt:lpstr>
      <vt:lpstr>修正</vt:lpstr>
      <vt:lpstr>区片价</vt:lpstr>
      <vt:lpstr>容积率修正</vt:lpstr>
      <vt:lpstr>因素修正幅度</vt:lpstr>
      <vt:lpstr>基准地价（汇总）</vt:lpstr>
      <vt:lpstr>地价</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2017-10-09T02:22:11Z</dcterms:modified>
</cp:coreProperties>
</file>