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E:\王超岳\2021年\2021-1-0487高丽营\结果新\"/>
    </mc:Choice>
  </mc:AlternateContent>
  <xr:revisionPtr revIDLastSave="0" documentId="13_ncr:1_{EF5A0CDB-9178-4EE3-A6C0-521FE4CBE9B3}" xr6:coauthVersionLast="47" xr6:coauthVersionMax="47" xr10:uidLastSave="{00000000-0000-0000-0000-000000000000}"/>
  <bookViews>
    <workbookView xWindow="-120" yWindow="-120" windowWidth="19440" windowHeight="1500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规证" sheetId="77" r:id="rId15"/>
    <sheet name="面积清单" sheetId="78" r:id="rId16"/>
    <sheet name="面积清单整理" sheetId="87"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土地比较法-住宅、综合" sheetId="39" r:id="rId29"/>
    <sheet name="土地案例" sheetId="84" r:id="rId30"/>
    <sheet name="比较法-住宅" sheetId="21" r:id="rId31"/>
    <sheet name="比较法-住宅 (精装洋房)" sheetId="88" state="hidden" r:id="rId32"/>
    <sheet name="住宅案例" sheetId="86" r:id="rId33"/>
    <sheet name="比较法-商业" sheetId="33" state="hidden" r:id="rId34"/>
    <sheet name="比较法-办公" sheetId="34" state="hidden" r:id="rId35"/>
    <sheet name="比较法-工业" sheetId="37" state="hidden" r:id="rId36"/>
    <sheet name="结果表 (地下仓储)" sheetId="80" r:id="rId37"/>
    <sheet name="成本法 (地下仓储)" sheetId="82" r:id="rId38"/>
    <sheet name="比较法-仓储" sheetId="36" r:id="rId39"/>
    <sheet name="结果表 (车位)" sheetId="81" r:id="rId40"/>
    <sheet name="成本法 (车位)" sheetId="83" r:id="rId41"/>
    <sheet name="比较法-车位" sheetId="35" r:id="rId42"/>
    <sheet name="车库案例" sheetId="85"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s>
  <definedNames>
    <definedName name="_xlnm._FilterDatabase" localSheetId="34" hidden="1">'比较法-办公'!$A$1:$L$50</definedName>
    <definedName name="_xlnm._FilterDatabase" localSheetId="38" hidden="1">'比较法-仓储'!$A$1:$L$37</definedName>
    <definedName name="_xlnm._FilterDatabase" localSheetId="41" hidden="1">'比较法-车位'!$A$1:$L$39</definedName>
    <definedName name="_xlnm._FilterDatabase" localSheetId="35" hidden="1">'比较法-工业'!$A$1:$L$43</definedName>
    <definedName name="_xlnm._FilterDatabase" localSheetId="33" hidden="1">'比较法-商业'!$A$1:$L$49</definedName>
    <definedName name="_xlnm._FilterDatabase" localSheetId="30" hidden="1">'比较法-住宅'!$A$1:$L$49</definedName>
    <definedName name="_xlnm._FilterDatabase" localSheetId="31" hidden="1">'比较法-住宅 (精装洋房)'!$A$1:$L$49</definedName>
    <definedName name="_xlnm._FilterDatabase" localSheetId="15" hidden="1">面积清单!$A$1:$R$571</definedName>
    <definedName name="_xlnm._FilterDatabase" localSheetId="16" hidden="1">面积清单整理!$A$1:$AA$590</definedName>
    <definedName name="_xlnm._FilterDatabase" localSheetId="11" hidden="1">'数据-基础表'!$A$12:$AT$587</definedName>
    <definedName name="_xlnm._FilterDatabase" localSheetId="43"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8">'比较法-仓储'!$A$1:$K$42,'比较法-仓储'!$A$45:$M$96</definedName>
    <definedName name="_xlnm.Print_Area" localSheetId="41">'比较法-车位'!$A$1:$K$44,'比较法-车位'!$A$47:$M$102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0">'比较法-住宅'!$A$1:$K$54,'比较法-住宅'!$A$58:$M$131</definedName>
    <definedName name="_xlnm.Print_Area" localSheetId="31">'比较法-住宅 (精装洋房)'!$A$1:$K$54,'比较法-住宅 (精装洋房)'!$A$57:$M$131</definedName>
    <definedName name="_xlnm.Print_Area" localSheetId="21">成本法!$A$1:$G$57</definedName>
    <definedName name="_xlnm.Print_Area" localSheetId="40">'成本法 (车位)'!$A$1:$G$57</definedName>
    <definedName name="_xlnm.Print_Area" localSheetId="37">'成本法 (地下仓储)'!$A$1:$G$57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7">'基准地价（汇总）'!$A$1:$E$13</definedName>
    <definedName name="_xlnm.Print_Area" localSheetId="44">基准地价修正!$A$1:$J$41,基准地价修正!$A$45:$H$88,基准地价修正!$R$1:$V$16</definedName>
    <definedName name="_xlnm.Print_Area" localSheetId="23">假设开发法!$A$1:$K$32</definedName>
    <definedName name="_xlnm.Print_Area" localSheetId="20">结果表!$A$1:$I$127</definedName>
    <definedName name="_xlnm.Print_Area" localSheetId="39">'结果表 (车位)'!$A$1:$I$127</definedName>
    <definedName name="_xlnm.Print_Area" localSheetId="36">'结果表 (地下仓储)'!$A$1:$I$127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'数据-汇总表'!$A$1:$I$32</definedName>
    <definedName name="_xlnm.Print_Area" localSheetId="11">'数据-基础表'!$A$1:$M$13</definedName>
    <definedName name="_xlnm.Print_Area" localSheetId="43">'土地比较法-工业'!$A$1:$K$61,'土地比较法-工业'!$A$64:$M$121</definedName>
    <definedName name="_xlnm.Print_Area" localSheetId="28">'土地比较法-住宅、综合'!$A$1:$K$66,'土地比较法-住宅、综合'!$A$69:$M$132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'比较法-住宅 (精装洋房)'!$B$88:$M$88</definedName>
    <definedName name="住宅朝向">'比较法-住宅'!$B$88:$M$88</definedName>
    <definedName name="住宅房型" localSheetId="31">'比较法-住宅 (精装洋房)'!$B$118:$M$118</definedName>
    <definedName name="住宅房型">'比较法-住宅'!$B$118:$M$118</definedName>
    <definedName name="住宅公共部分装修" localSheetId="31">'比较法-住宅 (精装洋房)'!$B$109:$M$109</definedName>
    <definedName name="住宅公共部分装修">'比较法-住宅'!$B$109:$M$109</definedName>
    <definedName name="住宅基础设施水平" localSheetId="31">'比较法-住宅 (精装洋房)'!$B$116:$M$116</definedName>
    <definedName name="住宅基础设施水平">'比较法-住宅'!$B$116:$M$116</definedName>
    <definedName name="住宅建筑结构" localSheetId="31">'比较法-住宅 (精装洋房)'!$B$105:$M$105</definedName>
    <definedName name="住宅建筑结构">'比较法-住宅'!$B$105:$M$105</definedName>
    <definedName name="住宅建筑类型" localSheetId="31">'比较法-住宅 (精装洋房)'!$B$100:$M$100</definedName>
    <definedName name="住宅建筑类型">'比较法-住宅'!$B$100:$M$100</definedName>
    <definedName name="住宅建筑品质" localSheetId="31">'比较法-住宅 (精装洋房)'!$B$107:$M$107</definedName>
    <definedName name="住宅建筑品质">'比较法-住宅'!$B$107:$M$107</definedName>
    <definedName name="住宅交易情况" localSheetId="31">'比较法-住宅 (精装洋房)'!$A$61:$M$61</definedName>
    <definedName name="住宅交易情况">'比较法-住宅'!$A$61:$M$61</definedName>
    <definedName name="住宅楼层" localSheetId="31">'比较法-住宅 (精装洋房)'!$B$86:$M$86</definedName>
    <definedName name="住宅楼层">'比较法-住宅'!$B$86:$M$86</definedName>
    <definedName name="住宅内部装修" localSheetId="31">'比较法-住宅 (精装洋房)'!$B$122:$M$122</definedName>
    <definedName name="住宅内部装修">'比较法-住宅'!$B$122:$M$122</definedName>
    <definedName name="住宅物业管理" localSheetId="31">'比较法-住宅 (精装洋房)'!$B$114:$M$114</definedName>
    <definedName name="住宅物业管理">'比较法-住宅'!$B$114:$M$114</definedName>
    <definedName name="住宅用途" localSheetId="31">'比较法-住宅 (精装洋房)'!$B$63:$M$63</definedName>
    <definedName name="住宅用途">'比较法-住宅'!$B$63:$M$63</definedName>
    <definedName name="住宅主力户型面积" localSheetId="31">'比较法-住宅 (精装洋房)'!$B$120:$M$120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8" i="74" l="1"/>
  <c r="B18" i="74"/>
  <c r="P13" i="87" l="1"/>
  <c r="Q13" i="87" l="1"/>
  <c r="R13" i="87" l="1"/>
  <c r="D18" i="74" l="1"/>
  <c r="S13" i="87"/>
  <c r="AH18" i="87" l="1"/>
  <c r="AI19" i="87" l="1"/>
  <c r="AJ19" i="87"/>
  <c r="AH19" i="87"/>
  <c r="AI18" i="87"/>
  <c r="AJ18" i="87"/>
  <c r="AH12" i="87"/>
  <c r="AH13" i="87"/>
  <c r="AH14" i="87"/>
  <c r="AH15" i="87"/>
  <c r="AH16" i="87"/>
  <c r="AH17" i="87"/>
  <c r="AH11" i="87"/>
  <c r="AI10" i="87"/>
  <c r="AJ10" i="87"/>
  <c r="AH8" i="87"/>
  <c r="AH9" i="87"/>
  <c r="AH10" i="87" s="1"/>
  <c r="AH7" i="87"/>
  <c r="H29" i="68" l="1"/>
  <c r="H28" i="68"/>
  <c r="H27" i="68"/>
  <c r="C17" i="74" l="1"/>
  <c r="C33" i="21" l="1"/>
  <c r="G18" i="1" l="1"/>
  <c r="G5" i="39"/>
  <c r="AL24" i="87"/>
  <c r="AM24" i="87"/>
  <c r="AK24" i="87"/>
  <c r="AM18" i="87"/>
  <c r="AL18" i="87"/>
  <c r="AK18" i="87"/>
  <c r="C31" i="74"/>
  <c r="C145" i="88" l="1"/>
  <c r="K139" i="88" s="1"/>
  <c r="J142" i="88"/>
  <c r="J140" i="88"/>
  <c r="B130" i="88"/>
  <c r="B128" i="88"/>
  <c r="H45" i="88" s="1"/>
  <c r="AB45" i="88" s="1"/>
  <c r="B126" i="88"/>
  <c r="D125" i="88"/>
  <c r="E125" i="88" s="1"/>
  <c r="F125" i="88" s="1"/>
  <c r="G125" i="88" s="1"/>
  <c r="D123" i="88"/>
  <c r="E123" i="88" s="1"/>
  <c r="F123" i="88" s="1"/>
  <c r="G123" i="88" s="1"/>
  <c r="H123" i="88" s="1"/>
  <c r="I123" i="88" s="1"/>
  <c r="J123" i="88" s="1"/>
  <c r="K123" i="88" s="1"/>
  <c r="L123" i="88" s="1"/>
  <c r="M123" i="88" s="1"/>
  <c r="D119" i="88"/>
  <c r="E119" i="88" s="1"/>
  <c r="F119" i="88" s="1"/>
  <c r="G119" i="88" s="1"/>
  <c r="H119" i="88" s="1"/>
  <c r="I119" i="88" s="1"/>
  <c r="J119" i="88" s="1"/>
  <c r="K119" i="88" s="1"/>
  <c r="L119" i="88" s="1"/>
  <c r="M119" i="88" s="1"/>
  <c r="D117" i="88"/>
  <c r="E117" i="88" s="1"/>
  <c r="F117" i="88" s="1"/>
  <c r="G117" i="88" s="1"/>
  <c r="D115" i="88"/>
  <c r="E115" i="88" s="1"/>
  <c r="F115" i="88" s="1"/>
  <c r="G115" i="88" s="1"/>
  <c r="H115" i="88" s="1"/>
  <c r="I115" i="88" s="1"/>
  <c r="J115" i="88" s="1"/>
  <c r="K115" i="88" s="1"/>
  <c r="L115" i="88" s="1"/>
  <c r="M115" i="88" s="1"/>
  <c r="D113" i="88"/>
  <c r="E113" i="88" s="1"/>
  <c r="F113" i="88" s="1"/>
  <c r="G113" i="88" s="1"/>
  <c r="H111" i="88"/>
  <c r="G111" i="88"/>
  <c r="F111" i="88"/>
  <c r="E111" i="88"/>
  <c r="D111" i="88"/>
  <c r="C111" i="88"/>
  <c r="D110" i="88"/>
  <c r="E110" i="88" s="1"/>
  <c r="F110" i="88" s="1"/>
  <c r="G110" i="88" s="1"/>
  <c r="H110" i="88" s="1"/>
  <c r="I110" i="88" s="1"/>
  <c r="J110" i="88" s="1"/>
  <c r="K110" i="88" s="1"/>
  <c r="L110" i="88" s="1"/>
  <c r="M110" i="88" s="1"/>
  <c r="D108" i="88"/>
  <c r="E108" i="88" s="1"/>
  <c r="F108" i="88" s="1"/>
  <c r="G108" i="88" s="1"/>
  <c r="H108" i="88" s="1"/>
  <c r="I108" i="88" s="1"/>
  <c r="J108" i="88" s="1"/>
  <c r="K108" i="88" s="1"/>
  <c r="L108" i="88" s="1"/>
  <c r="M108" i="88" s="1"/>
  <c r="D106" i="88"/>
  <c r="E106" i="88" s="1"/>
  <c r="F106" i="88" s="1"/>
  <c r="G106" i="88" s="1"/>
  <c r="H106" i="88" s="1"/>
  <c r="I106" i="88" s="1"/>
  <c r="J106" i="88" s="1"/>
  <c r="K106" i="88" s="1"/>
  <c r="L106" i="88" s="1"/>
  <c r="M106" i="88" s="1"/>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B90" i="88"/>
  <c r="E89" i="88"/>
  <c r="F89" i="88" s="1"/>
  <c r="G89" i="88" s="1"/>
  <c r="H89" i="88" s="1"/>
  <c r="I89" i="88" s="1"/>
  <c r="J89" i="88" s="1"/>
  <c r="K89" i="88" s="1"/>
  <c r="L89" i="88" s="1"/>
  <c r="M89" i="88" s="1"/>
  <c r="D89" i="88"/>
  <c r="M87" i="88"/>
  <c r="L87" i="88"/>
  <c r="K87" i="88"/>
  <c r="J87" i="88"/>
  <c r="I87" i="88"/>
  <c r="H87" i="88"/>
  <c r="G87" i="88"/>
  <c r="F87" i="88"/>
  <c r="E87" i="88"/>
  <c r="D87" i="88"/>
  <c r="E85" i="88"/>
  <c r="F85" i="88" s="1"/>
  <c r="G85" i="88" s="1"/>
  <c r="D85" i="88"/>
  <c r="E83" i="88"/>
  <c r="F83" i="88" s="1"/>
  <c r="G83" i="88" s="1"/>
  <c r="D83" i="88"/>
  <c r="E81" i="88"/>
  <c r="F81" i="88" s="1"/>
  <c r="G81" i="88" s="1"/>
  <c r="D81" i="88"/>
  <c r="E79" i="88"/>
  <c r="F79" i="88" s="1"/>
  <c r="G79" i="88" s="1"/>
  <c r="D79" i="88"/>
  <c r="E77" i="88"/>
  <c r="F77" i="88" s="1"/>
  <c r="G77" i="88" s="1"/>
  <c r="D77" i="88"/>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G66" i="88" s="1"/>
  <c r="H66" i="88" s="1"/>
  <c r="I66" i="88" s="1"/>
  <c r="C63" i="88"/>
  <c r="D59" i="88"/>
  <c r="E59" i="88" s="1"/>
  <c r="F59" i="88" s="1"/>
  <c r="G59" i="88" s="1"/>
  <c r="H59" i="88" s="1"/>
  <c r="I59" i="88" s="1"/>
  <c r="J59" i="88" s="1"/>
  <c r="K59" i="88" s="1"/>
  <c r="L59" i="88" s="1"/>
  <c r="M59" i="88" s="1"/>
  <c r="P49" i="88"/>
  <c r="P48" i="88"/>
  <c r="K48" i="88"/>
  <c r="P47" i="88"/>
  <c r="I47" i="88"/>
  <c r="V47" i="88" s="1"/>
  <c r="G47" i="88"/>
  <c r="E47" i="88"/>
  <c r="Q46" i="88"/>
  <c r="Z46" i="88" s="1"/>
  <c r="J46" i="88"/>
  <c r="H46" i="88"/>
  <c r="AB46" i="88" s="1"/>
  <c r="F46" i="88"/>
  <c r="AA46" i="88" s="1"/>
  <c r="Q45" i="88"/>
  <c r="Z45" i="88" s="1"/>
  <c r="J45" i="88"/>
  <c r="AC45" i="88" s="1"/>
  <c r="F45" i="88"/>
  <c r="AA45" i="88" s="1"/>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J34" i="88"/>
  <c r="AC34" i="88" s="1"/>
  <c r="H34" i="88"/>
  <c r="AB34" i="88" s="1"/>
  <c r="F34" i="88"/>
  <c r="AA34" i="88" s="1"/>
  <c r="Q33" i="88"/>
  <c r="Z33" i="88" s="1"/>
  <c r="C33" i="88"/>
  <c r="H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S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AC8" i="88" s="1"/>
  <c r="H8" i="88"/>
  <c r="AB8" i="88" s="1"/>
  <c r="F8" i="88"/>
  <c r="AA8" i="88" s="1"/>
  <c r="I5" i="88"/>
  <c r="G5" i="88"/>
  <c r="E5" i="88"/>
  <c r="D2" i="88"/>
  <c r="H113" i="88" l="1"/>
  <c r="H37" i="88"/>
  <c r="AB37" i="88" s="1"/>
  <c r="J37" i="88"/>
  <c r="AC37" i="88" s="1"/>
  <c r="F37" i="88"/>
  <c r="AA37" i="88" s="1"/>
  <c r="U8" i="88"/>
  <c r="K145" i="88"/>
  <c r="S8" i="88"/>
  <c r="W8" i="88"/>
  <c r="S9" i="88"/>
  <c r="W9" i="88"/>
  <c r="U10" i="88"/>
  <c r="S11" i="88"/>
  <c r="W11" i="88"/>
  <c r="U12" i="88"/>
  <c r="S13" i="88"/>
  <c r="W13" i="88"/>
  <c r="U14" i="88"/>
  <c r="U15" i="88"/>
  <c r="U17" i="88"/>
  <c r="U19" i="88"/>
  <c r="AA19" i="88"/>
  <c r="AB33" i="88"/>
  <c r="U33" i="88"/>
  <c r="U9" i="88"/>
  <c r="S10" i="88"/>
  <c r="W10" i="88"/>
  <c r="U11" i="88"/>
  <c r="S12" i="88"/>
  <c r="W12" i="88"/>
  <c r="U13" i="88"/>
  <c r="S14" i="88"/>
  <c r="W14" i="88"/>
  <c r="S15" i="88"/>
  <c r="W15" i="88"/>
  <c r="S17" i="88"/>
  <c r="W17" i="88"/>
  <c r="W19" i="88"/>
  <c r="S21" i="88"/>
  <c r="W21" i="88"/>
  <c r="S23" i="88"/>
  <c r="W23" i="88"/>
  <c r="U25" i="88"/>
  <c r="S26" i="88"/>
  <c r="W26" i="88"/>
  <c r="U27" i="88"/>
  <c r="S28" i="88"/>
  <c r="W28" i="88"/>
  <c r="U29" i="88"/>
  <c r="S30" i="88"/>
  <c r="W30" i="88"/>
  <c r="U31" i="88"/>
  <c r="S32" i="88"/>
  <c r="W32" i="88"/>
  <c r="F33" i="88"/>
  <c r="J33" i="88"/>
  <c r="U34" i="88"/>
  <c r="S35" i="88"/>
  <c r="W35" i="88"/>
  <c r="U36" i="88"/>
  <c r="S37" i="88"/>
  <c r="W37" i="88"/>
  <c r="U38" i="88"/>
  <c r="S39" i="88"/>
  <c r="W39" i="88"/>
  <c r="U40" i="88"/>
  <c r="S41" i="88"/>
  <c r="W41" i="88"/>
  <c r="U42" i="88"/>
  <c r="S43" i="88"/>
  <c r="W43" i="88"/>
  <c r="U44" i="88"/>
  <c r="S45" i="88"/>
  <c r="W45" i="88"/>
  <c r="U46" i="88"/>
  <c r="G54" i="88"/>
  <c r="H54" i="88" s="1"/>
  <c r="U21" i="88"/>
  <c r="U23" i="88"/>
  <c r="S25" i="88"/>
  <c r="W25" i="88"/>
  <c r="U26" i="88"/>
  <c r="S27" i="88"/>
  <c r="W27" i="88"/>
  <c r="U28" i="88"/>
  <c r="S29" i="88"/>
  <c r="W29" i="88"/>
  <c r="U30" i="88"/>
  <c r="S31" i="88"/>
  <c r="W31" i="88"/>
  <c r="U32" i="88"/>
  <c r="S34" i="88"/>
  <c r="W34" i="88"/>
  <c r="U35" i="88"/>
  <c r="S36" i="88"/>
  <c r="W36" i="88"/>
  <c r="S38" i="88"/>
  <c r="W38" i="88"/>
  <c r="U39" i="88"/>
  <c r="S40" i="88"/>
  <c r="W40" i="88"/>
  <c r="U41" i="88"/>
  <c r="S42" i="88"/>
  <c r="W42" i="88"/>
  <c r="U43" i="88"/>
  <c r="S44" i="88"/>
  <c r="W44" i="88"/>
  <c r="U45" i="88"/>
  <c r="AC46" i="88"/>
  <c r="W46" i="88"/>
  <c r="S46" i="88"/>
  <c r="E54" i="88"/>
  <c r="F54" i="88" s="1"/>
  <c r="I54" i="88"/>
  <c r="J54" i="88" s="1"/>
  <c r="R47" i="88"/>
  <c r="T47" i="88"/>
  <c r="K141" i="88"/>
  <c r="K143" i="88"/>
  <c r="K144" i="88"/>
  <c r="U37" i="88" l="1"/>
  <c r="AC33" i="88"/>
  <c r="W33" i="88"/>
  <c r="AA33" i="88"/>
  <c r="S33" i="88"/>
  <c r="G18" i="74" l="1"/>
  <c r="D86" i="77" l="1"/>
  <c r="S35" i="87"/>
  <c r="F589" i="87"/>
  <c r="H18" i="87"/>
  <c r="AB8" i="87"/>
  <c r="AB12" i="87"/>
  <c r="AC15" i="87"/>
  <c r="AC14" i="87"/>
  <c r="AC13" i="87"/>
  <c r="AC12" i="87"/>
  <c r="AC7" i="87"/>
  <c r="AC8" i="87" l="1"/>
  <c r="AC9" i="87"/>
  <c r="AC11" i="87"/>
  <c r="V34" i="87" l="1"/>
  <c r="H293" i="87"/>
  <c r="F294" i="87"/>
  <c r="V32" i="87" s="1"/>
  <c r="F163" i="87"/>
  <c r="V31" i="87" s="1"/>
  <c r="H68" i="87"/>
  <c r="F69" i="87"/>
  <c r="V30" i="87" s="1"/>
  <c r="H67" i="87"/>
  <c r="H66" i="87"/>
  <c r="H60" i="87"/>
  <c r="H61" i="87"/>
  <c r="H62" i="87"/>
  <c r="H63" i="87"/>
  <c r="H64" i="87"/>
  <c r="H65" i="87"/>
  <c r="H59" i="87"/>
  <c r="Q5" i="78"/>
  <c r="U15" i="78"/>
  <c r="Q4" i="78" s="1"/>
  <c r="Q3" i="78"/>
  <c r="Q6" i="78" l="1"/>
  <c r="P118" i="77"/>
  <c r="I574" i="78" l="1"/>
  <c r="I573" i="78"/>
  <c r="H571" i="78"/>
  <c r="R3" i="78" l="1"/>
  <c r="D118" i="77" l="1"/>
  <c r="J41" i="35" l="1"/>
  <c r="E5" i="21"/>
  <c r="L23" i="1" l="1"/>
  <c r="F352" i="87" l="1"/>
  <c r="F590" i="87" l="1"/>
  <c r="V33" i="87"/>
  <c r="V35" i="87" s="1"/>
  <c r="N6" i="78"/>
  <c r="D14" i="80"/>
  <c r="E47" i="21"/>
  <c r="I47" i="21"/>
  <c r="G47" i="21"/>
  <c r="I5" i="21"/>
  <c r="G5" i="21"/>
  <c r="H14" i="86"/>
  <c r="H11" i="86"/>
  <c r="H23" i="86" s="1"/>
  <c r="H8" i="86"/>
  <c r="H20" i="86" s="1"/>
  <c r="H5" i="86"/>
  <c r="H17" i="86" s="1"/>
  <c r="C12" i="86"/>
  <c r="C6" i="86"/>
  <c r="C3" i="86"/>
  <c r="D59" i="21"/>
  <c r="E59" i="21" s="1"/>
  <c r="F59" i="21" s="1"/>
  <c r="G59" i="21" s="1"/>
  <c r="H59" i="21" s="1"/>
  <c r="I59" i="21" s="1"/>
  <c r="J59" i="21" s="1"/>
  <c r="K59" i="21" s="1"/>
  <c r="L59" i="21" s="1"/>
  <c r="M59" i="21" s="1"/>
  <c r="N120" i="77" l="1"/>
  <c r="R113" i="77"/>
  <c r="S113" i="77" s="1"/>
  <c r="R112" i="77"/>
  <c r="S112" i="77" s="1"/>
  <c r="R111" i="77"/>
  <c r="S111" i="77" s="1"/>
  <c r="R110" i="77"/>
  <c r="S110" i="77" s="1"/>
  <c r="R109" i="77"/>
  <c r="B104" i="77"/>
  <c r="B103" i="77"/>
  <c r="T86" i="77"/>
  <c r="T87" i="77" s="1"/>
  <c r="I37" i="35"/>
  <c r="G37" i="35"/>
  <c r="E37" i="35"/>
  <c r="I5" i="35"/>
  <c r="G5" i="35"/>
  <c r="E5" i="35"/>
  <c r="P5" i="78"/>
  <c r="P6" i="78" s="1"/>
  <c r="P7" i="78" s="1"/>
  <c r="I46" i="39"/>
  <c r="I38" i="39"/>
  <c r="I13" i="3"/>
  <c r="L562" i="78"/>
  <c r="M562" i="78"/>
  <c r="G46" i="39"/>
  <c r="G38" i="39"/>
  <c r="G7" i="39"/>
  <c r="E38" i="39"/>
  <c r="S109" i="77" l="1"/>
  <c r="E5" i="39"/>
  <c r="K71" i="39"/>
  <c r="L71" i="39" s="1"/>
  <c r="M71" i="39" s="1"/>
  <c r="N71" i="39" s="1"/>
  <c r="O71" i="39" s="1"/>
  <c r="P71" i="39" s="1"/>
  <c r="Q71" i="39" s="1"/>
  <c r="I7" i="39"/>
  <c r="E7" i="39"/>
  <c r="I5" i="39"/>
  <c r="T2" i="84"/>
  <c r="U2" i="84"/>
  <c r="E46" i="39" s="1"/>
  <c r="G3" i="84"/>
  <c r="G4" i="84"/>
  <c r="G5" i="84"/>
  <c r="G6" i="84"/>
  <c r="G7" i="84"/>
  <c r="G8" i="84"/>
  <c r="G9" i="84"/>
  <c r="G10" i="84"/>
  <c r="G11" i="84"/>
  <c r="G12" i="84"/>
  <c r="G13" i="84"/>
  <c r="G14" i="84"/>
  <c r="G15" i="84"/>
  <c r="G16" i="84"/>
  <c r="G17" i="84"/>
  <c r="G18" i="84"/>
  <c r="G2" i="84"/>
  <c r="D14" i="81" l="1"/>
  <c r="D14" i="9"/>
  <c r="F38" i="83"/>
  <c r="E37" i="83"/>
  <c r="F36" i="83"/>
  <c r="F35" i="83"/>
  <c r="F21" i="83"/>
  <c r="F40" i="83" s="1"/>
  <c r="F20" i="83"/>
  <c r="F39" i="83" s="1"/>
  <c r="E10" i="83"/>
  <c r="E9" i="83"/>
  <c r="C8" i="83"/>
  <c r="F7" i="83"/>
  <c r="F38" i="82"/>
  <c r="E37" i="82"/>
  <c r="F36" i="82"/>
  <c r="F35" i="82"/>
  <c r="F21" i="82"/>
  <c r="F40" i="82" s="1"/>
  <c r="C21" i="82"/>
  <c r="F20" i="82"/>
  <c r="F39" i="82" s="1"/>
  <c r="E10" i="82"/>
  <c r="E9" i="82"/>
  <c r="C8" i="82"/>
  <c r="F7" i="82"/>
  <c r="A120" i="81"/>
  <c r="E111" i="81"/>
  <c r="A126" i="81" s="1"/>
  <c r="H109" i="81"/>
  <c r="D124" i="81" s="1"/>
  <c r="D125" i="81" s="1"/>
  <c r="E109" i="81"/>
  <c r="A124" i="81" s="1"/>
  <c r="E107" i="81"/>
  <c r="A122" i="81" s="1"/>
  <c r="H106" i="81"/>
  <c r="H105" i="81"/>
  <c r="H104" i="81"/>
  <c r="H103" i="81"/>
  <c r="D120" i="81" s="1"/>
  <c r="D101" i="81"/>
  <c r="C101" i="81"/>
  <c r="C91" i="81"/>
  <c r="E90" i="81"/>
  <c r="D89" i="81"/>
  <c r="C89" i="81" s="1"/>
  <c r="C87" i="81" s="1"/>
  <c r="H77" i="81"/>
  <c r="D77" i="81"/>
  <c r="C76" i="81"/>
  <c r="F59" i="81"/>
  <c r="O55" i="81" s="1"/>
  <c r="E59" i="81"/>
  <c r="N55" i="81" s="1"/>
  <c r="F56" i="81"/>
  <c r="K55" i="81"/>
  <c r="J55" i="81"/>
  <c r="I55" i="81"/>
  <c r="F55" i="81"/>
  <c r="O54" i="81"/>
  <c r="N54" i="81"/>
  <c r="O53" i="81"/>
  <c r="N53" i="81"/>
  <c r="K49" i="81"/>
  <c r="E48" i="81"/>
  <c r="N52" i="81" s="1"/>
  <c r="D48" i="81"/>
  <c r="M52" i="81" s="1"/>
  <c r="F33" i="81"/>
  <c r="D27" i="81"/>
  <c r="C25" i="81"/>
  <c r="C24" i="81"/>
  <c r="D17" i="81"/>
  <c r="C17" i="81"/>
  <c r="L4" i="81"/>
  <c r="K4" i="81"/>
  <c r="H1" i="81"/>
  <c r="A120" i="80"/>
  <c r="E111" i="80"/>
  <c r="A126" i="80" s="1"/>
  <c r="H109" i="80"/>
  <c r="D124" i="80" s="1"/>
  <c r="D125" i="80" s="1"/>
  <c r="E109" i="80"/>
  <c r="A124" i="80" s="1"/>
  <c r="E107" i="80"/>
  <c r="A122" i="80" s="1"/>
  <c r="H106" i="80"/>
  <c r="H105" i="80"/>
  <c r="H104" i="80"/>
  <c r="H103" i="80"/>
  <c r="D120" i="80" s="1"/>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M13" i="3"/>
  <c r="G21" i="6" s="1"/>
  <c r="K13" i="3"/>
  <c r="G20" i="6" s="1"/>
  <c r="F19" i="6"/>
  <c r="D3" i="4"/>
  <c r="N561" i="78"/>
  <c r="J561" i="78"/>
  <c r="J560" i="78"/>
  <c r="J559" i="78"/>
  <c r="J558" i="78"/>
  <c r="J557" i="78"/>
  <c r="N556" i="78"/>
  <c r="J556" i="78"/>
  <c r="J555" i="78"/>
  <c r="J554" i="78"/>
  <c r="J553" i="78"/>
  <c r="J552" i="78"/>
  <c r="N551" i="78"/>
  <c r="J551" i="78"/>
  <c r="J550" i="78"/>
  <c r="J549" i="78"/>
  <c r="J548" i="78"/>
  <c r="J547" i="78"/>
  <c r="N546" i="78"/>
  <c r="J546" i="78"/>
  <c r="J545" i="78"/>
  <c r="J544" i="78"/>
  <c r="J543" i="78"/>
  <c r="J542" i="78"/>
  <c r="N541" i="78"/>
  <c r="J541" i="78"/>
  <c r="J540" i="78"/>
  <c r="J539" i="78"/>
  <c r="J538" i="78"/>
  <c r="J537" i="78"/>
  <c r="N536" i="78"/>
  <c r="J536" i="78"/>
  <c r="J535" i="78"/>
  <c r="J534" i="78"/>
  <c r="J533" i="78"/>
  <c r="J532" i="78"/>
  <c r="N531" i="78"/>
  <c r="J531" i="78"/>
  <c r="J530" i="78"/>
  <c r="J529" i="78"/>
  <c r="J528" i="78"/>
  <c r="J527" i="78"/>
  <c r="N526" i="78"/>
  <c r="J526" i="78"/>
  <c r="J525" i="78"/>
  <c r="J524" i="78"/>
  <c r="J523" i="78"/>
  <c r="J522" i="78"/>
  <c r="N521" i="78"/>
  <c r="J521" i="78"/>
  <c r="J520" i="78"/>
  <c r="J519" i="78"/>
  <c r="J518" i="78"/>
  <c r="J517" i="78"/>
  <c r="N516" i="78"/>
  <c r="J516" i="78"/>
  <c r="J515" i="78"/>
  <c r="J514" i="78"/>
  <c r="J513" i="78"/>
  <c r="J512" i="78"/>
  <c r="N511" i="78"/>
  <c r="J511" i="78"/>
  <c r="J510" i="78"/>
  <c r="J509" i="78"/>
  <c r="J508" i="78"/>
  <c r="J507" i="78"/>
  <c r="N506" i="78"/>
  <c r="J506" i="78"/>
  <c r="J505" i="78"/>
  <c r="J504" i="78"/>
  <c r="J503" i="78"/>
  <c r="J502" i="78"/>
  <c r="N501" i="78"/>
  <c r="J501" i="78"/>
  <c r="J500" i="78"/>
  <c r="J499" i="78"/>
  <c r="J498" i="78"/>
  <c r="J497" i="78"/>
  <c r="N496" i="78"/>
  <c r="J496" i="78"/>
  <c r="J495" i="78"/>
  <c r="J494" i="78"/>
  <c r="J493" i="78"/>
  <c r="J492" i="78"/>
  <c r="N491" i="78"/>
  <c r="J491" i="78"/>
  <c r="J490" i="78"/>
  <c r="J489" i="78"/>
  <c r="J488" i="78"/>
  <c r="J487" i="78"/>
  <c r="N486" i="78"/>
  <c r="J486" i="78"/>
  <c r="J485" i="78"/>
  <c r="J484" i="78"/>
  <c r="J483" i="78"/>
  <c r="J482" i="78"/>
  <c r="N481" i="78"/>
  <c r="J481" i="78"/>
  <c r="J480" i="78"/>
  <c r="J479" i="78"/>
  <c r="J478" i="78"/>
  <c r="J477" i="78"/>
  <c r="N476" i="78"/>
  <c r="J476" i="78"/>
  <c r="J475" i="78"/>
  <c r="J474" i="78"/>
  <c r="J473" i="78"/>
  <c r="J472" i="78"/>
  <c r="N471" i="78"/>
  <c r="J471" i="78"/>
  <c r="J470" i="78"/>
  <c r="J469" i="78"/>
  <c r="J468" i="78"/>
  <c r="J467" i="78"/>
  <c r="N466" i="78"/>
  <c r="J466" i="78"/>
  <c r="J465" i="78"/>
  <c r="J464" i="78"/>
  <c r="J463" i="78"/>
  <c r="J462" i="78"/>
  <c r="N461" i="78"/>
  <c r="J461" i="78"/>
  <c r="J460" i="78"/>
  <c r="J459" i="78"/>
  <c r="J458" i="78"/>
  <c r="J457" i="78"/>
  <c r="N456" i="78"/>
  <c r="J456" i="78"/>
  <c r="J455" i="78"/>
  <c r="J454" i="78"/>
  <c r="J453" i="78"/>
  <c r="J452" i="78"/>
  <c r="N451" i="78"/>
  <c r="J451" i="78"/>
  <c r="J450" i="78"/>
  <c r="J449" i="78"/>
  <c r="J448" i="78"/>
  <c r="J447" i="78"/>
  <c r="N446" i="78"/>
  <c r="J446" i="78"/>
  <c r="J445" i="78"/>
  <c r="J444" i="78"/>
  <c r="J443" i="78"/>
  <c r="J442" i="78"/>
  <c r="N441" i="78"/>
  <c r="J441" i="78"/>
  <c r="J440" i="78"/>
  <c r="J439" i="78"/>
  <c r="J438" i="78"/>
  <c r="J437" i="78"/>
  <c r="N436" i="78"/>
  <c r="J436" i="78"/>
  <c r="J435" i="78"/>
  <c r="J434" i="78"/>
  <c r="J433" i="78"/>
  <c r="J432" i="78"/>
  <c r="N431" i="78"/>
  <c r="J431" i="78"/>
  <c r="J430" i="78"/>
  <c r="J429" i="78"/>
  <c r="J428" i="78"/>
  <c r="J427" i="78"/>
  <c r="N426" i="78"/>
  <c r="J426" i="78"/>
  <c r="J425" i="78"/>
  <c r="J424" i="78"/>
  <c r="J423" i="78"/>
  <c r="J422" i="78"/>
  <c r="N421" i="78"/>
  <c r="J421" i="78"/>
  <c r="J420" i="78"/>
  <c r="J419" i="78"/>
  <c r="J418" i="78"/>
  <c r="J417" i="78"/>
  <c r="N416" i="78"/>
  <c r="J416" i="78"/>
  <c r="J415" i="78"/>
  <c r="J414" i="78"/>
  <c r="J413" i="78"/>
  <c r="J412" i="78"/>
  <c r="N411" i="78"/>
  <c r="J411" i="78"/>
  <c r="J410" i="78"/>
  <c r="J409" i="78"/>
  <c r="J408" i="78"/>
  <c r="J407" i="78"/>
  <c r="N406" i="78"/>
  <c r="J406" i="78"/>
  <c r="J405" i="78"/>
  <c r="J404" i="78"/>
  <c r="J403" i="78"/>
  <c r="J402" i="78"/>
  <c r="N401" i="78"/>
  <c r="J401" i="78"/>
  <c r="J400" i="78"/>
  <c r="J399" i="78"/>
  <c r="J398" i="78"/>
  <c r="J397" i="78"/>
  <c r="N396" i="78"/>
  <c r="J396" i="78"/>
  <c r="J395" i="78"/>
  <c r="J394" i="78"/>
  <c r="J393" i="78"/>
  <c r="J392" i="78"/>
  <c r="N391" i="78"/>
  <c r="J391" i="78"/>
  <c r="J390" i="78"/>
  <c r="J389" i="78"/>
  <c r="J388" i="78"/>
  <c r="J387" i="78"/>
  <c r="N386" i="78"/>
  <c r="J386" i="78"/>
  <c r="J385" i="78"/>
  <c r="J384" i="78"/>
  <c r="J383" i="78"/>
  <c r="J382" i="78"/>
  <c r="N381" i="78"/>
  <c r="J381" i="78"/>
  <c r="J380" i="78"/>
  <c r="J379" i="78"/>
  <c r="J378" i="78"/>
  <c r="J377" i="78"/>
  <c r="N376" i="78"/>
  <c r="J376" i="78"/>
  <c r="J375" i="78"/>
  <c r="J374" i="78"/>
  <c r="J373" i="78"/>
  <c r="J372" i="78"/>
  <c r="N371" i="78"/>
  <c r="J371" i="78"/>
  <c r="J370" i="78"/>
  <c r="J369" i="78"/>
  <c r="J368" i="78"/>
  <c r="J367" i="78"/>
  <c r="N366" i="78"/>
  <c r="J366" i="78"/>
  <c r="J365" i="78"/>
  <c r="J364" i="78"/>
  <c r="J363" i="78"/>
  <c r="J362" i="78"/>
  <c r="N361" i="78"/>
  <c r="J361" i="78"/>
  <c r="J360" i="78"/>
  <c r="J359" i="78"/>
  <c r="J358" i="78"/>
  <c r="J357" i="78"/>
  <c r="N356" i="78"/>
  <c r="J356" i="78"/>
  <c r="J355" i="78"/>
  <c r="J354" i="78"/>
  <c r="J353" i="78"/>
  <c r="J352" i="78"/>
  <c r="N351" i="78"/>
  <c r="J351" i="78"/>
  <c r="J350" i="78"/>
  <c r="J349" i="78"/>
  <c r="J348" i="78"/>
  <c r="J347" i="78"/>
  <c r="N346" i="78"/>
  <c r="J346" i="78"/>
  <c r="J345" i="78"/>
  <c r="J344" i="78"/>
  <c r="J343" i="78"/>
  <c r="J342" i="78"/>
  <c r="N341" i="78"/>
  <c r="J341" i="78"/>
  <c r="J340" i="78"/>
  <c r="J339" i="78"/>
  <c r="J338" i="78"/>
  <c r="J337" i="78"/>
  <c r="N336" i="78"/>
  <c r="J336" i="78"/>
  <c r="J335" i="78"/>
  <c r="J334" i="78"/>
  <c r="J333" i="78"/>
  <c r="J332" i="78"/>
  <c r="N331" i="78"/>
  <c r="J331" i="78"/>
  <c r="J330" i="78"/>
  <c r="J329" i="78"/>
  <c r="J328" i="78"/>
  <c r="J327" i="78"/>
  <c r="N326" i="78"/>
  <c r="J326" i="78"/>
  <c r="J325" i="78"/>
  <c r="J324" i="78"/>
  <c r="J323" i="78"/>
  <c r="J322" i="78"/>
  <c r="N321" i="78"/>
  <c r="J321" i="78"/>
  <c r="J320" i="78"/>
  <c r="J319" i="78"/>
  <c r="J318" i="78"/>
  <c r="J317" i="78"/>
  <c r="N316" i="78"/>
  <c r="J316" i="78"/>
  <c r="J315" i="78"/>
  <c r="J314" i="78"/>
  <c r="J313" i="78"/>
  <c r="J312" i="78"/>
  <c r="N311" i="78"/>
  <c r="J311" i="78"/>
  <c r="J310" i="78"/>
  <c r="J309" i="78"/>
  <c r="J308" i="78"/>
  <c r="J307" i="78"/>
  <c r="N306" i="78"/>
  <c r="J306" i="78"/>
  <c r="J305" i="78"/>
  <c r="J304" i="78"/>
  <c r="J303" i="78"/>
  <c r="J302" i="78"/>
  <c r="N301" i="78"/>
  <c r="J301" i="78"/>
  <c r="J300" i="78"/>
  <c r="J299" i="78"/>
  <c r="J298" i="78"/>
  <c r="J297" i="78"/>
  <c r="N296" i="78"/>
  <c r="J296" i="78"/>
  <c r="J295" i="78"/>
  <c r="J294" i="78"/>
  <c r="J293" i="78"/>
  <c r="J292" i="78"/>
  <c r="N291" i="78"/>
  <c r="J291" i="78"/>
  <c r="J290" i="78"/>
  <c r="J289" i="78"/>
  <c r="J288" i="78"/>
  <c r="J287" i="78"/>
  <c r="N286" i="78"/>
  <c r="J286" i="78"/>
  <c r="J285" i="78"/>
  <c r="J284" i="78"/>
  <c r="J283" i="78"/>
  <c r="J282" i="78"/>
  <c r="N281" i="78"/>
  <c r="J281" i="78"/>
  <c r="J280" i="78"/>
  <c r="J279" i="78"/>
  <c r="J278" i="78"/>
  <c r="J277" i="78"/>
  <c r="N276" i="78"/>
  <c r="J276" i="78"/>
  <c r="J275" i="78"/>
  <c r="J274" i="78"/>
  <c r="J273" i="78"/>
  <c r="J272" i="78"/>
  <c r="N271" i="78"/>
  <c r="J271" i="78"/>
  <c r="J270" i="78"/>
  <c r="J269" i="78"/>
  <c r="J268" i="78"/>
  <c r="J267" i="78"/>
  <c r="N266" i="78"/>
  <c r="J266" i="78"/>
  <c r="J265" i="78"/>
  <c r="J264" i="78"/>
  <c r="J263" i="78"/>
  <c r="J262" i="78"/>
  <c r="N261" i="78"/>
  <c r="J261" i="78"/>
  <c r="J260" i="78"/>
  <c r="J259" i="78"/>
  <c r="J258" i="78"/>
  <c r="J257" i="78"/>
  <c r="N256" i="78"/>
  <c r="J256" i="78"/>
  <c r="J255" i="78"/>
  <c r="J254" i="78"/>
  <c r="J253" i="78"/>
  <c r="J252" i="78"/>
  <c r="N251" i="78"/>
  <c r="J251" i="78"/>
  <c r="J250" i="78"/>
  <c r="J249" i="78"/>
  <c r="J248" i="78"/>
  <c r="J247" i="78"/>
  <c r="N246" i="78"/>
  <c r="J246" i="78"/>
  <c r="J245" i="78"/>
  <c r="J244" i="78"/>
  <c r="J243" i="78"/>
  <c r="J242" i="78"/>
  <c r="N241" i="78"/>
  <c r="J241" i="78"/>
  <c r="J240" i="78"/>
  <c r="J239" i="78"/>
  <c r="J238" i="78"/>
  <c r="J237" i="78"/>
  <c r="N236" i="78"/>
  <c r="J236" i="78"/>
  <c r="J235" i="78"/>
  <c r="J234" i="78"/>
  <c r="J233" i="78"/>
  <c r="J232" i="78"/>
  <c r="N231" i="78"/>
  <c r="J231" i="78"/>
  <c r="J230" i="78"/>
  <c r="J229" i="78"/>
  <c r="J228" i="78"/>
  <c r="J227" i="78"/>
  <c r="N226" i="78"/>
  <c r="J226" i="78"/>
  <c r="J225" i="78"/>
  <c r="J224" i="78"/>
  <c r="J223" i="78"/>
  <c r="J222" i="78"/>
  <c r="N221" i="78"/>
  <c r="J221" i="78"/>
  <c r="J220" i="78"/>
  <c r="J219" i="78"/>
  <c r="J218" i="78"/>
  <c r="J217" i="78"/>
  <c r="N216" i="78"/>
  <c r="J216" i="78"/>
  <c r="J215" i="78"/>
  <c r="J214" i="78"/>
  <c r="J213" i="78"/>
  <c r="J212" i="78"/>
  <c r="N211" i="78"/>
  <c r="J211" i="78"/>
  <c r="J210" i="78"/>
  <c r="J209" i="78"/>
  <c r="J208" i="78"/>
  <c r="J207" i="78"/>
  <c r="N206" i="78"/>
  <c r="J206" i="78"/>
  <c r="J205" i="78"/>
  <c r="J204" i="78"/>
  <c r="J203" i="78"/>
  <c r="J202" i="78"/>
  <c r="N201" i="78"/>
  <c r="J201" i="78"/>
  <c r="J200" i="78"/>
  <c r="J199" i="78"/>
  <c r="J198" i="78"/>
  <c r="J197" i="78"/>
  <c r="N196" i="78"/>
  <c r="J196" i="78"/>
  <c r="J195" i="78"/>
  <c r="J194" i="78"/>
  <c r="J193" i="78"/>
  <c r="J192" i="78"/>
  <c r="N191" i="78"/>
  <c r="J191" i="78"/>
  <c r="J190" i="78"/>
  <c r="J189" i="78"/>
  <c r="J188" i="78"/>
  <c r="J187" i="78"/>
  <c r="N186" i="78"/>
  <c r="J186" i="78"/>
  <c r="J185" i="78"/>
  <c r="J184" i="78"/>
  <c r="J183" i="78"/>
  <c r="J182" i="78"/>
  <c r="N181" i="78"/>
  <c r="J181" i="78"/>
  <c r="J180" i="78"/>
  <c r="J179" i="78"/>
  <c r="J178" i="78"/>
  <c r="J177" i="78"/>
  <c r="N176" i="78"/>
  <c r="J176" i="78"/>
  <c r="J175" i="78"/>
  <c r="J174" i="78"/>
  <c r="J173" i="78"/>
  <c r="J172" i="78"/>
  <c r="N171" i="78"/>
  <c r="J171" i="78"/>
  <c r="J170" i="78"/>
  <c r="J169" i="78"/>
  <c r="J168" i="78"/>
  <c r="J167" i="78"/>
  <c r="N166" i="78"/>
  <c r="J166" i="78"/>
  <c r="J165" i="78"/>
  <c r="J164" i="78"/>
  <c r="J163" i="78"/>
  <c r="J162" i="78"/>
  <c r="N161" i="78"/>
  <c r="J161" i="78"/>
  <c r="J160" i="78"/>
  <c r="J159" i="78"/>
  <c r="J158" i="78"/>
  <c r="J157" i="78"/>
  <c r="N156" i="78"/>
  <c r="J156" i="78"/>
  <c r="J155" i="78"/>
  <c r="J154" i="78"/>
  <c r="J153" i="78"/>
  <c r="J152" i="78"/>
  <c r="N151" i="78"/>
  <c r="J151" i="78"/>
  <c r="J150" i="78"/>
  <c r="J149" i="78"/>
  <c r="J148" i="78"/>
  <c r="J147" i="78"/>
  <c r="N146" i="78"/>
  <c r="J146" i="78"/>
  <c r="J145" i="78"/>
  <c r="J144" i="78"/>
  <c r="J143" i="78"/>
  <c r="J142" i="78"/>
  <c r="N141" i="78"/>
  <c r="J141" i="78"/>
  <c r="J140" i="78"/>
  <c r="J139" i="78"/>
  <c r="J138" i="78"/>
  <c r="J137" i="78"/>
  <c r="N136" i="78"/>
  <c r="J136" i="78"/>
  <c r="J135" i="78"/>
  <c r="J134" i="78"/>
  <c r="J133" i="78"/>
  <c r="J132" i="78"/>
  <c r="N131" i="78"/>
  <c r="J131" i="78"/>
  <c r="J130" i="78"/>
  <c r="J129" i="78"/>
  <c r="J128" i="78"/>
  <c r="J127" i="78"/>
  <c r="N126" i="78"/>
  <c r="J126" i="78"/>
  <c r="J125" i="78"/>
  <c r="J124" i="78"/>
  <c r="J123" i="78"/>
  <c r="J122" i="78"/>
  <c r="N121" i="78"/>
  <c r="J121" i="78"/>
  <c r="J120" i="78"/>
  <c r="J119" i="78"/>
  <c r="J118" i="78"/>
  <c r="J117" i="78"/>
  <c r="N116" i="78"/>
  <c r="J116" i="78"/>
  <c r="J115" i="78"/>
  <c r="J114" i="78"/>
  <c r="J113" i="78"/>
  <c r="J112" i="78"/>
  <c r="N111" i="78"/>
  <c r="J111" i="78"/>
  <c r="J110" i="78"/>
  <c r="J109" i="78"/>
  <c r="J108" i="78"/>
  <c r="J107" i="78"/>
  <c r="N106" i="78"/>
  <c r="J106" i="78"/>
  <c r="J105" i="78"/>
  <c r="J104" i="78"/>
  <c r="J103" i="78"/>
  <c r="J102" i="78"/>
  <c r="N101" i="78"/>
  <c r="J101" i="78"/>
  <c r="J100" i="78"/>
  <c r="J99" i="78"/>
  <c r="J98" i="78"/>
  <c r="J97" i="78"/>
  <c r="N96" i="78"/>
  <c r="J96" i="78"/>
  <c r="J95" i="78"/>
  <c r="J94" i="78"/>
  <c r="J93" i="78"/>
  <c r="J92" i="78"/>
  <c r="N91" i="78"/>
  <c r="J91" i="78"/>
  <c r="J90" i="78"/>
  <c r="J89" i="78"/>
  <c r="J88" i="78"/>
  <c r="J87" i="78"/>
  <c r="N86" i="78"/>
  <c r="J86" i="78"/>
  <c r="J85" i="78"/>
  <c r="J84" i="78"/>
  <c r="J83" i="78"/>
  <c r="J82" i="78"/>
  <c r="N81" i="78"/>
  <c r="J81" i="78"/>
  <c r="J80" i="78"/>
  <c r="J79" i="78"/>
  <c r="J78" i="78"/>
  <c r="J77" i="78"/>
  <c r="N76" i="78"/>
  <c r="J76" i="78"/>
  <c r="J75" i="78"/>
  <c r="J74" i="78"/>
  <c r="J73" i="78"/>
  <c r="J72" i="78"/>
  <c r="N71" i="78"/>
  <c r="J71" i="78"/>
  <c r="J70" i="78"/>
  <c r="J69" i="78"/>
  <c r="J68" i="78"/>
  <c r="J67" i="78"/>
  <c r="N66" i="78"/>
  <c r="J66" i="78"/>
  <c r="J65" i="78"/>
  <c r="J64" i="78"/>
  <c r="J63" i="78"/>
  <c r="J62" i="78"/>
  <c r="N61" i="78"/>
  <c r="J61" i="78"/>
  <c r="J60" i="78"/>
  <c r="J59" i="78"/>
  <c r="J58" i="78"/>
  <c r="J57" i="78"/>
  <c r="N56" i="78"/>
  <c r="J56" i="78"/>
  <c r="J55" i="78"/>
  <c r="J54" i="78"/>
  <c r="J53" i="78"/>
  <c r="J52" i="78"/>
  <c r="N51" i="78"/>
  <c r="J51" i="78"/>
  <c r="J50" i="78"/>
  <c r="J49" i="78"/>
  <c r="J48" i="78"/>
  <c r="J47" i="78"/>
  <c r="N46" i="78"/>
  <c r="J46" i="78"/>
  <c r="J45" i="78"/>
  <c r="J44" i="78"/>
  <c r="J43" i="78"/>
  <c r="J42" i="78"/>
  <c r="N41" i="78"/>
  <c r="J41" i="78"/>
  <c r="J40" i="78"/>
  <c r="J39" i="78"/>
  <c r="J38" i="78"/>
  <c r="J37" i="78"/>
  <c r="N36" i="78"/>
  <c r="J36" i="78"/>
  <c r="J35" i="78"/>
  <c r="J34" i="78"/>
  <c r="J33" i="78"/>
  <c r="J32" i="78"/>
  <c r="N31" i="78"/>
  <c r="J31" i="78"/>
  <c r="J30" i="78"/>
  <c r="J29" i="78"/>
  <c r="J28" i="78"/>
  <c r="J27" i="78"/>
  <c r="N26" i="78"/>
  <c r="J26" i="78"/>
  <c r="J25" i="78"/>
  <c r="J24" i="78"/>
  <c r="J23" i="78"/>
  <c r="J22" i="78"/>
  <c r="N21" i="78"/>
  <c r="J21" i="78"/>
  <c r="J20" i="78"/>
  <c r="J19" i="78"/>
  <c r="J18" i="78"/>
  <c r="J17" i="78"/>
  <c r="N16" i="78"/>
  <c r="J16" i="78"/>
  <c r="J15" i="78"/>
  <c r="J14" i="78"/>
  <c r="J13" i="78"/>
  <c r="J12" i="78"/>
  <c r="N11" i="78"/>
  <c r="J11" i="78"/>
  <c r="J10" i="78"/>
  <c r="J9" i="78"/>
  <c r="J8" i="78"/>
  <c r="J7" i="78"/>
  <c r="J6" i="78"/>
  <c r="J5" i="78"/>
  <c r="J4" i="78"/>
  <c r="J3" i="78"/>
  <c r="J2" i="78"/>
  <c r="E2" i="83"/>
  <c r="E2" i="82"/>
  <c r="C40" i="83" l="1"/>
  <c r="C18" i="81"/>
  <c r="D18" i="81" s="1"/>
  <c r="C40" i="82"/>
  <c r="C21" i="83"/>
  <c r="C18" i="80"/>
  <c r="D18" i="80" s="1"/>
  <c r="C92" i="81"/>
  <c r="C94" i="81"/>
  <c r="K120" i="81"/>
  <c r="D121" i="81"/>
  <c r="H112" i="81"/>
  <c r="H110" i="81"/>
  <c r="H111" i="81"/>
  <c r="D126" i="81" s="1"/>
  <c r="D127" i="81" s="1"/>
  <c r="C92" i="80"/>
  <c r="C94" i="80"/>
  <c r="K120" i="80"/>
  <c r="D121" i="80"/>
  <c r="H112" i="80"/>
  <c r="H110" i="80"/>
  <c r="H111" i="80"/>
  <c r="D126" i="80" s="1"/>
  <c r="D127" i="80" s="1"/>
  <c r="C19" i="83" l="1"/>
  <c r="C19" i="82"/>
  <c r="Q118" i="77" l="1"/>
  <c r="K118" i="77"/>
  <c r="J118" i="77"/>
  <c r="I118" i="77"/>
  <c r="H118" i="77"/>
  <c r="G118" i="77"/>
  <c r="F118" i="77"/>
  <c r="E118" i="77"/>
  <c r="C117" i="77"/>
  <c r="R116" i="77"/>
  <c r="S116" i="77" s="1"/>
  <c r="C116" i="77"/>
  <c r="R115" i="77"/>
  <c r="S115" i="77" s="1"/>
  <c r="C115" i="77"/>
  <c r="R114" i="77"/>
  <c r="C114" i="77"/>
  <c r="C113" i="77"/>
  <c r="C112" i="77"/>
  <c r="C111" i="77"/>
  <c r="C110" i="77"/>
  <c r="U110" i="77" s="1"/>
  <c r="C109" i="77"/>
  <c r="C118" i="77" s="1"/>
  <c r="S106" i="77"/>
  <c r="B105" i="77"/>
  <c r="S103" i="77"/>
  <c r="V100" i="77"/>
  <c r="M88" i="77" s="1"/>
  <c r="M97" i="77"/>
  <c r="P96" i="77"/>
  <c r="O96" i="77" s="1"/>
  <c r="M96" i="77"/>
  <c r="P95" i="77"/>
  <c r="O95" i="77" s="1"/>
  <c r="M95" i="77"/>
  <c r="P94" i="77"/>
  <c r="O94" i="77" s="1"/>
  <c r="M94" i="77"/>
  <c r="P93" i="77"/>
  <c r="O93" i="77" s="1"/>
  <c r="M93" i="77"/>
  <c r="P92" i="77"/>
  <c r="O92" i="77" s="1"/>
  <c r="M92" i="77"/>
  <c r="P91" i="77"/>
  <c r="O91" i="77" s="1"/>
  <c r="M91" i="77"/>
  <c r="P90" i="77"/>
  <c r="O90" i="77" s="1"/>
  <c r="M90" i="77"/>
  <c r="P89" i="77"/>
  <c r="O89" i="77"/>
  <c r="M89" i="77"/>
  <c r="C88" i="77"/>
  <c r="S87" i="77"/>
  <c r="T103" i="77" s="1"/>
  <c r="R87" i="77"/>
  <c r="P101" i="77" s="1"/>
  <c r="F86" i="77"/>
  <c r="C86" i="77"/>
  <c r="C98" i="77" s="1"/>
  <c r="U85" i="77"/>
  <c r="M85" i="77"/>
  <c r="U84" i="77"/>
  <c r="M84" i="77"/>
  <c r="U83" i="77"/>
  <c r="M83" i="77"/>
  <c r="U82" i="77"/>
  <c r="M82" i="77"/>
  <c r="U81" i="77"/>
  <c r="M81" i="77"/>
  <c r="U80" i="77"/>
  <c r="M80" i="77"/>
  <c r="U79" i="77"/>
  <c r="M79" i="77"/>
  <c r="U78" i="77"/>
  <c r="M78" i="77"/>
  <c r="U77" i="77"/>
  <c r="M77" i="77"/>
  <c r="U76" i="77"/>
  <c r="M76" i="77"/>
  <c r="U75" i="77"/>
  <c r="M75" i="77"/>
  <c r="U74" i="77"/>
  <c r="M74" i="77"/>
  <c r="U73" i="77"/>
  <c r="M73" i="77"/>
  <c r="U72" i="77"/>
  <c r="M72" i="77"/>
  <c r="U71" i="77"/>
  <c r="M71" i="77"/>
  <c r="U70" i="77"/>
  <c r="M70" i="77"/>
  <c r="U69" i="77"/>
  <c r="M69" i="77"/>
  <c r="U68" i="77"/>
  <c r="M68" i="77"/>
  <c r="U67" i="77"/>
  <c r="M67" i="77"/>
  <c r="U66" i="77"/>
  <c r="M66" i="77"/>
  <c r="U65" i="77"/>
  <c r="M65" i="77"/>
  <c r="U64" i="77"/>
  <c r="M64" i="77"/>
  <c r="U63" i="77"/>
  <c r="M63" i="77"/>
  <c r="U62" i="77"/>
  <c r="M62" i="77"/>
  <c r="U61" i="77"/>
  <c r="M61" i="77"/>
  <c r="U60" i="77"/>
  <c r="M60" i="77"/>
  <c r="U59" i="77"/>
  <c r="M59" i="77"/>
  <c r="U58" i="77"/>
  <c r="M58" i="77"/>
  <c r="U57" i="77"/>
  <c r="M57" i="77"/>
  <c r="U56" i="77"/>
  <c r="M56" i="77"/>
  <c r="U55" i="77"/>
  <c r="M55" i="77"/>
  <c r="U54" i="77"/>
  <c r="M54" i="77"/>
  <c r="U53" i="77"/>
  <c r="M53" i="77"/>
  <c r="U52" i="77"/>
  <c r="M52" i="77"/>
  <c r="U51" i="77"/>
  <c r="M51" i="77"/>
  <c r="U50" i="77"/>
  <c r="M50" i="77"/>
  <c r="U49" i="77"/>
  <c r="M49" i="77"/>
  <c r="U48" i="77"/>
  <c r="M48" i="77"/>
  <c r="U47" i="77"/>
  <c r="M47" i="77"/>
  <c r="U46" i="77"/>
  <c r="M46" i="77"/>
  <c r="U45" i="77"/>
  <c r="M45" i="77"/>
  <c r="U44" i="77"/>
  <c r="M44" i="77"/>
  <c r="U43" i="77"/>
  <c r="M43" i="77"/>
  <c r="U42" i="77"/>
  <c r="M42" i="77"/>
  <c r="U41" i="77"/>
  <c r="M41" i="77"/>
  <c r="U40" i="77"/>
  <c r="M40" i="77"/>
  <c r="U39" i="77"/>
  <c r="M39" i="77"/>
  <c r="U38" i="77"/>
  <c r="M38" i="77"/>
  <c r="U37" i="77"/>
  <c r="M37" i="77"/>
  <c r="U36" i="77"/>
  <c r="M36" i="77"/>
  <c r="U35" i="77"/>
  <c r="M35" i="77"/>
  <c r="U34" i="77"/>
  <c r="M34" i="77"/>
  <c r="U33" i="77"/>
  <c r="M33" i="77"/>
  <c r="U32" i="77"/>
  <c r="M32" i="77"/>
  <c r="U31" i="77"/>
  <c r="M31" i="77"/>
  <c r="U30" i="77"/>
  <c r="M30" i="77"/>
  <c r="U29" i="77"/>
  <c r="M29" i="77"/>
  <c r="U28" i="77"/>
  <c r="M28" i="77"/>
  <c r="U27" i="77"/>
  <c r="M27" i="77"/>
  <c r="U26" i="77"/>
  <c r="M26" i="77"/>
  <c r="U25" i="77"/>
  <c r="M25" i="77"/>
  <c r="U24" i="77"/>
  <c r="M24" i="77"/>
  <c r="U23" i="77"/>
  <c r="M23" i="77"/>
  <c r="U22" i="77"/>
  <c r="M22" i="77"/>
  <c r="U21" i="77"/>
  <c r="M21" i="77"/>
  <c r="U20" i="77"/>
  <c r="M20" i="77"/>
  <c r="U19" i="77"/>
  <c r="M19" i="77"/>
  <c r="U18" i="77"/>
  <c r="M18" i="77"/>
  <c r="U17" i="77"/>
  <c r="M17" i="77"/>
  <c r="U16" i="77"/>
  <c r="M16" i="77"/>
  <c r="U15" i="77"/>
  <c r="M15" i="77"/>
  <c r="U14" i="77"/>
  <c r="M14" i="77"/>
  <c r="U13" i="77"/>
  <c r="M13" i="77"/>
  <c r="U12" i="77"/>
  <c r="M12" i="77"/>
  <c r="U11" i="77"/>
  <c r="M11" i="77"/>
  <c r="U10" i="77"/>
  <c r="M10" i="77"/>
  <c r="U9" i="77"/>
  <c r="M9" i="77"/>
  <c r="U8" i="77"/>
  <c r="M8" i="77"/>
  <c r="U7" i="77"/>
  <c r="M7" i="77"/>
  <c r="U6" i="77"/>
  <c r="M6" i="77"/>
  <c r="U5" i="77"/>
  <c r="M5" i="77"/>
  <c r="U4" i="77"/>
  <c r="M4" i="77"/>
  <c r="U3" i="77"/>
  <c r="U87" i="77" s="1"/>
  <c r="M3" i="77"/>
  <c r="S114" i="77" l="1"/>
  <c r="S118" i="77" s="1"/>
  <c r="T118" i="77" s="1"/>
  <c r="R118" i="77"/>
  <c r="M98" i="77"/>
  <c r="O98" i="77" s="1"/>
  <c r="U106" i="77"/>
  <c r="U103" i="77"/>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O20" i="71"/>
  <c r="N20" i="71"/>
  <c r="A2" i="53"/>
  <c r="B19" i="72" s="1"/>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H2" i="52"/>
  <c r="A1" i="52"/>
  <c r="A3" i="53"/>
  <c r="Q21" i="71"/>
  <c r="P21" i="71"/>
  <c r="O21" i="71"/>
  <c r="N21" i="71"/>
  <c r="A15" i="51"/>
  <c r="B12" i="72" s="1"/>
  <c r="C76" i="9"/>
  <c r="I107" i="40"/>
  <c r="K6" i="4"/>
  <c r="B22" i="31"/>
  <c r="N56" i="9"/>
  <c r="K56" i="9"/>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c r="B44" i="72"/>
  <c r="B42" i="72"/>
  <c r="B69" i="72"/>
  <c r="B68" i="72"/>
  <c r="B63" i="72"/>
  <c r="B62" i="72"/>
  <c r="B65" i="72"/>
  <c r="B67" i="72"/>
  <c r="B10" i="72"/>
  <c r="C53" i="10"/>
  <c r="B51" i="10"/>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s="1"/>
  <c r="D76" i="71"/>
  <c r="Q75" i="71"/>
  <c r="P75" i="71"/>
  <c r="O75" i="71"/>
  <c r="N75" i="71"/>
  <c r="F75" i="71"/>
  <c r="E75" i="71"/>
  <c r="U75" i="71" s="1"/>
  <c r="C75" i="71"/>
  <c r="T75" i="71" s="1"/>
  <c r="B75" i="71"/>
  <c r="S75" i="71" s="1"/>
  <c r="Q74" i="71"/>
  <c r="P74" i="71"/>
  <c r="O74" i="71"/>
  <c r="N74" i="71"/>
  <c r="Q73" i="71"/>
  <c r="P73" i="71"/>
  <c r="O73" i="71"/>
  <c r="N73" i="71"/>
  <c r="Q72" i="71"/>
  <c r="P72" i="71"/>
  <c r="O72" i="71"/>
  <c r="N72" i="71"/>
  <c r="D72" i="71"/>
  <c r="Q71" i="71"/>
  <c r="P71" i="71"/>
  <c r="O71" i="71"/>
  <c r="N71" i="71"/>
  <c r="F71" i="71"/>
  <c r="V71" i="71" s="1"/>
  <c r="E71" i="7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F63" i="71"/>
  <c r="Q63" i="71" s="1"/>
  <c r="E63" i="71"/>
  <c r="C63" i="71"/>
  <c r="T63" i="71" s="1"/>
  <c r="B63"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c r="E46" i="71" s="1"/>
  <c r="E47" i="71" s="1"/>
  <c r="U47" i="71" s="1"/>
  <c r="O44" i="71"/>
  <c r="C45" i="71" s="1"/>
  <c r="D45" i="71" s="1"/>
  <c r="N44" i="71"/>
  <c r="B45"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D41" i="71" s="1"/>
  <c r="N40" i="71"/>
  <c r="B41"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D37" i="71" s="1"/>
  <c r="N36" i="71"/>
  <c r="B37" i="71" s="1"/>
  <c r="D36" i="71"/>
  <c r="Q35" i="71"/>
  <c r="P35" i="71"/>
  <c r="O35" i="71"/>
  <c r="N35" i="71"/>
  <c r="Q34" i="71"/>
  <c r="AB34" i="71" s="1"/>
  <c r="P34" i="71"/>
  <c r="O34" i="71"/>
  <c r="N34" i="71"/>
  <c r="X34" i="71" s="1"/>
  <c r="Q33" i="71"/>
  <c r="AB33" i="71" s="1"/>
  <c r="P33" i="71"/>
  <c r="AA33" i="71" s="1"/>
  <c r="O33" i="71"/>
  <c r="Y33" i="71" s="1"/>
  <c r="Z33" i="71" s="1"/>
  <c r="N33" i="71"/>
  <c r="Q32" i="71"/>
  <c r="F33" i="71" s="1"/>
  <c r="P32" i="71"/>
  <c r="E33" i="71" s="1"/>
  <c r="E34" i="71" s="1"/>
  <c r="E35" i="71" s="1"/>
  <c r="U35" i="71" s="1"/>
  <c r="O32" i="71"/>
  <c r="C33" i="71" s="1"/>
  <c r="N32" i="71"/>
  <c r="B33" i="71" s="1"/>
  <c r="B34" i="71" s="1"/>
  <c r="B35" i="71" s="1"/>
  <c r="S35" i="71" s="1"/>
  <c r="D32" i="71"/>
  <c r="Q31" i="71"/>
  <c r="AB31" i="71" s="1"/>
  <c r="P31" i="71"/>
  <c r="AA31" i="71" s="1"/>
  <c r="O31" i="71"/>
  <c r="N31" i="71"/>
  <c r="Q30" i="71"/>
  <c r="P30" i="71"/>
  <c r="AA30" i="71" s="1"/>
  <c r="O30" i="71"/>
  <c r="N30" i="71"/>
  <c r="Q29" i="71"/>
  <c r="P29" i="71"/>
  <c r="AA29" i="71" s="1"/>
  <c r="O29" i="71"/>
  <c r="N29" i="71"/>
  <c r="X29" i="71" s="1"/>
  <c r="Q28" i="71"/>
  <c r="F29" i="71" s="1"/>
  <c r="P28" i="71"/>
  <c r="O28" i="71"/>
  <c r="N28" i="71"/>
  <c r="X28" i="71" s="1"/>
  <c r="D28" i="71"/>
  <c r="Q27" i="71"/>
  <c r="P27" i="71"/>
  <c r="O27" i="71"/>
  <c r="N27" i="71"/>
  <c r="Q26" i="71"/>
  <c r="AB26" i="71" s="1"/>
  <c r="P26" i="71"/>
  <c r="O26" i="71"/>
  <c r="Y26" i="71" s="1"/>
  <c r="Z26" i="71" s="1"/>
  <c r="N26" i="71"/>
  <c r="Q25" i="71"/>
  <c r="AB25" i="71" s="1"/>
  <c r="P25" i="71"/>
  <c r="O25" i="71"/>
  <c r="N25" i="71"/>
  <c r="Q24" i="71"/>
  <c r="F25" i="71" s="1"/>
  <c r="P24" i="71"/>
  <c r="E25" i="71" s="1"/>
  <c r="E26" i="71" s="1"/>
  <c r="E27" i="71" s="1"/>
  <c r="U27" i="71" s="1"/>
  <c r="O24" i="71"/>
  <c r="C25" i="71" s="1"/>
  <c r="N24" i="71"/>
  <c r="D24" i="71"/>
  <c r="O23" i="71"/>
  <c r="N23" i="71"/>
  <c r="X20" i="71" s="1"/>
  <c r="B25" i="71"/>
  <c r="B26" i="71" s="1"/>
  <c r="B27" i="71" s="1"/>
  <c r="S27" i="71" s="1"/>
  <c r="B29" i="71"/>
  <c r="B30" i="71" s="1"/>
  <c r="B31" i="71" s="1"/>
  <c r="S31" i="71" s="1"/>
  <c r="X32" i="71"/>
  <c r="AA32" i="71"/>
  <c r="X26" i="71"/>
  <c r="C29" i="71"/>
  <c r="C30" i="71" s="1"/>
  <c r="C31" i="71" s="1"/>
  <c r="Y28" i="71"/>
  <c r="Z28" i="71" s="1"/>
  <c r="X30" i="71"/>
  <c r="X31" i="71"/>
  <c r="Y32" i="71"/>
  <c r="Z32" i="71" s="1"/>
  <c r="X33" i="71"/>
  <c r="C23" i="71"/>
  <c r="C22" i="71" s="1"/>
  <c r="C21" i="71" s="1"/>
  <c r="D21" i="71" s="1"/>
  <c r="B23" i="71"/>
  <c r="B22" i="71" s="1"/>
  <c r="C42" i="71"/>
  <c r="D42" i="71" s="1"/>
  <c r="C46" i="71"/>
  <c r="C47" i="71" s="1"/>
  <c r="D47" i="71" s="1"/>
  <c r="P23" i="71"/>
  <c r="Q23" i="71"/>
  <c r="C54" i="71"/>
  <c r="C55" i="71" s="1"/>
  <c r="D55" i="71" s="1"/>
  <c r="D53" i="71"/>
  <c r="O63" i="71"/>
  <c r="C62" i="71"/>
  <c r="C61" i="71" s="1"/>
  <c r="E66" i="71"/>
  <c r="E65" i="71" s="1"/>
  <c r="D71" i="71"/>
  <c r="C74" i="71"/>
  <c r="D75" i="71"/>
  <c r="C82" i="71"/>
  <c r="C81" i="71" s="1"/>
  <c r="D81" i="71" s="1"/>
  <c r="F23" i="71"/>
  <c r="F22" i="71" s="1"/>
  <c r="F21" i="71" s="1"/>
  <c r="AA22" i="71"/>
  <c r="O62" i="71"/>
  <c r="D74" i="71"/>
  <c r="C73" i="71"/>
  <c r="D73" i="71" s="1"/>
  <c r="D54" i="71"/>
  <c r="D30"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c r="C22" i="20"/>
  <c r="B75" i="43"/>
  <c r="B55" i="43"/>
  <c r="B66" i="43"/>
  <c r="C25" i="40"/>
  <c r="C29" i="39"/>
  <c r="S29" i="39"/>
  <c r="S18" i="36"/>
  <c r="U18" i="36"/>
  <c r="H25" i="40"/>
  <c r="AB25" i="40" s="1"/>
  <c r="J25" i="40"/>
  <c r="H29" i="39"/>
  <c r="U29" i="39" s="1"/>
  <c r="J29" i="39"/>
  <c r="AC29" i="39" s="1"/>
  <c r="J18" i="36"/>
  <c r="AC18" i="36" s="1"/>
  <c r="H18" i="35"/>
  <c r="AB18" i="35" s="1"/>
  <c r="J18" i="35"/>
  <c r="W18" i="35" s="1"/>
  <c r="H21" i="37"/>
  <c r="U21" i="37" s="1"/>
  <c r="F21" i="37"/>
  <c r="AA21" i="37" s="1"/>
  <c r="H21" i="34"/>
  <c r="AB21" i="34" s="1"/>
  <c r="H21" i="33"/>
  <c r="U21" i="33" s="1"/>
  <c r="F21" i="33"/>
  <c r="E83" i="21"/>
  <c r="F83" i="21" s="1"/>
  <c r="G83" i="21" s="1"/>
  <c r="S21" i="21"/>
  <c r="H1" i="69"/>
  <c r="AC25" i="40"/>
  <c r="W25" i="40"/>
  <c r="U25" i="40"/>
  <c r="W29" i="39"/>
  <c r="AB21" i="37"/>
  <c r="S21" i="37"/>
  <c r="AA21" i="33"/>
  <c r="S21" i="33"/>
  <c r="U18" i="35"/>
  <c r="AC18" i="35"/>
  <c r="J21" i="37"/>
  <c r="AC21" i="37" s="1"/>
  <c r="J21" i="34"/>
  <c r="AC21" i="34" s="1"/>
  <c r="J21" i="33"/>
  <c r="AC21" i="33" s="1"/>
  <c r="H21" i="21"/>
  <c r="AB21" i="21" s="1"/>
  <c r="F38" i="69"/>
  <c r="E37" i="69"/>
  <c r="F36" i="69"/>
  <c r="F35" i="69"/>
  <c r="F21" i="69"/>
  <c r="F40" i="69" s="1"/>
  <c r="F20" i="69"/>
  <c r="F39" i="69" s="1"/>
  <c r="E10" i="69"/>
  <c r="E9" i="69"/>
  <c r="C7" i="69"/>
  <c r="W21" i="37"/>
  <c r="W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C27" i="66"/>
  <c r="C31"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AZ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F8"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D3" i="36" s="1"/>
  <c r="E21" i="6"/>
  <c r="K8" i="1" s="1"/>
  <c r="AH17"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L551" i="3" s="1"/>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c r="J31" i="35"/>
  <c r="W31" i="35" s="1"/>
  <c r="H31" i="35"/>
  <c r="AB31" i="35" s="1"/>
  <c r="F31" i="35"/>
  <c r="AA31" i="35" s="1"/>
  <c r="D87" i="35"/>
  <c r="E87" i="35" s="1"/>
  <c r="F87" i="35" s="1"/>
  <c r="G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D120" i="39"/>
  <c r="E120" i="39" s="1"/>
  <c r="F120" i="39" s="1"/>
  <c r="G120" i="39" s="1"/>
  <c r="H120" i="39" s="1"/>
  <c r="I120" i="39" s="1"/>
  <c r="J120" i="39" s="1"/>
  <c r="K120" i="39" s="1"/>
  <c r="L120" i="39" s="1"/>
  <c r="M120" i="39" s="1"/>
  <c r="B114" i="39"/>
  <c r="J37" i="39"/>
  <c r="AC37" i="39" s="1"/>
  <c r="D109"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D79" i="37"/>
  <c r="E79" i="37" s="1"/>
  <c r="D75" i="37"/>
  <c r="E75" i="37" s="1"/>
  <c r="D73" i="37"/>
  <c r="E73" i="37" s="1"/>
  <c r="F73" i="37" s="1"/>
  <c r="D71" i="37"/>
  <c r="E71" i="37" s="1"/>
  <c r="F71" i="37" s="1"/>
  <c r="G71" i="37" s="1"/>
  <c r="H15" i="37"/>
  <c r="AB15" i="37" s="1"/>
  <c r="B68" i="37"/>
  <c r="H14" i="37" s="1"/>
  <c r="B66" i="37"/>
  <c r="B64" i="37"/>
  <c r="J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B55" i="36"/>
  <c r="F54" i="36"/>
  <c r="G54" i="36" s="1"/>
  <c r="H54" i="36" s="1"/>
  <c r="I54" i="36" s="1"/>
  <c r="C51" i="36"/>
  <c r="P37" i="36"/>
  <c r="P36"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B73" i="35"/>
  <c r="B57" i="35"/>
  <c r="B61" i="35"/>
  <c r="J13" i="35" s="1"/>
  <c r="B59" i="35"/>
  <c r="B131" i="34"/>
  <c r="F47" i="34" s="1"/>
  <c r="S47" i="34" s="1"/>
  <c r="B129" i="34"/>
  <c r="B127" i="34"/>
  <c r="B99" i="34"/>
  <c r="B97" i="34"/>
  <c r="H31" i="34" s="1"/>
  <c r="AB31" i="34" s="1"/>
  <c r="B95" i="34"/>
  <c r="B93" i="34"/>
  <c r="B75" i="34"/>
  <c r="B73" i="34"/>
  <c r="B71" i="34"/>
  <c r="B130" i="33"/>
  <c r="B128" i="33"/>
  <c r="B126" i="33"/>
  <c r="B98" i="33"/>
  <c r="B96" i="33"/>
  <c r="F30" i="33" s="1"/>
  <c r="B94" i="33"/>
  <c r="B74" i="33"/>
  <c r="H14" i="33" s="1"/>
  <c r="U14" i="33" s="1"/>
  <c r="B72" i="33"/>
  <c r="B70" i="33"/>
  <c r="J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F34" i="35"/>
  <c r="Q33" i="35"/>
  <c r="Z33" i="35" s="1"/>
  <c r="Q32" i="35"/>
  <c r="Z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1" i="21"/>
  <c r="F81" i="21" s="1"/>
  <c r="G81" i="21" s="1"/>
  <c r="D77" i="21"/>
  <c r="E77" i="21" s="1"/>
  <c r="B130" i="21"/>
  <c r="H46" i="21" s="1"/>
  <c r="B128" i="21"/>
  <c r="J45" i="21" s="1"/>
  <c r="W45" i="21" s="1"/>
  <c r="B126" i="21"/>
  <c r="B98" i="21"/>
  <c r="H31" i="21"/>
  <c r="B96" i="21"/>
  <c r="B94" i="21"/>
  <c r="B92" i="21"/>
  <c r="B90" i="21"/>
  <c r="F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E5" i="3" s="1"/>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S41" i="21"/>
  <c r="J44" i="39"/>
  <c r="F36" i="39"/>
  <c r="S36" i="39" s="1"/>
  <c r="H36" i="39"/>
  <c r="AB36" i="39" s="1"/>
  <c r="J36" i="39"/>
  <c r="AC36" i="39" s="1"/>
  <c r="W40" i="39"/>
  <c r="U30" i="37"/>
  <c r="W31" i="37"/>
  <c r="F39" i="37"/>
  <c r="S39" i="37" s="1"/>
  <c r="F29" i="36"/>
  <c r="AA29" i="36"/>
  <c r="F16" i="36"/>
  <c r="AA16" i="36" s="1"/>
  <c r="AA31" i="36"/>
  <c r="AC31" i="36"/>
  <c r="W31" i="36"/>
  <c r="J33" i="36"/>
  <c r="H22" i="35"/>
  <c r="AB22" i="35" s="1"/>
  <c r="W34" i="35"/>
  <c r="W36" i="35"/>
  <c r="F36" i="34"/>
  <c r="J35" i="34"/>
  <c r="W9" i="34"/>
  <c r="S34" i="34"/>
  <c r="H39" i="33"/>
  <c r="AB39" i="33" s="1"/>
  <c r="S40" i="33"/>
  <c r="H39" i="37"/>
  <c r="S27" i="35"/>
  <c r="F11" i="40"/>
  <c r="AA11" i="40" s="1"/>
  <c r="H11" i="40"/>
  <c r="AB11" i="40" s="1"/>
  <c r="AC40" i="40"/>
  <c r="AC9" i="40"/>
  <c r="F42" i="39"/>
  <c r="AA42" i="39"/>
  <c r="H40" i="39"/>
  <c r="AB40" i="39"/>
  <c r="H39" i="39"/>
  <c r="U39" i="39" s="1"/>
  <c r="E109" i="39"/>
  <c r="F109" i="39" s="1"/>
  <c r="F31" i="39"/>
  <c r="AA31" i="39" s="1"/>
  <c r="H19" i="39"/>
  <c r="AB19" i="39" s="1"/>
  <c r="F19" i="39"/>
  <c r="AA19" i="39" s="1"/>
  <c r="H17" i="39"/>
  <c r="AB17" i="39" s="1"/>
  <c r="F17" i="39"/>
  <c r="AA17" i="39" s="1"/>
  <c r="J23" i="40"/>
  <c r="AC23" i="40" s="1"/>
  <c r="F21" i="40"/>
  <c r="J21" i="40"/>
  <c r="W21" i="40" s="1"/>
  <c r="H42" i="39"/>
  <c r="AB42" i="39" s="1"/>
  <c r="J19" i="39"/>
  <c r="AC19" i="39" s="1"/>
  <c r="J17" i="39"/>
  <c r="S40" i="21"/>
  <c r="U34" i="21"/>
  <c r="C25" i="39"/>
  <c r="C21" i="39"/>
  <c r="C15" i="39"/>
  <c r="H32" i="33"/>
  <c r="AB32" i="33" s="1"/>
  <c r="H37" i="40"/>
  <c r="U37" i="40" s="1"/>
  <c r="H36" i="40"/>
  <c r="AB36" i="40" s="1"/>
  <c r="F35" i="40"/>
  <c r="AA35" i="40" s="1"/>
  <c r="H23" i="40"/>
  <c r="AB23" i="40" s="1"/>
  <c r="H17" i="40"/>
  <c r="U17" i="40" s="1"/>
  <c r="J15" i="40"/>
  <c r="W15" i="40" s="1"/>
  <c r="J11" i="40"/>
  <c r="W11" i="40" s="1"/>
  <c r="AA12" i="34"/>
  <c r="F37" i="39"/>
  <c r="AA37" i="39" s="1"/>
  <c r="J34" i="36"/>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34" i="36"/>
  <c r="S34" i="36" s="1"/>
  <c r="S10" i="36"/>
  <c r="U8" i="35"/>
  <c r="J16" i="35"/>
  <c r="AC16" i="35" s="1"/>
  <c r="H16" i="35"/>
  <c r="U16" i="35" s="1"/>
  <c r="F16" i="35"/>
  <c r="S16" i="35" s="1"/>
  <c r="H33" i="35"/>
  <c r="AB33" i="35" s="1"/>
  <c r="F35" i="37"/>
  <c r="S35" i="37" s="1"/>
  <c r="E101" i="37"/>
  <c r="F101" i="37" s="1"/>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c r="F37" i="34"/>
  <c r="AA37" i="34"/>
  <c r="F27" i="34"/>
  <c r="AA27" i="34" s="1"/>
  <c r="F25" i="34"/>
  <c r="S25" i="34" s="1"/>
  <c r="H23" i="34"/>
  <c r="U23" i="34" s="1"/>
  <c r="J23" i="34"/>
  <c r="W23" i="34" s="1"/>
  <c r="F19" i="34"/>
  <c r="H17" i="34"/>
  <c r="F15" i="34"/>
  <c r="AA15" i="34" s="1"/>
  <c r="J15" i="34"/>
  <c r="W15" i="34" s="1"/>
  <c r="H15" i="34"/>
  <c r="AB15" i="34" s="1"/>
  <c r="S9" i="34"/>
  <c r="F41" i="33"/>
  <c r="AA41" i="33" s="1"/>
  <c r="S38" i="33"/>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B30" i="36"/>
  <c r="H33" i="37"/>
  <c r="AB33" i="37" s="1"/>
  <c r="F33" i="37"/>
  <c r="AA33" i="37" s="1"/>
  <c r="U34" i="37"/>
  <c r="S34" i="37"/>
  <c r="AA34" i="37"/>
  <c r="J43" i="34"/>
  <c r="W43" i="34" s="1"/>
  <c r="AB42" i="34"/>
  <c r="J40" i="34"/>
  <c r="W40" i="34" s="1"/>
  <c r="H38" i="34"/>
  <c r="AB38" i="34"/>
  <c r="J36" i="34"/>
  <c r="W36" i="34"/>
  <c r="H37" i="34"/>
  <c r="U37" i="34"/>
  <c r="H25" i="34"/>
  <c r="AB25" i="34"/>
  <c r="J25" i="34"/>
  <c r="AC25"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AC38" i="34"/>
  <c r="J37" i="34"/>
  <c r="J11" i="33"/>
  <c r="W11" i="33" s="1"/>
  <c r="J44" i="34"/>
  <c r="AC44" i="34" s="1"/>
  <c r="F44" i="34"/>
  <c r="J10" i="35"/>
  <c r="W10" i="35" s="1"/>
  <c r="J14" i="21"/>
  <c r="W14" i="21" s="1"/>
  <c r="F14" i="21"/>
  <c r="S14" i="21" s="1"/>
  <c r="H14" i="21"/>
  <c r="U14" i="21" s="1"/>
  <c r="H28" i="21"/>
  <c r="AB28" i="21" s="1"/>
  <c r="F28" i="21"/>
  <c r="AA28" i="21" s="1"/>
  <c r="J28" i="21"/>
  <c r="W28" i="21" s="1"/>
  <c r="H30" i="21"/>
  <c r="F30" i="21"/>
  <c r="S30" i="21" s="1"/>
  <c r="J30" i="21"/>
  <c r="AC30" i="21" s="1"/>
  <c r="H44" i="21"/>
  <c r="U44" i="21" s="1"/>
  <c r="J46" i="21"/>
  <c r="W46" i="21" s="1"/>
  <c r="G119" i="21"/>
  <c r="H119" i="21" s="1"/>
  <c r="I119" i="21" s="1"/>
  <c r="J119" i="21" s="1"/>
  <c r="K119" i="21" s="1"/>
  <c r="L119" i="21" s="1"/>
  <c r="M119" i="21" s="1"/>
  <c r="F33" i="35"/>
  <c r="S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H36" i="37"/>
  <c r="AB36" i="37" s="1"/>
  <c r="J37" i="37"/>
  <c r="AC37" i="37" s="1"/>
  <c r="H37" i="37"/>
  <c r="U37" i="37" s="1"/>
  <c r="F14" i="33"/>
  <c r="F29" i="34"/>
  <c r="S29" i="34" s="1"/>
  <c r="H47" i="34"/>
  <c r="U47" i="34" s="1"/>
  <c r="J25" i="35"/>
  <c r="W25" i="35" s="1"/>
  <c r="H25" i="35"/>
  <c r="AB25" i="35" s="1"/>
  <c r="F35" i="35"/>
  <c r="AA35" i="35" s="1"/>
  <c r="J25" i="36"/>
  <c r="W25" i="36" s="1"/>
  <c r="F25" i="36"/>
  <c r="S25" i="36" s="1"/>
  <c r="H25" i="36"/>
  <c r="AB25" i="36" s="1"/>
  <c r="F13" i="37"/>
  <c r="S13" i="37" s="1"/>
  <c r="F28" i="37"/>
  <c r="AA28" i="37" s="1"/>
  <c r="H28" i="37"/>
  <c r="J38" i="37"/>
  <c r="AC38" i="37" s="1"/>
  <c r="J14" i="39"/>
  <c r="AC14" i="39" s="1"/>
  <c r="F12" i="40"/>
  <c r="S12" i="40" s="1"/>
  <c r="H30" i="40"/>
  <c r="AB30" i="40" s="1"/>
  <c r="F33" i="40"/>
  <c r="AA33" i="40" s="1"/>
  <c r="J35" i="40"/>
  <c r="AC35" i="40" s="1"/>
  <c r="J37" i="40"/>
  <c r="AC37" i="40" s="1"/>
  <c r="H13" i="40"/>
  <c r="U13" i="40" s="1"/>
  <c r="J13" i="40"/>
  <c r="F13" i="40"/>
  <c r="AA13" i="40" s="1"/>
  <c r="J13" i="39"/>
  <c r="W13" i="39" s="1"/>
  <c r="J14" i="37"/>
  <c r="AC14" i="37" s="1"/>
  <c r="J27" i="37"/>
  <c r="AC27" i="37" s="1"/>
  <c r="J36" i="37"/>
  <c r="AC36" i="37" s="1"/>
  <c r="AB11" i="36"/>
  <c r="AB11" i="35"/>
  <c r="J10" i="36"/>
  <c r="AC10" i="36" s="1"/>
  <c r="AC13" i="36"/>
  <c r="W13" i="36"/>
  <c r="S11" i="36"/>
  <c r="W11" i="36"/>
  <c r="W11" i="35"/>
  <c r="AB46" i="34"/>
  <c r="AC30" i="34"/>
  <c r="AA14" i="34"/>
  <c r="S45" i="33"/>
  <c r="AB45" i="33"/>
  <c r="AB31" i="33"/>
  <c r="U31" i="33"/>
  <c r="W29" i="33"/>
  <c r="U13" i="33"/>
  <c r="BA586" i="3"/>
  <c r="F17" i="21"/>
  <c r="AA17" i="21" s="1"/>
  <c r="W36" i="39"/>
  <c r="G544" i="3"/>
  <c r="G536" i="3"/>
  <c r="G532" i="3"/>
  <c r="G528" i="3"/>
  <c r="G514" i="3"/>
  <c r="G500" i="3"/>
  <c r="G576" i="3"/>
  <c r="G560" i="3"/>
  <c r="BL580" i="3"/>
  <c r="BL564" i="3"/>
  <c r="BL542" i="3"/>
  <c r="BL534" i="3"/>
  <c r="BL526" i="3"/>
  <c r="BL506" i="3"/>
  <c r="BL574" i="3"/>
  <c r="BL544" i="3"/>
  <c r="BL536" i="3"/>
  <c r="BL532" i="3"/>
  <c r="BL528" i="3"/>
  <c r="BL524" i="3"/>
  <c r="BL504" i="3"/>
  <c r="BA584" i="3"/>
  <c r="BA576" i="3"/>
  <c r="BA568" i="3"/>
  <c r="BA546" i="3"/>
  <c r="BA528" i="3"/>
  <c r="AZ528" i="3" s="1"/>
  <c r="BA524" i="3"/>
  <c r="AZ524" i="3" s="1"/>
  <c r="BA516" i="3"/>
  <c r="BA510" i="3"/>
  <c r="BA504" i="3"/>
  <c r="AZ504" i="3" s="1"/>
  <c r="BA498" i="3"/>
  <c r="BA579" i="3"/>
  <c r="BA571" i="3"/>
  <c r="BA563" i="3"/>
  <c r="BA547" i="3"/>
  <c r="BA543" i="3"/>
  <c r="BA539" i="3"/>
  <c r="BA535" i="3"/>
  <c r="BA531" i="3"/>
  <c r="BA527" i="3"/>
  <c r="BA517" i="3"/>
  <c r="BA507" i="3"/>
  <c r="BA499" i="3"/>
  <c r="G577" i="3"/>
  <c r="G569" i="3"/>
  <c r="AC557" i="3"/>
  <c r="BQ557" i="3"/>
  <c r="BQ583" i="3"/>
  <c r="BQ581" i="3"/>
  <c r="BL581" i="3"/>
  <c r="BQ579" i="3"/>
  <c r="BL579" i="3"/>
  <c r="BQ577" i="3"/>
  <c r="BQ575" i="3"/>
  <c r="BQ573" i="3"/>
  <c r="BQ571" i="3"/>
  <c r="BL571" i="3"/>
  <c r="BQ569" i="3"/>
  <c r="BQ567" i="3"/>
  <c r="BQ565" i="3"/>
  <c r="BQ563" i="3"/>
  <c r="BQ561" i="3"/>
  <c r="BQ559" i="3"/>
  <c r="G553" i="3"/>
  <c r="G543" i="3"/>
  <c r="G539" i="3"/>
  <c r="BQ555" i="3"/>
  <c r="BQ553" i="3"/>
  <c r="BQ551" i="3"/>
  <c r="BQ549" i="3"/>
  <c r="BQ547" i="3"/>
  <c r="BQ545" i="3"/>
  <c r="BL545" i="3" s="1"/>
  <c r="BQ543" i="3"/>
  <c r="BQ541" i="3"/>
  <c r="BQ539" i="3"/>
  <c r="BL539" i="3" s="1"/>
  <c r="AZ539" i="3" s="1"/>
  <c r="BQ537" i="3"/>
  <c r="BL537" i="3"/>
  <c r="BQ535" i="3"/>
  <c r="BQ533" i="3"/>
  <c r="BQ531" i="3"/>
  <c r="BL531" i="3" s="1"/>
  <c r="BQ529" i="3"/>
  <c r="BL529" i="3" s="1"/>
  <c r="BQ527" i="3"/>
  <c r="BQ525" i="3"/>
  <c r="BQ523" i="3"/>
  <c r="BL523" i="3" s="1"/>
  <c r="AC521" i="3"/>
  <c r="G521" i="3" s="1"/>
  <c r="BQ521" i="3"/>
  <c r="G519" i="3"/>
  <c r="G511" i="3"/>
  <c r="BQ519" i="3"/>
  <c r="BQ517" i="3"/>
  <c r="BQ515" i="3"/>
  <c r="BQ513" i="3"/>
  <c r="BQ511" i="3"/>
  <c r="AC509" i="3"/>
  <c r="BQ509" i="3"/>
  <c r="BL508" i="3"/>
  <c r="G503" i="3"/>
  <c r="G495" i="3"/>
  <c r="BQ507" i="3"/>
  <c r="BQ505" i="3"/>
  <c r="BQ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F32" i="40"/>
  <c r="S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U33" i="37"/>
  <c r="AC8" i="37"/>
  <c r="AB37" i="34"/>
  <c r="AC36" i="34"/>
  <c r="AA13" i="33"/>
  <c r="AC31" i="33"/>
  <c r="AC45" i="33"/>
  <c r="U11" i="33"/>
  <c r="U26" i="21"/>
  <c r="AB38" i="21"/>
  <c r="F43" i="33"/>
  <c r="AA43" i="33"/>
  <c r="H19" i="34"/>
  <c r="AB19" i="34" s="1"/>
  <c r="F36" i="35"/>
  <c r="S36" i="35" s="1"/>
  <c r="F15" i="37"/>
  <c r="AA15" i="37" s="1"/>
  <c r="F31" i="37"/>
  <c r="S31" i="37" s="1"/>
  <c r="F12" i="39"/>
  <c r="S12" i="39" s="1"/>
  <c r="J42" i="39"/>
  <c r="AC42" i="39"/>
  <c r="H21" i="40"/>
  <c r="AB21" i="40"/>
  <c r="F94" i="37"/>
  <c r="G94" i="37" s="1"/>
  <c r="H94" i="37" s="1"/>
  <c r="I94" i="37" s="1"/>
  <c r="J94" i="37" s="1"/>
  <c r="K94" i="37" s="1"/>
  <c r="L94" i="37" s="1"/>
  <c r="M94" i="37" s="1"/>
  <c r="H31" i="37"/>
  <c r="U31" i="37" s="1"/>
  <c r="J15" i="37"/>
  <c r="W15" i="37" s="1"/>
  <c r="AT6" i="3"/>
  <c r="C12" i="43"/>
  <c r="H19" i="40"/>
  <c r="U19" i="40" s="1"/>
  <c r="F88" i="40"/>
  <c r="G88" i="40" s="1"/>
  <c r="F19" i="40"/>
  <c r="S19" i="40" s="1"/>
  <c r="H37" i="39"/>
  <c r="AB37" i="39" s="1"/>
  <c r="H25" i="39"/>
  <c r="AB25" i="39" s="1"/>
  <c r="J25" i="39"/>
  <c r="W25" i="39" s="1"/>
  <c r="F25" i="39"/>
  <c r="AA25" i="39" s="1"/>
  <c r="U40" i="39"/>
  <c r="S42" i="39"/>
  <c r="W8" i="39"/>
  <c r="J19" i="40"/>
  <c r="AC19" i="40" s="1"/>
  <c r="J50" i="40"/>
  <c r="B54" i="72"/>
  <c r="H103" i="9"/>
  <c r="D8" i="53" s="1"/>
  <c r="B16" i="53"/>
  <c r="B33" i="72" s="1"/>
  <c r="C7" i="37"/>
  <c r="C52" i="37" s="1"/>
  <c r="D52" i="37" s="1"/>
  <c r="W35" i="40"/>
  <c r="G4" i="4"/>
  <c r="I4" i="4"/>
  <c r="K5" i="4" s="1"/>
  <c r="B47" i="48" s="1"/>
  <c r="F59" i="43"/>
  <c r="H62" i="43" s="1"/>
  <c r="AZ32"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c r="BL176" i="3"/>
  <c r="G177" i="3"/>
  <c r="BA179" i="3"/>
  <c r="AZ179" i="3"/>
  <c r="BL180" i="3"/>
  <c r="AZ180" i="3"/>
  <c r="G181" i="3"/>
  <c r="BA183" i="3"/>
  <c r="BL184" i="3"/>
  <c r="G185" i="3"/>
  <c r="BA187" i="3"/>
  <c r="BL188" i="3"/>
  <c r="AZ188" i="3" s="1"/>
  <c r="G189" i="3"/>
  <c r="BA191" i="3"/>
  <c r="BL192" i="3"/>
  <c r="G193" i="3"/>
  <c r="BA195" i="3"/>
  <c r="AZ195" i="3" s="1"/>
  <c r="BL196" i="3"/>
  <c r="G197" i="3"/>
  <c r="BA199" i="3"/>
  <c r="BL200" i="3"/>
  <c r="G201" i="3"/>
  <c r="BA203" i="3"/>
  <c r="BL204" i="3"/>
  <c r="AZ59" i="3"/>
  <c r="AZ63" i="3"/>
  <c r="AZ75" i="3"/>
  <c r="AZ79" i="3"/>
  <c r="AZ152" i="3"/>
  <c r="AZ184" i="3"/>
  <c r="AZ89" i="3"/>
  <c r="AZ105" i="3"/>
  <c r="G534" i="3"/>
  <c r="G512"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6" i="3"/>
  <c r="AZ178" i="3"/>
  <c r="BA16" i="3"/>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BA379" i="3"/>
  <c r="BL380" i="3"/>
  <c r="G381" i="3"/>
  <c r="BA383" i="3"/>
  <c r="AZ383" i="3" s="1"/>
  <c r="BL384" i="3"/>
  <c r="AZ384" i="3" s="1"/>
  <c r="G385" i="3"/>
  <c r="BA387" i="3"/>
  <c r="AZ387" i="3" s="1"/>
  <c r="BL388" i="3"/>
  <c r="G389" i="3"/>
  <c r="BA391" i="3"/>
  <c r="AZ391" i="3" s="1"/>
  <c r="BL392" i="3"/>
  <c r="G393" i="3"/>
  <c r="BM5" i="3"/>
  <c r="BJ5" i="3"/>
  <c r="BF5" i="3"/>
  <c r="AZ333" i="3"/>
  <c r="G548" i="3"/>
  <c r="G538" i="3"/>
  <c r="G502" i="3"/>
  <c r="BP5" i="3"/>
  <c r="BI5" i="3"/>
  <c r="G17" i="3"/>
  <c r="BA17" i="3"/>
  <c r="AZ350" i="3"/>
  <c r="BA15" i="3"/>
  <c r="BR5" i="3"/>
  <c r="G509" i="3"/>
  <c r="F81" i="43"/>
  <c r="H83" i="43" s="1"/>
  <c r="H113" i="43"/>
  <c r="F48" i="43"/>
  <c r="H53" i="43" s="1"/>
  <c r="F70" i="43"/>
  <c r="H73" i="43" s="1"/>
  <c r="D17" i="43"/>
  <c r="I17" i="43"/>
  <c r="J17" i="43"/>
  <c r="F6" i="1"/>
  <c r="U43" i="21"/>
  <c r="U35" i="21"/>
  <c r="U10" i="21"/>
  <c r="W44" i="34"/>
  <c r="S15" i="37"/>
  <c r="J37" i="33"/>
  <c r="W37" i="33" s="1"/>
  <c r="AC17" i="34"/>
  <c r="J34" i="33"/>
  <c r="W34" i="33" s="1"/>
  <c r="F33" i="34"/>
  <c r="S33" i="34" s="1"/>
  <c r="H20" i="36"/>
  <c r="U20" i="36" s="1"/>
  <c r="J20" i="36"/>
  <c r="W20" i="36" s="1"/>
  <c r="W24" i="36"/>
  <c r="H35" i="40"/>
  <c r="AB35" i="40" s="1"/>
  <c r="H35" i="37"/>
  <c r="U35" i="37" s="1"/>
  <c r="H20" i="35"/>
  <c r="U20" i="35" s="1"/>
  <c r="U29" i="36"/>
  <c r="H32" i="37"/>
  <c r="AB32" i="37" s="1"/>
  <c r="F96" i="37"/>
  <c r="H27" i="40"/>
  <c r="U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35" i="3"/>
  <c r="AZ240" i="3"/>
  <c r="AZ256" i="3"/>
  <c r="AZ29" i="3"/>
  <c r="AZ31" i="3"/>
  <c r="AZ33" i="3"/>
  <c r="AZ58" i="3"/>
  <c r="AZ61" i="3"/>
  <c r="AZ77" i="3"/>
  <c r="AZ102" i="3"/>
  <c r="AZ110" i="3"/>
  <c r="I20" i="43"/>
  <c r="F23" i="39"/>
  <c r="AA23" i="39" s="1"/>
  <c r="H27" i="36"/>
  <c r="U27" i="36" s="1"/>
  <c r="H33" i="34"/>
  <c r="U33" i="34" s="1"/>
  <c r="F32" i="37"/>
  <c r="AA32" i="37" s="1"/>
  <c r="G96" i="37"/>
  <c r="H96" i="37" s="1"/>
  <c r="I96" i="37" s="1"/>
  <c r="J96" i="37" s="1"/>
  <c r="K96" i="37" s="1"/>
  <c r="L96" i="37" s="1"/>
  <c r="M96" i="37" s="1"/>
  <c r="F20" i="36"/>
  <c r="AA20" i="36"/>
  <c r="J33" i="34"/>
  <c r="AC33" i="34" s="1"/>
  <c r="H23" i="39"/>
  <c r="U23" i="39" s="1"/>
  <c r="D48" i="9"/>
  <c r="M52" i="9" s="1"/>
  <c r="H86" i="43"/>
  <c r="K9" i="1"/>
  <c r="M9" i="1" s="1"/>
  <c r="O9" i="1" s="1"/>
  <c r="P9" i="1" s="1"/>
  <c r="AE9" i="1"/>
  <c r="D93" i="9"/>
  <c r="W27" i="34"/>
  <c r="AC27" i="34"/>
  <c r="AB34" i="36"/>
  <c r="U34" i="36"/>
  <c r="AB33" i="36"/>
  <c r="U33" i="36"/>
  <c r="W12" i="39"/>
  <c r="AC39" i="40"/>
  <c r="W39" i="40"/>
  <c r="W12" i="33"/>
  <c r="AC12" i="33"/>
  <c r="AA32" i="36"/>
  <c r="S32" i="36"/>
  <c r="AZ408" i="3"/>
  <c r="AZ437" i="3"/>
  <c r="AZ441" i="3"/>
  <c r="AA39" i="34"/>
  <c r="BL14" i="3"/>
  <c r="AA47" i="34"/>
  <c r="S19" i="39"/>
  <c r="F12" i="33"/>
  <c r="AA12" i="33" s="1"/>
  <c r="H12" i="39"/>
  <c r="AB12" i="39" s="1"/>
  <c r="F39" i="40"/>
  <c r="S39" i="40" s="1"/>
  <c r="BA14" i="3"/>
  <c r="AZ14" i="3"/>
  <c r="AZ213" i="3"/>
  <c r="AZ238" i="3"/>
  <c r="AZ254" i="3"/>
  <c r="AZ173" i="3"/>
  <c r="S12" i="1"/>
  <c r="AQ12" i="1" s="1"/>
  <c r="R12" i="1"/>
  <c r="B12" i="1"/>
  <c r="E12" i="1" s="1"/>
  <c r="S10" i="1"/>
  <c r="AQ10" i="1" s="1"/>
  <c r="R10" i="1"/>
  <c r="B10" i="1"/>
  <c r="E10" i="1" s="1"/>
  <c r="K12" i="1"/>
  <c r="M12" i="1" s="1"/>
  <c r="S13" i="1"/>
  <c r="AR13" i="1" s="1"/>
  <c r="R13" i="1"/>
  <c r="S11" i="1"/>
  <c r="AQ11" i="1" s="1"/>
  <c r="R11" i="1"/>
  <c r="S9" i="1"/>
  <c r="AR9" i="1" s="1"/>
  <c r="R9" i="1"/>
  <c r="J51" i="67"/>
  <c r="H100" i="43"/>
  <c r="C30" i="66"/>
  <c r="B41" i="1"/>
  <c r="J100" i="43"/>
  <c r="S35" i="40"/>
  <c r="AC36" i="40"/>
  <c r="S17" i="40"/>
  <c r="S23" i="40"/>
  <c r="AC15" i="40"/>
  <c r="AB27" i="40"/>
  <c r="AA19" i="40"/>
  <c r="U21" i="40"/>
  <c r="AB19" i="40"/>
  <c r="W42" i="39"/>
  <c r="S37" i="39"/>
  <c r="F107" i="39"/>
  <c r="G107" i="39" s="1"/>
  <c r="H107" i="39" s="1"/>
  <c r="I107" i="39" s="1"/>
  <c r="J107" i="39" s="1"/>
  <c r="K107" i="39" s="1"/>
  <c r="L107" i="39" s="1"/>
  <c r="M107" i="39" s="1"/>
  <c r="U31" i="39"/>
  <c r="J21" i="39"/>
  <c r="AC21" i="39" s="1"/>
  <c r="F21" i="39"/>
  <c r="S21" i="39" s="1"/>
  <c r="H21" i="39"/>
  <c r="AB21" i="39" s="1"/>
  <c r="U19" i="39"/>
  <c r="S17" i="39"/>
  <c r="AA12" i="39"/>
  <c r="S23" i="36"/>
  <c r="U13" i="36"/>
  <c r="U26" i="36"/>
  <c r="S33" i="36"/>
  <c r="AA26" i="36"/>
  <c r="AA34" i="36"/>
  <c r="S29" i="36"/>
  <c r="AC26" i="36"/>
  <c r="W14" i="36"/>
  <c r="U22" i="36"/>
  <c r="S16" i="36"/>
  <c r="AA25" i="36"/>
  <c r="U23" i="36"/>
  <c r="AB20" i="36"/>
  <c r="U16" i="36"/>
  <c r="S14" i="36"/>
  <c r="U10" i="36"/>
  <c r="AC30" i="35"/>
  <c r="U22" i="35"/>
  <c r="AB10" i="35"/>
  <c r="AA11" i="35"/>
  <c r="S8" i="35"/>
  <c r="AC12" i="35"/>
  <c r="F9" i="35"/>
  <c r="S9" i="35" s="1"/>
  <c r="F26" i="35"/>
  <c r="AA26" i="35" s="1"/>
  <c r="J26" i="35"/>
  <c r="W26" i="35" s="1"/>
  <c r="H26" i="35"/>
  <c r="U26" i="35" s="1"/>
  <c r="W27" i="37"/>
  <c r="AC29" i="37"/>
  <c r="U29" i="37"/>
  <c r="S32" i="37"/>
  <c r="AB31" i="37"/>
  <c r="W30" i="37"/>
  <c r="S36" i="37"/>
  <c r="U32" i="37"/>
  <c r="AC35" i="37"/>
  <c r="W39" i="37"/>
  <c r="S30" i="37"/>
  <c r="AC15" i="37"/>
  <c r="J17" i="37"/>
  <c r="W17" i="37" s="1"/>
  <c r="G73" i="37"/>
  <c r="F17" i="37"/>
  <c r="AA17" i="37" s="1"/>
  <c r="AB17" i="37"/>
  <c r="F75" i="37"/>
  <c r="F19" i="37"/>
  <c r="AA19" i="37" s="1"/>
  <c r="F79" i="37"/>
  <c r="F23" i="37"/>
  <c r="S23" i="37" s="1"/>
  <c r="U23" i="37"/>
  <c r="U15" i="37"/>
  <c r="AA13" i="37"/>
  <c r="H10" i="37"/>
  <c r="H60" i="37"/>
  <c r="F63" i="37"/>
  <c r="F11" i="37"/>
  <c r="S11" i="37" s="1"/>
  <c r="S27" i="34"/>
  <c r="W25" i="34"/>
  <c r="AB8" i="34"/>
  <c r="AA33" i="34"/>
  <c r="U44" i="34"/>
  <c r="U43" i="34"/>
  <c r="AC42" i="34"/>
  <c r="AB35" i="34"/>
  <c r="U39" i="34"/>
  <c r="AB41" i="34"/>
  <c r="W34" i="34"/>
  <c r="AA25" i="34"/>
  <c r="S17" i="34"/>
  <c r="S23" i="34"/>
  <c r="U15" i="34"/>
  <c r="S10" i="34"/>
  <c r="H67"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F36" i="33"/>
  <c r="S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3" i="33"/>
  <c r="F91" i="33"/>
  <c r="H27" i="33"/>
  <c r="U27" i="33" s="1"/>
  <c r="F87" i="33"/>
  <c r="H25" i="33"/>
  <c r="AB25" i="33" s="1"/>
  <c r="F25" i="33"/>
  <c r="J23" i="33"/>
  <c r="W23" i="33" s="1"/>
  <c r="F85" i="33"/>
  <c r="H23" i="33"/>
  <c r="U23" i="33" s="1"/>
  <c r="F81" i="33"/>
  <c r="F19" i="33"/>
  <c r="S19" i="33" s="1"/>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E85" i="21"/>
  <c r="F23" i="21" s="1"/>
  <c r="AB8" i="21"/>
  <c r="S8" i="21"/>
  <c r="M3" i="43"/>
  <c r="N8" i="43"/>
  <c r="C18" i="9"/>
  <c r="D18" i="9" s="1"/>
  <c r="F34" i="67"/>
  <c r="F62" i="67" s="1"/>
  <c r="M20" i="67"/>
  <c r="F34" i="15"/>
  <c r="F62" i="15"/>
  <c r="BL17" i="3"/>
  <c r="BL13" i="3"/>
  <c r="J56" i="9"/>
  <c r="J57" i="9" s="1"/>
  <c r="J59" i="9" s="1"/>
  <c r="J61" i="9" s="1"/>
  <c r="K1" i="12"/>
  <c r="E19" i="69"/>
  <c r="E19" i="68"/>
  <c r="E19" i="11"/>
  <c r="E1" i="73"/>
  <c r="G22" i="69"/>
  <c r="G22" i="68"/>
  <c r="G26" i="12"/>
  <c r="G22" i="11"/>
  <c r="C100" i="43"/>
  <c r="E11" i="43"/>
  <c r="E10" i="43"/>
  <c r="E9" i="43"/>
  <c r="E8" i="43"/>
  <c r="E81" i="43"/>
  <c r="B79" i="43" s="1"/>
  <c r="E48" i="43"/>
  <c r="B46" i="43"/>
  <c r="E70" i="43"/>
  <c r="B68" i="43"/>
  <c r="F100" i="43"/>
  <c r="H17" i="43"/>
  <c r="H88" i="43"/>
  <c r="C17" i="43"/>
  <c r="K17" i="43"/>
  <c r="N6" i="43"/>
  <c r="F37" i="43"/>
  <c r="N5" i="43"/>
  <c r="B19" i="53"/>
  <c r="B37" i="72"/>
  <c r="C7" i="21"/>
  <c r="T35" i="4"/>
  <c r="A19" i="51" s="1"/>
  <c r="B14" i="72" s="1"/>
  <c r="C4" i="12"/>
  <c r="H66" i="43"/>
  <c r="H64" i="43"/>
  <c r="H56" i="43"/>
  <c r="L20" i="6"/>
  <c r="B6" i="1"/>
  <c r="E6" i="1" s="1"/>
  <c r="K11" i="1"/>
  <c r="B9" i="1"/>
  <c r="E9" i="1" s="1"/>
  <c r="G1" i="69"/>
  <c r="W23" i="40"/>
  <c r="S37" i="40"/>
  <c r="AB28" i="40"/>
  <c r="W28" i="40"/>
  <c r="W34" i="40"/>
  <c r="W19" i="40"/>
  <c r="W27" i="40"/>
  <c r="S36" i="40"/>
  <c r="W37" i="40"/>
  <c r="AC14" i="40"/>
  <c r="S33" i="40"/>
  <c r="AA15" i="40"/>
  <c r="U11" i="40"/>
  <c r="S31" i="40"/>
  <c r="AB13" i="40"/>
  <c r="AB17" i="40"/>
  <c r="U8" i="40"/>
  <c r="S8" i="40"/>
  <c r="U42" i="39"/>
  <c r="AC25" i="39"/>
  <c r="W17" i="39"/>
  <c r="AC17" i="39"/>
  <c r="AB39" i="39"/>
  <c r="S8" i="39"/>
  <c r="S20" i="36"/>
  <c r="S28" i="36"/>
  <c r="U32" i="36"/>
  <c r="W29" i="36"/>
  <c r="U25" i="36"/>
  <c r="AB28" i="36"/>
  <c r="AA13" i="36"/>
  <c r="W9" i="36"/>
  <c r="W22" i="36"/>
  <c r="W23" i="36"/>
  <c r="S9" i="36"/>
  <c r="AC25" i="35"/>
  <c r="S24" i="35"/>
  <c r="S35" i="35"/>
  <c r="AA16" i="35"/>
  <c r="AA35" i="37"/>
  <c r="W36" i="37"/>
  <c r="W32" i="37"/>
  <c r="S33" i="37"/>
  <c r="AC34" i="37"/>
  <c r="AB35" i="37"/>
  <c r="AA31" i="37"/>
  <c r="U19" i="37"/>
  <c r="AA29" i="37"/>
  <c r="AA8" i="37"/>
  <c r="U8" i="37"/>
  <c r="AA40" i="34"/>
  <c r="AB40" i="34"/>
  <c r="U19" i="34"/>
  <c r="W19" i="34"/>
  <c r="AA30" i="34"/>
  <c r="AB47" i="34"/>
  <c r="U25" i="34"/>
  <c r="AB36" i="34"/>
  <c r="W33" i="34"/>
  <c r="AC14" i="34"/>
  <c r="AC32" i="34"/>
  <c r="W46" i="34"/>
  <c r="S32" i="34"/>
  <c r="U30" i="34"/>
  <c r="S37" i="34"/>
  <c r="U38" i="34"/>
  <c r="AC40" i="34"/>
  <c r="AA19" i="34"/>
  <c r="S19" i="34"/>
  <c r="AA36" i="34"/>
  <c r="S36" i="34"/>
  <c r="AA8" i="34"/>
  <c r="S8" i="34"/>
  <c r="AB9" i="34"/>
  <c r="U9" i="34"/>
  <c r="S46" i="34"/>
  <c r="AA46" i="34"/>
  <c r="U32" i="34"/>
  <c r="AB32" i="34"/>
  <c r="U14" i="34"/>
  <c r="AB14" i="34"/>
  <c r="AC43" i="34"/>
  <c r="AA11" i="34"/>
  <c r="AC23" i="34"/>
  <c r="AC35" i="34"/>
  <c r="W35" i="34"/>
  <c r="U12" i="34"/>
  <c r="AB12" i="34"/>
  <c r="AC37" i="33"/>
  <c r="U39" i="33"/>
  <c r="U38" i="33"/>
  <c r="S33" i="33"/>
  <c r="AB34" i="33"/>
  <c r="S31" i="33"/>
  <c r="W13" i="33"/>
  <c r="U15" i="33"/>
  <c r="U37" i="33"/>
  <c r="W9" i="33"/>
  <c r="W8" i="33"/>
  <c r="S45" i="21"/>
  <c r="F33" i="21"/>
  <c r="S33" i="21" s="1"/>
  <c r="J33" i="21"/>
  <c r="W33" i="21" s="1"/>
  <c r="H33" i="21"/>
  <c r="AB33" i="21" s="1"/>
  <c r="AA26" i="21"/>
  <c r="AB14" i="21"/>
  <c r="U40" i="21"/>
  <c r="AB31" i="21"/>
  <c r="U31" i="21"/>
  <c r="U13" i="21"/>
  <c r="AB13" i="21"/>
  <c r="W8" i="21"/>
  <c r="H15" i="21"/>
  <c r="U15" i="21"/>
  <c r="J17" i="21"/>
  <c r="AC17" i="21"/>
  <c r="W39" i="21"/>
  <c r="AC14" i="21"/>
  <c r="W30" i="21"/>
  <c r="H45" i="21"/>
  <c r="U45" i="21" s="1"/>
  <c r="F29" i="21"/>
  <c r="S29" i="21" s="1"/>
  <c r="F13" i="21"/>
  <c r="AA13" i="21" s="1"/>
  <c r="AC38" i="21"/>
  <c r="H32" i="21"/>
  <c r="AB32" i="21" s="1"/>
  <c r="H9" i="21"/>
  <c r="U9" i="21" s="1"/>
  <c r="J9" i="21"/>
  <c r="AC9" i="21" s="1"/>
  <c r="J32" i="21"/>
  <c r="AC32" i="21" s="1"/>
  <c r="AA31" i="21"/>
  <c r="K141" i="21"/>
  <c r="K144" i="21"/>
  <c r="K143" i="21"/>
  <c r="AB25" i="21"/>
  <c r="AA30" i="21"/>
  <c r="F10" i="21"/>
  <c r="S10" i="21" s="1"/>
  <c r="K145" i="21"/>
  <c r="W17" i="21"/>
  <c r="W25" i="21"/>
  <c r="AA29" i="21"/>
  <c r="S17" i="21"/>
  <c r="AC26" i="21"/>
  <c r="S28"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12" i="33"/>
  <c r="H32" i="39"/>
  <c r="U32" i="39" s="1"/>
  <c r="W21" i="39"/>
  <c r="AA9" i="35"/>
  <c r="AC17" i="37"/>
  <c r="S17" i="37"/>
  <c r="J19" i="37"/>
  <c r="W19" i="37" s="1"/>
  <c r="G75" i="37"/>
  <c r="S19" i="37"/>
  <c r="AA23" i="37"/>
  <c r="J23" i="37"/>
  <c r="G79" i="37"/>
  <c r="J10" i="37"/>
  <c r="I60" i="37"/>
  <c r="G63" i="37"/>
  <c r="H11" i="37"/>
  <c r="AB11" i="37" s="1"/>
  <c r="AB10" i="37"/>
  <c r="U10" i="37"/>
  <c r="H11" i="34"/>
  <c r="AB11" i="34" s="1"/>
  <c r="U10" i="34"/>
  <c r="J10" i="34"/>
  <c r="I67" i="34"/>
  <c r="U41" i="33"/>
  <c r="W35" i="33"/>
  <c r="AC35" i="33"/>
  <c r="J36" i="33"/>
  <c r="H36" i="33"/>
  <c r="U36" i="33" s="1"/>
  <c r="AA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W25" i="33" s="1"/>
  <c r="AB23" i="33"/>
  <c r="F23" i="33"/>
  <c r="S23" i="33" s="1"/>
  <c r="G85" i="33"/>
  <c r="AC23" i="33"/>
  <c r="AA19" i="33"/>
  <c r="H19" i="33"/>
  <c r="AB19" i="33" s="1"/>
  <c r="G81" i="33"/>
  <c r="G79" i="33"/>
  <c r="H17" i="33"/>
  <c r="U17" i="33" s="1"/>
  <c r="F17" i="33"/>
  <c r="AA17" i="33" s="1"/>
  <c r="W17" i="33"/>
  <c r="U10" i="33"/>
  <c r="AB10" i="33"/>
  <c r="AC10" i="33"/>
  <c r="U33" i="21"/>
  <c r="AB15" i="21"/>
  <c r="J23" i="21"/>
  <c r="AC23" i="21" s="1"/>
  <c r="S13" i="21"/>
  <c r="AP7" i="1"/>
  <c r="AB45" i="21"/>
  <c r="AA33" i="21"/>
  <c r="W9" i="21"/>
  <c r="E6" i="70"/>
  <c r="W23" i="37"/>
  <c r="AC23" i="37"/>
  <c r="U11" i="37"/>
  <c r="H63" i="37"/>
  <c r="I63" i="37"/>
  <c r="J63" i="37" s="1"/>
  <c r="K63" i="37" s="1"/>
  <c r="L63" i="37" s="1"/>
  <c r="M63" i="37" s="1"/>
  <c r="J11" i="37"/>
  <c r="W10" i="37"/>
  <c r="AC10" i="37"/>
  <c r="U11" i="34"/>
  <c r="AC10" i="34"/>
  <c r="W10" i="34"/>
  <c r="J11" i="34"/>
  <c r="AC11" i="34" s="1"/>
  <c r="AC36" i="33"/>
  <c r="W36" i="33"/>
  <c r="AC27" i="33"/>
  <c r="AA23" i="33"/>
  <c r="U19" i="33"/>
  <c r="AB17" i="33"/>
  <c r="AC11" i="37"/>
  <c r="W11" i="37"/>
  <c r="F34" i="11"/>
  <c r="F11" i="12"/>
  <c r="F34" i="68"/>
  <c r="AE7" i="1"/>
  <c r="AE8" i="1"/>
  <c r="AE6" i="1"/>
  <c r="AG6" i="1"/>
  <c r="H109" i="9"/>
  <c r="H110" i="9"/>
  <c r="D18" i="53" s="1"/>
  <c r="B35" i="72" s="1"/>
  <c r="D16" i="53"/>
  <c r="AD3" i="71"/>
  <c r="J1" i="73"/>
  <c r="H59" i="43"/>
  <c r="H61" i="43"/>
  <c r="M4" i="43"/>
  <c r="N12" i="43"/>
  <c r="M10" i="43"/>
  <c r="M7" i="43"/>
  <c r="H54" i="43"/>
  <c r="N9" i="43"/>
  <c r="N10" i="43"/>
  <c r="M6" i="43"/>
  <c r="N4" i="43"/>
  <c r="H49" i="43"/>
  <c r="L17" i="43"/>
  <c r="M17" i="43"/>
  <c r="AB17" i="71"/>
  <c r="X15" i="71"/>
  <c r="X14" i="71"/>
  <c r="AA15" i="71"/>
  <c r="AA14" i="71"/>
  <c r="X18" i="71"/>
  <c r="Y14" i="71"/>
  <c r="Z14" i="71" s="1"/>
  <c r="AB15" i="71"/>
  <c r="AB14" i="71"/>
  <c r="C94" i="9"/>
  <c r="C92" i="9"/>
  <c r="Y15" i="71"/>
  <c r="Z15" i="71" s="1"/>
  <c r="X3" i="71"/>
  <c r="G20" i="43"/>
  <c r="E41" i="43"/>
  <c r="C41" i="43" s="1"/>
  <c r="AO11" i="1"/>
  <c r="B13" i="76"/>
  <c r="B11" i="76"/>
  <c r="D2" i="34"/>
  <c r="B10" i="76"/>
  <c r="D5" i="73"/>
  <c r="F7" i="73"/>
  <c r="B8" i="76"/>
  <c r="D2" i="35"/>
  <c r="B12" i="76"/>
  <c r="E13" i="76"/>
  <c r="AO10" i="1"/>
  <c r="F4" i="73"/>
  <c r="AO9" i="1"/>
  <c r="AO12" i="1"/>
  <c r="AO6" i="1"/>
  <c r="D7" i="73"/>
  <c r="D3" i="73"/>
  <c r="D2" i="36"/>
  <c r="AO7" i="1"/>
  <c r="AO8" i="1"/>
  <c r="D2" i="21"/>
  <c r="F5" i="73"/>
  <c r="B7" i="76"/>
  <c r="F20" i="31"/>
  <c r="E12" i="76"/>
  <c r="E8" i="76"/>
  <c r="E10" i="76"/>
  <c r="E11" i="76"/>
  <c r="E2" i="68"/>
  <c r="D2" i="33"/>
  <c r="AO13" i="1"/>
  <c r="B9" i="76"/>
  <c r="F3" i="73"/>
  <c r="E2" i="69"/>
  <c r="D2" i="37"/>
  <c r="E7" i="76"/>
  <c r="F6" i="73"/>
  <c r="E9" i="76"/>
  <c r="M47" i="9" l="1"/>
  <c r="C7" i="35"/>
  <c r="C7" i="36"/>
  <c r="C46" i="36" s="1"/>
  <c r="D46" i="36" s="1"/>
  <c r="E46" i="36" s="1"/>
  <c r="F46" i="36" s="1"/>
  <c r="G46" i="36" s="1"/>
  <c r="H46" i="36" s="1"/>
  <c r="I46" i="36" s="1"/>
  <c r="G19" i="43"/>
  <c r="O19" i="43" s="1"/>
  <c r="C19" i="43" s="1"/>
  <c r="C7" i="40"/>
  <c r="C63" i="40" s="1"/>
  <c r="C65" i="40" s="1"/>
  <c r="C7" i="33"/>
  <c r="C58" i="33" s="1"/>
  <c r="C7" i="39"/>
  <c r="C68" i="39" s="1"/>
  <c r="C70" i="39" s="1"/>
  <c r="C42" i="1"/>
  <c r="C77" i="9" s="1"/>
  <c r="C74" i="9" s="1"/>
  <c r="AA27" i="21"/>
  <c r="S27" i="21"/>
  <c r="U46" i="21"/>
  <c r="AB46" i="21"/>
  <c r="AA27" i="33"/>
  <c r="S27" i="33"/>
  <c r="AB36" i="35"/>
  <c r="U36" i="35"/>
  <c r="W33" i="40"/>
  <c r="AC33" i="40"/>
  <c r="AA9" i="21"/>
  <c r="S9" i="21"/>
  <c r="S30" i="33"/>
  <c r="AA30" i="33"/>
  <c r="AC13" i="35"/>
  <c r="W13" i="35"/>
  <c r="S25" i="35"/>
  <c r="AA25" i="35"/>
  <c r="AC35" i="35"/>
  <c r="W35" i="35"/>
  <c r="AC12" i="37"/>
  <c r="W12" i="37"/>
  <c r="AC26" i="37"/>
  <c r="W26" i="37"/>
  <c r="AC28" i="37"/>
  <c r="W28" i="37"/>
  <c r="AB38" i="37"/>
  <c r="U38" i="37"/>
  <c r="AZ572" i="3"/>
  <c r="S22" i="31"/>
  <c r="R22" i="31" s="1"/>
  <c r="H48" i="43"/>
  <c r="H51" i="43"/>
  <c r="H23" i="21"/>
  <c r="F85" i="21"/>
  <c r="G85" i="21" s="1"/>
  <c r="W31" i="21"/>
  <c r="W13" i="21"/>
  <c r="AB44" i="21"/>
  <c r="U28" i="21"/>
  <c r="S11" i="33"/>
  <c r="AB33" i="34"/>
  <c r="AA11" i="37"/>
  <c r="AB37" i="37"/>
  <c r="U36" i="37"/>
  <c r="S28" i="37"/>
  <c r="AA30" i="35"/>
  <c r="U25" i="35"/>
  <c r="AB20" i="35"/>
  <c r="AC20" i="36"/>
  <c r="AC25" i="36"/>
  <c r="S23" i="39"/>
  <c r="U15" i="40"/>
  <c r="S13" i="40"/>
  <c r="H55" i="43"/>
  <c r="H81" i="43"/>
  <c r="AA14" i="21"/>
  <c r="W19" i="33"/>
  <c r="AA29" i="34"/>
  <c r="U28" i="34"/>
  <c r="S43" i="34"/>
  <c r="AC39" i="34"/>
  <c r="S37" i="37"/>
  <c r="W38" i="37"/>
  <c r="S22" i="35"/>
  <c r="AB16" i="35"/>
  <c r="W10" i="36"/>
  <c r="AB14" i="36"/>
  <c r="AA22" i="36"/>
  <c r="W19" i="39"/>
  <c r="S25" i="39"/>
  <c r="U25" i="39"/>
  <c r="S28" i="40"/>
  <c r="AC17" i="40"/>
  <c r="U35" i="40"/>
  <c r="AB37" i="40"/>
  <c r="H87" i="43"/>
  <c r="AC21" i="40"/>
  <c r="W37" i="37"/>
  <c r="AZ16" i="3"/>
  <c r="AZ390" i="3"/>
  <c r="AZ382" i="3"/>
  <c r="AZ356" i="3"/>
  <c r="AZ347" i="3"/>
  <c r="AZ344" i="3"/>
  <c r="AZ342" i="3"/>
  <c r="AZ336" i="3"/>
  <c r="AZ321" i="3"/>
  <c r="AZ394" i="3"/>
  <c r="AZ325" i="3"/>
  <c r="F12" i="37"/>
  <c r="H12" i="37"/>
  <c r="AC15" i="34"/>
  <c r="AC46" i="21"/>
  <c r="W14" i="37"/>
  <c r="H32" i="40"/>
  <c r="AZ531" i="3"/>
  <c r="BL547" i="3"/>
  <c r="AZ547" i="3" s="1"/>
  <c r="U36" i="39"/>
  <c r="AC28" i="21"/>
  <c r="F14" i="40"/>
  <c r="AA14" i="40" s="1"/>
  <c r="F14" i="37"/>
  <c r="H33" i="40"/>
  <c r="F14" i="39"/>
  <c r="AA14" i="39" s="1"/>
  <c r="F38" i="37"/>
  <c r="H35" i="35"/>
  <c r="F31" i="34"/>
  <c r="F46" i="21"/>
  <c r="AA38" i="34"/>
  <c r="AC11" i="40"/>
  <c r="W8" i="34"/>
  <c r="AA39" i="37"/>
  <c r="F24" i="36"/>
  <c r="AC12" i="34"/>
  <c r="S40" i="39"/>
  <c r="C27" i="39"/>
  <c r="W22" i="35"/>
  <c r="J19" i="21"/>
  <c r="F19" i="21"/>
  <c r="F26" i="37"/>
  <c r="H26" i="37"/>
  <c r="G582" i="3"/>
  <c r="G580" i="3"/>
  <c r="G579" i="3"/>
  <c r="G578" i="3"/>
  <c r="G575" i="3"/>
  <c r="G572" i="3"/>
  <c r="G571" i="3"/>
  <c r="G567" i="3"/>
  <c r="G552" i="3"/>
  <c r="G549" i="3"/>
  <c r="G545" i="3"/>
  <c r="G541" i="3"/>
  <c r="G540" i="3"/>
  <c r="G537" i="3"/>
  <c r="G535" i="3"/>
  <c r="G533" i="3"/>
  <c r="G531" i="3"/>
  <c r="G530" i="3"/>
  <c r="G529" i="3"/>
  <c r="G527" i="3"/>
  <c r="BA583" i="3"/>
  <c r="BA564" i="3"/>
  <c r="AZ564" i="3" s="1"/>
  <c r="BL563" i="3"/>
  <c r="AZ563" i="3" s="1"/>
  <c r="BL561" i="3"/>
  <c r="BA559" i="3"/>
  <c r="BA557" i="3"/>
  <c r="BL556" i="3"/>
  <c r="BL554" i="3"/>
  <c r="BA523" i="3"/>
  <c r="BL520" i="3"/>
  <c r="BA520" i="3"/>
  <c r="BL516" i="3"/>
  <c r="BL514" i="3"/>
  <c r="BL513" i="3"/>
  <c r="BA513" i="3"/>
  <c r="BA512" i="3"/>
  <c r="BA509" i="3"/>
  <c r="BA508" i="3"/>
  <c r="BA503" i="3"/>
  <c r="BA502" i="3"/>
  <c r="BL501" i="3"/>
  <c r="BL499" i="3"/>
  <c r="AZ499" i="3" s="1"/>
  <c r="BL498" i="3"/>
  <c r="BL497" i="3"/>
  <c r="BL496" i="3"/>
  <c r="BA496" i="3"/>
  <c r="AZ496" i="3" s="1"/>
  <c r="BS5" i="3"/>
  <c r="F28" i="6" s="1"/>
  <c r="BL495" i="3"/>
  <c r="BA495" i="3"/>
  <c r="BK5" i="3"/>
  <c r="BG5" i="3"/>
  <c r="BT5" i="3"/>
  <c r="BO5" i="3"/>
  <c r="F29" i="6" s="1"/>
  <c r="BL493" i="3"/>
  <c r="BH5" i="3"/>
  <c r="BD5" i="3"/>
  <c r="G14" i="3"/>
  <c r="BL399" i="3"/>
  <c r="G400" i="3"/>
  <c r="G402" i="3"/>
  <c r="G406" i="3"/>
  <c r="G408" i="3"/>
  <c r="G411" i="3"/>
  <c r="BL412" i="3"/>
  <c r="G413" i="3"/>
  <c r="G416" i="3"/>
  <c r="BL417" i="3"/>
  <c r="G418" i="3"/>
  <c r="G422" i="3"/>
  <c r="G424" i="3"/>
  <c r="BA425" i="3"/>
  <c r="BL425" i="3"/>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G485" i="3"/>
  <c r="BA486" i="3"/>
  <c r="BL486" i="3"/>
  <c r="BA491" i="3"/>
  <c r="AZ491" i="3" s="1"/>
  <c r="BA303" i="3"/>
  <c r="AZ303" i="3" s="1"/>
  <c r="BA307" i="3"/>
  <c r="AZ307" i="3" s="1"/>
  <c r="G315" i="3"/>
  <c r="BA315" i="3"/>
  <c r="AZ315" i="3" s="1"/>
  <c r="BA317" i="3"/>
  <c r="BL317" i="3"/>
  <c r="G323" i="3"/>
  <c r="BL324" i="3"/>
  <c r="AZ324" i="3" s="1"/>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A219" i="3"/>
  <c r="AZ219" i="3" s="1"/>
  <c r="BA221" i="3"/>
  <c r="AZ221" i="3" s="1"/>
  <c r="BA222" i="3"/>
  <c r="AZ222" i="3" s="1"/>
  <c r="BA223" i="3"/>
  <c r="AZ223" i="3" s="1"/>
  <c r="BA224" i="3"/>
  <c r="AZ224" i="3" s="1"/>
  <c r="BL226" i="3"/>
  <c r="G227" i="3"/>
  <c r="BA228" i="3"/>
  <c r="BL228" i="3"/>
  <c r="BL230" i="3"/>
  <c r="G231" i="3"/>
  <c r="G233" i="3"/>
  <c r="G235" i="3"/>
  <c r="G240" i="3"/>
  <c r="G242" i="3"/>
  <c r="BL243" i="3"/>
  <c r="G244" i="3"/>
  <c r="G246" i="3"/>
  <c r="BA247" i="3"/>
  <c r="AZ247" i="3" s="1"/>
  <c r="BL247" i="3"/>
  <c r="BA249" i="3"/>
  <c r="AZ249" i="3" s="1"/>
  <c r="BL249" i="3"/>
  <c r="BL251" i="3"/>
  <c r="G252" i="3"/>
  <c r="G254" i="3"/>
  <c r="G258" i="3"/>
  <c r="BL259" i="3"/>
  <c r="G260" i="3"/>
  <c r="G262" i="3"/>
  <c r="BL263" i="3"/>
  <c r="G264" i="3"/>
  <c r="G266" i="3"/>
  <c r="BA267" i="3"/>
  <c r="AZ267" i="3" s="1"/>
  <c r="BL267" i="3"/>
  <c r="BA269" i="3"/>
  <c r="AZ269" i="3" s="1"/>
  <c r="BL269" i="3"/>
  <c r="BA270" i="3"/>
  <c r="AZ270" i="3" s="1"/>
  <c r="BA271" i="3"/>
  <c r="AZ271" i="3" s="1"/>
  <c r="BA273" i="3"/>
  <c r="AZ273" i="3" s="1"/>
  <c r="BL273" i="3"/>
  <c r="BA274" i="3"/>
  <c r="AZ274" i="3" s="1"/>
  <c r="BA275" i="3"/>
  <c r="AZ275" i="3" s="1"/>
  <c r="BA278" i="3"/>
  <c r="AZ278" i="3" s="1"/>
  <c r="BL278" i="3"/>
  <c r="BA280" i="3"/>
  <c r="AZ280" i="3" s="1"/>
  <c r="BL280" i="3"/>
  <c r="BL282" i="3"/>
  <c r="G283" i="3"/>
  <c r="BA284" i="3"/>
  <c r="AZ284" i="3" s="1"/>
  <c r="BL284" i="3"/>
  <c r="BA285" i="3"/>
  <c r="AZ285" i="3" s="1"/>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AZ129" i="3"/>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D25" i="71"/>
  <c r="C26" i="71"/>
  <c r="D57" i="71"/>
  <c r="C58" i="71"/>
  <c r="C59" i="71" s="1"/>
  <c r="O61" i="71"/>
  <c r="D61" i="71"/>
  <c r="T55" i="71"/>
  <c r="D82" i="71"/>
  <c r="D62" i="71"/>
  <c r="C78" i="71"/>
  <c r="C70" i="71"/>
  <c r="C69" i="71" s="1"/>
  <c r="D69" i="71" s="1"/>
  <c r="D63" i="71"/>
  <c r="C38" i="71"/>
  <c r="Y23" i="71"/>
  <c r="Z23" i="71" s="1"/>
  <c r="AB32" i="71"/>
  <c r="AB28" i="71"/>
  <c r="AB29" i="71"/>
  <c r="AB30" i="71"/>
  <c r="F34" i="71"/>
  <c r="F35" i="71" s="1"/>
  <c r="V35" i="71" s="1"/>
  <c r="B38" i="71"/>
  <c r="B39" i="71" s="1"/>
  <c r="S39" i="71" s="1"/>
  <c r="B42" i="71"/>
  <c r="B43" i="71" s="1"/>
  <c r="S43" i="71" s="1"/>
  <c r="AE10" i="43"/>
  <c r="P61" i="15"/>
  <c r="V19" i="71"/>
  <c r="AA20" i="71"/>
  <c r="BA35" i="3"/>
  <c r="BL35" i="3"/>
  <c r="BA36" i="3"/>
  <c r="AZ36" i="3" s="1"/>
  <c r="BA37" i="3"/>
  <c r="AZ37" i="3" s="1"/>
  <c r="BA39" i="3"/>
  <c r="BL39" i="3"/>
  <c r="BA40" i="3"/>
  <c r="BL40" i="3"/>
  <c r="G41" i="3"/>
  <c r="BL42" i="3"/>
  <c r="G43" i="3"/>
  <c r="BA44" i="3"/>
  <c r="BL44" i="3"/>
  <c r="BL46" i="3"/>
  <c r="G47" i="3"/>
  <c r="BL49" i="3"/>
  <c r="G50" i="3"/>
  <c r="BL51" i="3"/>
  <c r="G52" i="3"/>
  <c r="G54" i="3"/>
  <c r="BL55" i="3"/>
  <c r="G56" i="3"/>
  <c r="G61" i="3"/>
  <c r="G65" i="3"/>
  <c r="BL66" i="3"/>
  <c r="G67" i="3"/>
  <c r="BA68" i="3"/>
  <c r="BL68" i="3"/>
  <c r="BL70" i="3"/>
  <c r="G71" i="3"/>
  <c r="BL72" i="3"/>
  <c r="G73" i="3"/>
  <c r="G75" i="3"/>
  <c r="G79" i="3"/>
  <c r="G81" i="3"/>
  <c r="BL82" i="3"/>
  <c r="G83" i="3"/>
  <c r="BL84" i="3"/>
  <c r="G85" i="3"/>
  <c r="BL86" i="3"/>
  <c r="G87" i="3"/>
  <c r="G89" i="3"/>
  <c r="G92" i="3"/>
  <c r="BL93" i="3"/>
  <c r="G94" i="3"/>
  <c r="BA95" i="3"/>
  <c r="AZ95" i="3" s="1"/>
  <c r="BL95" i="3"/>
  <c r="BA96" i="3"/>
  <c r="AZ96" i="3" s="1"/>
  <c r="BA97" i="3"/>
  <c r="AZ97" i="3" s="1"/>
  <c r="BL99" i="3"/>
  <c r="G100" i="3"/>
  <c r="G102" i="3"/>
  <c r="G105" i="3"/>
  <c r="BL107" i="3"/>
  <c r="G108" i="3"/>
  <c r="G110" i="3"/>
  <c r="G112" i="3"/>
  <c r="I20" i="66"/>
  <c r="AB21" i="33"/>
  <c r="AC45" i="21"/>
  <c r="S23" i="21"/>
  <c r="AA23" i="21"/>
  <c r="C23" i="12"/>
  <c r="W11" i="34"/>
  <c r="S17" i="33"/>
  <c r="AC25" i="33"/>
  <c r="AB36" i="33"/>
  <c r="AC19" i="37"/>
  <c r="C58" i="21"/>
  <c r="D58" i="21" s="1"/>
  <c r="G7" i="21"/>
  <c r="I7" i="21"/>
  <c r="E7" i="21"/>
  <c r="C48" i="35"/>
  <c r="D48" i="35" s="1"/>
  <c r="E48" i="35" s="1"/>
  <c r="I7" i="35"/>
  <c r="E7" i="35"/>
  <c r="G7" i="35"/>
  <c r="F48" i="9"/>
  <c r="O52" i="9" s="1"/>
  <c r="F30" i="82"/>
  <c r="D68" i="81"/>
  <c r="F53" i="81"/>
  <c r="D68" i="80"/>
  <c r="F54" i="80"/>
  <c r="F52" i="80"/>
  <c r="F48" i="80"/>
  <c r="O52" i="80" s="1"/>
  <c r="F30" i="83"/>
  <c r="F54" i="81"/>
  <c r="F52" i="81"/>
  <c r="F48" i="81"/>
  <c r="O52" i="81" s="1"/>
  <c r="F53" i="80"/>
  <c r="C24" i="12"/>
  <c r="C77" i="80"/>
  <c r="C74" i="80" s="1"/>
  <c r="C20" i="43"/>
  <c r="G7" i="36"/>
  <c r="I7" i="36"/>
  <c r="E7" i="36"/>
  <c r="S41" i="34"/>
  <c r="AA41" i="34"/>
  <c r="AZ520" i="3"/>
  <c r="AZ513" i="3"/>
  <c r="AZ508" i="3"/>
  <c r="AZ495" i="3"/>
  <c r="C7" i="43"/>
  <c r="AZ17" i="3"/>
  <c r="D120" i="9"/>
  <c r="W43" i="33"/>
  <c r="U27" i="34"/>
  <c r="W41" i="34"/>
  <c r="U37" i="39"/>
  <c r="S30" i="40"/>
  <c r="AA32" i="40"/>
  <c r="AC34" i="33"/>
  <c r="H52" i="43"/>
  <c r="H50" i="43"/>
  <c r="G28" i="6"/>
  <c r="AZ351" i="3"/>
  <c r="AZ380" i="3"/>
  <c r="AA25" i="21"/>
  <c r="AZ523" i="3"/>
  <c r="AZ498" i="3"/>
  <c r="AZ516" i="3"/>
  <c r="S14" i="33"/>
  <c r="AA14" i="33"/>
  <c r="AA21" i="40"/>
  <c r="S21" i="40"/>
  <c r="AC44" i="39"/>
  <c r="W44" i="39"/>
  <c r="F79" i="21"/>
  <c r="G79" i="21" s="1"/>
  <c r="H17" i="21"/>
  <c r="E69" i="21"/>
  <c r="F11" i="21"/>
  <c r="AA35" i="34"/>
  <c r="S35" i="34"/>
  <c r="S12" i="35"/>
  <c r="AA12" i="35"/>
  <c r="AA34" i="35"/>
  <c r="S34" i="35"/>
  <c r="F64" i="35"/>
  <c r="G64" i="35" s="1"/>
  <c r="J14" i="35"/>
  <c r="H14" i="35"/>
  <c r="F70" i="35"/>
  <c r="G70" i="35" s="1"/>
  <c r="J20" i="35"/>
  <c r="W20" i="35" s="1"/>
  <c r="E94" i="35"/>
  <c r="F94" i="35" s="1"/>
  <c r="G94" i="35" s="1"/>
  <c r="H94" i="35" s="1"/>
  <c r="I94" i="35" s="1"/>
  <c r="J94" i="35" s="1"/>
  <c r="K94" i="35" s="1"/>
  <c r="L94" i="35" s="1"/>
  <c r="M94" i="35" s="1"/>
  <c r="H32" i="35"/>
  <c r="J32" i="35"/>
  <c r="AC32" i="35" s="1"/>
  <c r="H30" i="33"/>
  <c r="J30" i="33"/>
  <c r="J44" i="33"/>
  <c r="F44" i="33"/>
  <c r="J46" i="33"/>
  <c r="F46" i="33"/>
  <c r="H46" i="33"/>
  <c r="H13" i="34"/>
  <c r="J13" i="34"/>
  <c r="F13" i="34"/>
  <c r="J29" i="34"/>
  <c r="H29" i="34"/>
  <c r="H45" i="34"/>
  <c r="F45" i="34"/>
  <c r="F13" i="35"/>
  <c r="H13" i="35"/>
  <c r="H23" i="35"/>
  <c r="F23" i="35"/>
  <c r="AC8" i="36"/>
  <c r="W8" i="36"/>
  <c r="AB9" i="36"/>
  <c r="U9" i="36"/>
  <c r="J12" i="36"/>
  <c r="F12" i="36"/>
  <c r="AB31" i="36"/>
  <c r="U31" i="36"/>
  <c r="J9" i="37"/>
  <c r="H9" i="37"/>
  <c r="F9" i="37"/>
  <c r="H25" i="37"/>
  <c r="J25" i="37"/>
  <c r="F25" i="37"/>
  <c r="F13" i="39"/>
  <c r="S13" i="39" s="1"/>
  <c r="H13" i="39"/>
  <c r="AC23" i="39"/>
  <c r="W23" i="39"/>
  <c r="J43" i="39"/>
  <c r="H43" i="39"/>
  <c r="H45" i="39"/>
  <c r="J45" i="39"/>
  <c r="E101" i="39"/>
  <c r="J27" i="39"/>
  <c r="S9" i="40"/>
  <c r="AA9" i="40"/>
  <c r="J12" i="40"/>
  <c r="H12" i="40"/>
  <c r="U41" i="21"/>
  <c r="AB41" i="21"/>
  <c r="AA30" i="36"/>
  <c r="S30" i="36"/>
  <c r="AC30" i="36"/>
  <c r="W30" i="36"/>
  <c r="AC35" i="39"/>
  <c r="W35" i="39"/>
  <c r="BL584" i="3"/>
  <c r="AZ584" i="3" s="1"/>
  <c r="BA582" i="3"/>
  <c r="AZ582" i="3" s="1"/>
  <c r="BA565" i="3"/>
  <c r="BL562" i="3"/>
  <c r="BA562" i="3"/>
  <c r="BA561" i="3"/>
  <c r="AZ561" i="3" s="1"/>
  <c r="BL560" i="3"/>
  <c r="AZ560" i="3" s="1"/>
  <c r="BL558" i="3"/>
  <c r="BA558" i="3"/>
  <c r="BA556" i="3"/>
  <c r="AZ556" i="3" s="1"/>
  <c r="BL555" i="3"/>
  <c r="BA555" i="3"/>
  <c r="BA554" i="3"/>
  <c r="AZ554" i="3" s="1"/>
  <c r="BL552" i="3"/>
  <c r="BA552" i="3"/>
  <c r="BL525" i="3"/>
  <c r="AZ525" i="3" s="1"/>
  <c r="BA525" i="3"/>
  <c r="BL522" i="3"/>
  <c r="BA522" i="3"/>
  <c r="BL521" i="3"/>
  <c r="AZ521" i="3" s="1"/>
  <c r="BA521" i="3"/>
  <c r="BA519" i="3"/>
  <c r="BL518" i="3"/>
  <c r="BA518" i="3"/>
  <c r="AZ518" i="3" s="1"/>
  <c r="BL517" i="3"/>
  <c r="AZ517" i="3" s="1"/>
  <c r="BA515" i="3"/>
  <c r="BA514" i="3"/>
  <c r="AZ514" i="3" s="1"/>
  <c r="BL512" i="3"/>
  <c r="AZ512" i="3" s="1"/>
  <c r="BA511" i="3"/>
  <c r="BL510" i="3"/>
  <c r="AZ510" i="3" s="1"/>
  <c r="BL509" i="3"/>
  <c r="AZ509" i="3" s="1"/>
  <c r="BA506" i="3"/>
  <c r="AZ506" i="3" s="1"/>
  <c r="BL505" i="3"/>
  <c r="BA505" i="3"/>
  <c r="BL502" i="3"/>
  <c r="AZ502" i="3" s="1"/>
  <c r="BA501" i="3"/>
  <c r="AZ501" i="3" s="1"/>
  <c r="BL500" i="3"/>
  <c r="BA500" i="3"/>
  <c r="AZ500" i="3" s="1"/>
  <c r="BA497" i="3"/>
  <c r="AZ497" i="3" s="1"/>
  <c r="BL494" i="3"/>
  <c r="BA494" i="3"/>
  <c r="BA493" i="3"/>
  <c r="AZ493" i="3" s="1"/>
  <c r="F27" i="36"/>
  <c r="AC38" i="39"/>
  <c r="F20" i="35"/>
  <c r="J27" i="36"/>
  <c r="AA12" i="40"/>
  <c r="U36" i="40"/>
  <c r="BN5" i="3"/>
  <c r="G29" i="6" s="1"/>
  <c r="AC5" i="3"/>
  <c r="AZ379" i="3"/>
  <c r="AZ345" i="3"/>
  <c r="AZ372" i="3"/>
  <c r="AZ378" i="3"/>
  <c r="H15" i="39"/>
  <c r="W37" i="39"/>
  <c r="S14" i="40"/>
  <c r="BL503" i="3"/>
  <c r="BL515" i="3"/>
  <c r="AZ515" i="3" s="1"/>
  <c r="BL553" i="3"/>
  <c r="AZ553" i="3" s="1"/>
  <c r="BL557" i="3"/>
  <c r="AZ580" i="3"/>
  <c r="F15" i="21"/>
  <c r="H14" i="40"/>
  <c r="S14" i="37"/>
  <c r="AA14" i="37"/>
  <c r="W13" i="40"/>
  <c r="AC13" i="40"/>
  <c r="F43" i="39"/>
  <c r="U28" i="37"/>
  <c r="AB28" i="37"/>
  <c r="J47" i="34"/>
  <c r="J45" i="34"/>
  <c r="J31" i="34"/>
  <c r="AC31" i="34" s="1"/>
  <c r="H44" i="33"/>
  <c r="J14" i="33"/>
  <c r="AA44" i="34"/>
  <c r="S44" i="34"/>
  <c r="U23" i="40"/>
  <c r="AC37" i="34"/>
  <c r="W37" i="34"/>
  <c r="U40" i="33"/>
  <c r="J28" i="34"/>
  <c r="U17" i="34"/>
  <c r="AB17" i="34"/>
  <c r="AC33" i="37"/>
  <c r="W33" i="37"/>
  <c r="F14" i="35"/>
  <c r="AA14" i="35" s="1"/>
  <c r="S8" i="36"/>
  <c r="W34" i="36"/>
  <c r="AC34" i="36"/>
  <c r="F27" i="39"/>
  <c r="J31" i="39"/>
  <c r="U40" i="40"/>
  <c r="S34" i="40"/>
  <c r="AB39" i="37"/>
  <c r="U39" i="37"/>
  <c r="U34" i="34"/>
  <c r="U31" i="35"/>
  <c r="W33" i="36"/>
  <c r="AC33" i="36"/>
  <c r="W28" i="36"/>
  <c r="F35" i="39"/>
  <c r="F45" i="39"/>
  <c r="BL587" i="3"/>
  <c r="AZ587" i="3" s="1"/>
  <c r="BA585" i="3"/>
  <c r="AZ585" i="3" s="1"/>
  <c r="J27" i="21"/>
  <c r="H27" i="21"/>
  <c r="J29" i="21"/>
  <c r="H29" i="21"/>
  <c r="J44" i="21"/>
  <c r="F44" i="21"/>
  <c r="H12" i="33"/>
  <c r="AB33" i="33"/>
  <c r="U33" i="33"/>
  <c r="AC39" i="33"/>
  <c r="W39" i="33"/>
  <c r="AC40" i="33"/>
  <c r="W40" i="33"/>
  <c r="H28" i="33"/>
  <c r="F28" i="33"/>
  <c r="J28" i="33"/>
  <c r="J26" i="33"/>
  <c r="H26" i="33"/>
  <c r="U12" i="35"/>
  <c r="AB12" i="35"/>
  <c r="F32" i="35"/>
  <c r="J24" i="35"/>
  <c r="H24" i="35"/>
  <c r="AB34" i="35"/>
  <c r="U34" i="35"/>
  <c r="U8" i="36"/>
  <c r="AB8" i="36"/>
  <c r="H13" i="37"/>
  <c r="J13" i="37"/>
  <c r="H27" i="37"/>
  <c r="F27" i="37"/>
  <c r="H40" i="37"/>
  <c r="J40" i="37"/>
  <c r="F40" i="37"/>
  <c r="H35" i="39"/>
  <c r="H44" i="39"/>
  <c r="F44" i="39"/>
  <c r="AC8" i="40"/>
  <c r="W8" i="40"/>
  <c r="AB9" i="40"/>
  <c r="U9" i="40"/>
  <c r="AB34" i="40"/>
  <c r="U34" i="40"/>
  <c r="AA40" i="40"/>
  <c r="S40" i="40"/>
  <c r="J31" i="40"/>
  <c r="H31" i="40"/>
  <c r="G81" i="39"/>
  <c r="H11" i="39"/>
  <c r="U11" i="39" s="1"/>
  <c r="AC41" i="33"/>
  <c r="W41" i="33"/>
  <c r="BA581" i="3"/>
  <c r="AZ581" i="3" s="1"/>
  <c r="BL578" i="3"/>
  <c r="BA578" i="3"/>
  <c r="BA577" i="3"/>
  <c r="BL576" i="3"/>
  <c r="AZ576" i="3" s="1"/>
  <c r="BA574" i="3"/>
  <c r="AZ574" i="3" s="1"/>
  <c r="BA573" i="3"/>
  <c r="BL570" i="3"/>
  <c r="BA570" i="3"/>
  <c r="BA569" i="3"/>
  <c r="BL568" i="3"/>
  <c r="AZ568" i="3" s="1"/>
  <c r="BA566" i="3"/>
  <c r="AZ566" i="3" s="1"/>
  <c r="BA551" i="3"/>
  <c r="AZ551" i="3" s="1"/>
  <c r="BL549" i="3"/>
  <c r="BA549" i="3"/>
  <c r="BL548" i="3"/>
  <c r="BA548" i="3"/>
  <c r="BL546" i="3"/>
  <c r="AZ546" i="3" s="1"/>
  <c r="BA545" i="3"/>
  <c r="AZ545" i="3" s="1"/>
  <c r="BA544" i="3"/>
  <c r="AZ544" i="3" s="1"/>
  <c r="BA542" i="3"/>
  <c r="AZ542" i="3" s="1"/>
  <c r="BL541" i="3"/>
  <c r="BA541" i="3"/>
  <c r="BL540" i="3"/>
  <c r="BA540" i="3"/>
  <c r="BL538" i="3"/>
  <c r="BA538" i="3"/>
  <c r="BA537" i="3"/>
  <c r="AZ537" i="3" s="1"/>
  <c r="BA536" i="3"/>
  <c r="AZ536" i="3" s="1"/>
  <c r="BA534" i="3"/>
  <c r="AZ534" i="3" s="1"/>
  <c r="BL533" i="3"/>
  <c r="BA533" i="3"/>
  <c r="BA532" i="3"/>
  <c r="AZ532" i="3" s="1"/>
  <c r="BL530" i="3"/>
  <c r="BA530" i="3"/>
  <c r="BA529" i="3"/>
  <c r="AZ529" i="3" s="1"/>
  <c r="BA526" i="3"/>
  <c r="AZ526" i="3" s="1"/>
  <c r="E19" i="83"/>
  <c r="E19" i="82"/>
  <c r="I4" i="6"/>
  <c r="G3" i="43" s="1"/>
  <c r="E101" i="43" s="1"/>
  <c r="E106" i="43" s="1"/>
  <c r="BC5" i="3"/>
  <c r="D78" i="9"/>
  <c r="D93" i="81"/>
  <c r="D78" i="81"/>
  <c r="D93" i="80"/>
  <c r="D78" i="80"/>
  <c r="AZ442" i="3"/>
  <c r="AZ446" i="3"/>
  <c r="AZ481" i="3"/>
  <c r="AZ487" i="3"/>
  <c r="AZ337" i="3"/>
  <c r="AZ320" i="3"/>
  <c r="AZ305" i="3"/>
  <c r="AZ376" i="3"/>
  <c r="AZ362" i="3"/>
  <c r="AZ341" i="3"/>
  <c r="AZ309" i="3"/>
  <c r="BL507" i="3"/>
  <c r="AZ507" i="3" s="1"/>
  <c r="BL511" i="3"/>
  <c r="AZ511" i="3" s="1"/>
  <c r="BL519" i="3"/>
  <c r="AZ519" i="3" s="1"/>
  <c r="BL527" i="3"/>
  <c r="AZ527" i="3" s="1"/>
  <c r="BL535" i="3"/>
  <c r="AZ535" i="3" s="1"/>
  <c r="BL543" i="3"/>
  <c r="AZ543" i="3" s="1"/>
  <c r="BL559" i="3"/>
  <c r="AZ559" i="3" s="1"/>
  <c r="BL565" i="3"/>
  <c r="BL569" i="3"/>
  <c r="BL573" i="3"/>
  <c r="BL577" i="3"/>
  <c r="BL583" i="3"/>
  <c r="AZ583" i="3" s="1"/>
  <c r="G557" i="3"/>
  <c r="BL586" i="3"/>
  <c r="AZ586" i="3" s="1"/>
  <c r="G570" i="3"/>
  <c r="G556" i="3"/>
  <c r="BL550" i="3"/>
  <c r="BA550" i="3"/>
  <c r="G13" i="3"/>
  <c r="BB5" i="3"/>
  <c r="E8" i="6" s="1"/>
  <c r="K6" i="1"/>
  <c r="M6" i="1" s="1"/>
  <c r="D3" i="88"/>
  <c r="BL15" i="3"/>
  <c r="AZ15" i="3" s="1"/>
  <c r="F34" i="83"/>
  <c r="F34" i="82"/>
  <c r="G41" i="69"/>
  <c r="G41" i="83"/>
  <c r="G22" i="83"/>
  <c r="G41" i="82"/>
  <c r="G22" i="82"/>
  <c r="A15" i="62"/>
  <c r="B61" i="72" s="1"/>
  <c r="G398" i="3"/>
  <c r="BL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AZ455" i="3" s="1"/>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AZ40" i="3"/>
  <c r="BA41" i="3"/>
  <c r="AZ41" i="3" s="1"/>
  <c r="BA42" i="3"/>
  <c r="AZ42" i="3" s="1"/>
  <c r="BA43" i="3"/>
  <c r="AZ43" i="3" s="1"/>
  <c r="BL45" i="3"/>
  <c r="AZ45" i="3" s="1"/>
  <c r="BA46" i="3"/>
  <c r="AZ46" i="3" s="1"/>
  <c r="BA47" i="3"/>
  <c r="AZ47" i="3" s="1"/>
  <c r="H19" i="21"/>
  <c r="D31" i="71"/>
  <c r="T31" i="71"/>
  <c r="D49" i="71"/>
  <c r="C50" i="7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BL215" i="3"/>
  <c r="AZ215" i="3" s="1"/>
  <c r="BA216" i="3"/>
  <c r="AZ216" i="3" s="1"/>
  <c r="BL218" i="3"/>
  <c r="AZ218" i="3" s="1"/>
  <c r="G220" i="3"/>
  <c r="BL220" i="3"/>
  <c r="AZ220"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BA251" i="3"/>
  <c r="AZ251" i="3" s="1"/>
  <c r="BL253" i="3"/>
  <c r="AZ253" i="3" s="1"/>
  <c r="G256"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AZ276" i="3" s="1"/>
  <c r="G277" i="3"/>
  <c r="BL277" i="3"/>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AZ121" i="3" s="1"/>
  <c r="BA122" i="3"/>
  <c r="AZ122" i="3" s="1"/>
  <c r="BL123" i="3"/>
  <c r="AZ123" i="3" s="1"/>
  <c r="BA125" i="3"/>
  <c r="AZ125" i="3" s="1"/>
  <c r="G128" i="3"/>
  <c r="BL130" i="3"/>
  <c r="AZ130" i="3" s="1"/>
  <c r="BA132" i="3"/>
  <c r="AZ132" i="3" s="1"/>
  <c r="G134" i="3"/>
  <c r="BL134" i="3"/>
  <c r="BA136" i="3"/>
  <c r="AZ136" i="3" s="1"/>
  <c r="BL137" i="3"/>
  <c r="AZ137" i="3" s="1"/>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Y25" i="71"/>
  <c r="Z25" i="71" s="1"/>
  <c r="Y24" i="71"/>
  <c r="Z24" i="71" s="1"/>
  <c r="AA28" i="71"/>
  <c r="AA25" i="71"/>
  <c r="AA26" i="71"/>
  <c r="AA27" i="71"/>
  <c r="S63" i="71"/>
  <c r="N63" i="71"/>
  <c r="P63" i="71"/>
  <c r="U63" i="71"/>
  <c r="T67" i="71"/>
  <c r="C66" i="71"/>
  <c r="D67" i="71"/>
  <c r="U71" i="71"/>
  <c r="E70" i="71"/>
  <c r="E69" i="71" s="1"/>
  <c r="AB21" i="71"/>
  <c r="Y22" i="71"/>
  <c r="Z22" i="71" s="1"/>
  <c r="P61" i="67"/>
  <c r="P74" i="67"/>
  <c r="Y20" i="71"/>
  <c r="Z20" i="71" s="1"/>
  <c r="AA3" i="71"/>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C7" i="88"/>
  <c r="M47" i="81"/>
  <c r="M47" i="80"/>
  <c r="E59" i="43"/>
  <c r="B57" i="43" s="1"/>
  <c r="I15" i="66"/>
  <c r="D1" i="66" s="1"/>
  <c r="E10" i="66" s="1"/>
  <c r="C32" i="66"/>
  <c r="E26" i="66" s="1"/>
  <c r="W21" i="33"/>
  <c r="U21" i="34"/>
  <c r="W18" i="36"/>
  <c r="AB29" i="39"/>
  <c r="S21" i="34"/>
  <c r="S25" i="40"/>
  <c r="O60" i="71"/>
  <c r="D46" i="71"/>
  <c r="D70" i="71"/>
  <c r="D58" i="71"/>
  <c r="D23" i="71"/>
  <c r="U23" i="71" s="1"/>
  <c r="AB23" i="71"/>
  <c r="T23" i="71"/>
  <c r="E74" i="71"/>
  <c r="E73" i="71" s="1"/>
  <c r="E62" i="71"/>
  <c r="E23" i="71"/>
  <c r="AA23" i="71"/>
  <c r="D29" i="71"/>
  <c r="X22" i="71"/>
  <c r="Y21" i="71"/>
  <c r="Z21" i="71" s="1"/>
  <c r="X27" i="71"/>
  <c r="AB24" i="71"/>
  <c r="E29" i="71"/>
  <c r="E30" i="71" s="1"/>
  <c r="E31" i="71" s="1"/>
  <c r="U31" i="71" s="1"/>
  <c r="X24" i="71"/>
  <c r="X23" i="71"/>
  <c r="X25" i="71"/>
  <c r="D33" i="71"/>
  <c r="C34" i="71"/>
  <c r="B62" i="71"/>
  <c r="B74" i="71"/>
  <c r="B73" i="71" s="1"/>
  <c r="AJ12" i="43"/>
  <c r="AJ10" i="43"/>
  <c r="M56" i="81"/>
  <c r="J56" i="81"/>
  <c r="J57" i="81" s="1"/>
  <c r="J59" i="81" s="1"/>
  <c r="J61" i="81" s="1"/>
  <c r="M56" i="80"/>
  <c r="J56" i="80"/>
  <c r="J57" i="80" s="1"/>
  <c r="J59" i="80" s="1"/>
  <c r="J61" i="80" s="1"/>
  <c r="N56" i="81"/>
  <c r="K56" i="81"/>
  <c r="N56" i="80"/>
  <c r="K56" i="80"/>
  <c r="M56" i="9"/>
  <c r="X21" i="71"/>
  <c r="AA21" i="71"/>
  <c r="AB20" i="71"/>
  <c r="B21" i="71"/>
  <c r="F26" i="71"/>
  <c r="F27" i="71" s="1"/>
  <c r="V27" i="71" s="1"/>
  <c r="F30" i="71"/>
  <c r="F31" i="71" s="1"/>
  <c r="V31" i="71" s="1"/>
  <c r="Y29" i="71"/>
  <c r="Z29" i="71" s="1"/>
  <c r="B46" i="71"/>
  <c r="B47" i="71" s="1"/>
  <c r="S47" i="71" s="1"/>
  <c r="E17" i="71"/>
  <c r="E16" i="71" s="1"/>
  <c r="E15" i="71" s="1"/>
  <c r="H60" i="43"/>
  <c r="H67" i="43"/>
  <c r="H63" i="43"/>
  <c r="H65" i="43"/>
  <c r="E7" i="12"/>
  <c r="D3" i="35"/>
  <c r="G1" i="68"/>
  <c r="G1" i="83"/>
  <c r="G1" i="82"/>
  <c r="AC33" i="21"/>
  <c r="S31" i="35"/>
  <c r="AC31" i="35"/>
  <c r="AA36" i="35"/>
  <c r="AC15" i="21"/>
  <c r="G123" i="21"/>
  <c r="H123" i="21" s="1"/>
  <c r="I123" i="21" s="1"/>
  <c r="J123" i="21" s="1"/>
  <c r="K123" i="21" s="1"/>
  <c r="L123" i="21" s="1"/>
  <c r="M123" i="21" s="1"/>
  <c r="J42" i="21"/>
  <c r="AC42" i="21" s="1"/>
  <c r="AC35" i="21"/>
  <c r="U32" i="21"/>
  <c r="W23" i="21"/>
  <c r="AC21" i="21"/>
  <c r="U21" i="21"/>
  <c r="W42" i="21"/>
  <c r="H42" i="21"/>
  <c r="F42" i="21"/>
  <c r="AA42" i="21" s="1"/>
  <c r="F32" i="21"/>
  <c r="AA32" i="21" s="1"/>
  <c r="H113" i="21"/>
  <c r="H37" i="21"/>
  <c r="F37" i="21"/>
  <c r="J37" i="21"/>
  <c r="W37" i="21" s="1"/>
  <c r="W32" i="21"/>
  <c r="S35" i="21"/>
  <c r="AC34" i="21"/>
  <c r="AA10" i="21"/>
  <c r="AB9" i="21"/>
  <c r="S28" i="35"/>
  <c r="U28" i="35"/>
  <c r="W28" i="35"/>
  <c r="AB27" i="35"/>
  <c r="AC27" i="35"/>
  <c r="J33" i="35"/>
  <c r="AA33" i="35"/>
  <c r="U30" i="35"/>
  <c r="H87" i="35"/>
  <c r="I87" i="35" s="1"/>
  <c r="J87" i="35" s="1"/>
  <c r="K87" i="35" s="1"/>
  <c r="L87" i="35" s="1"/>
  <c r="M87" i="35" s="1"/>
  <c r="H29" i="35"/>
  <c r="J29" i="35"/>
  <c r="F29" i="35"/>
  <c r="AC20" i="35"/>
  <c r="S18" i="35"/>
  <c r="W16" i="35"/>
  <c r="S14" i="35"/>
  <c r="AB26" i="35"/>
  <c r="S26" i="35"/>
  <c r="AC9" i="35"/>
  <c r="AC8" i="35"/>
  <c r="H9" i="35"/>
  <c r="AC10" i="35"/>
  <c r="AA10" i="35"/>
  <c r="E32" i="6"/>
  <c r="H5" i="3"/>
  <c r="M8" i="1"/>
  <c r="K7" i="1"/>
  <c r="M18" i="80"/>
  <c r="B118" i="80" s="1"/>
  <c r="M18" i="81"/>
  <c r="B118" i="81" s="1"/>
  <c r="AB11" i="39"/>
  <c r="F124" i="39"/>
  <c r="G124" i="39" s="1"/>
  <c r="F41" i="39"/>
  <c r="S41" i="39" s="1"/>
  <c r="J32" i="39"/>
  <c r="F32" i="39"/>
  <c r="J15" i="39"/>
  <c r="F15" i="39"/>
  <c r="W14" i="39"/>
  <c r="U38" i="39"/>
  <c r="G109" i="39"/>
  <c r="F34" i="39"/>
  <c r="AA34" i="39" s="1"/>
  <c r="H76" i="43"/>
  <c r="AB23" i="39"/>
  <c r="AA21" i="39"/>
  <c r="U17" i="39"/>
  <c r="G12" i="1"/>
  <c r="G10" i="1"/>
  <c r="G7" i="1"/>
  <c r="G11" i="1"/>
  <c r="G9" i="1"/>
  <c r="S9" i="39"/>
  <c r="W9" i="39"/>
  <c r="U9" i="39"/>
  <c r="AB32" i="39"/>
  <c r="W39" i="39"/>
  <c r="AA39" i="39"/>
  <c r="S38" i="39"/>
  <c r="S14" i="39"/>
  <c r="U21" i="39"/>
  <c r="AB8" i="39"/>
  <c r="AB14" i="39"/>
  <c r="U14" i="39"/>
  <c r="AA13" i="39"/>
  <c r="AC13" i="39"/>
  <c r="AC26" i="35"/>
  <c r="A24" i="51"/>
  <c r="B18" i="72" s="1"/>
  <c r="C51" i="10"/>
  <c r="A13" i="51" s="1"/>
  <c r="B11" i="72" s="1"/>
  <c r="A118" i="81"/>
  <c r="A2" i="81"/>
  <c r="A118" i="80"/>
  <c r="A2" i="80"/>
  <c r="F32" i="67"/>
  <c r="F60" i="67" s="1"/>
  <c r="F28" i="15"/>
  <c r="C28" i="15" s="1"/>
  <c r="F28" i="67"/>
  <c r="D68" i="9"/>
  <c r="F32" i="15"/>
  <c r="F60" i="15" s="1"/>
  <c r="F52" i="9"/>
  <c r="F30" i="68"/>
  <c r="F54" i="9"/>
  <c r="M18" i="15"/>
  <c r="F30" i="69"/>
  <c r="C48" i="69" s="1"/>
  <c r="M18" i="67"/>
  <c r="F31" i="12"/>
  <c r="C31" i="12" s="1"/>
  <c r="F30" i="11"/>
  <c r="C48" i="11" s="1"/>
  <c r="F53" i="9"/>
  <c r="C40" i="69"/>
  <c r="C21" i="69"/>
  <c r="D22" i="67"/>
  <c r="G8" i="1"/>
  <c r="G6" i="1"/>
  <c r="T12" i="1"/>
  <c r="E5" i="6"/>
  <c r="D9" i="69" s="1"/>
  <c r="C9" i="69" s="1"/>
  <c r="BA13" i="3"/>
  <c r="BA5" i="3" s="1"/>
  <c r="E27" i="6" s="1"/>
  <c r="G1" i="67"/>
  <c r="G1" i="15"/>
  <c r="T9" i="1"/>
  <c r="T10" i="1"/>
  <c r="AR12" i="1"/>
  <c r="H101" i="43"/>
  <c r="H103" i="43" s="1"/>
  <c r="AI11" i="43"/>
  <c r="AI13" i="43" s="1"/>
  <c r="F27" i="6"/>
  <c r="E51" i="40"/>
  <c r="E2" i="70"/>
  <c r="T13" i="1"/>
  <c r="AQ9" i="1"/>
  <c r="AR10" i="1"/>
  <c r="E10" i="6"/>
  <c r="O10" i="1"/>
  <c r="P10" i="1" s="1"/>
  <c r="E56" i="39"/>
  <c r="AC11" i="43"/>
  <c r="F22" i="43"/>
  <c r="E22" i="43"/>
  <c r="K101" i="43"/>
  <c r="G101" i="43"/>
  <c r="J101" i="43"/>
  <c r="N104" i="46"/>
  <c r="L101" i="43"/>
  <c r="D101" i="43"/>
  <c r="I101" i="43"/>
  <c r="G22" i="43"/>
  <c r="AJ11" i="43"/>
  <c r="AJ13" i="43" s="1"/>
  <c r="AH11" i="43"/>
  <c r="AD11" i="43"/>
  <c r="Z11" i="43"/>
  <c r="AE11" i="43"/>
  <c r="AE13" i="43" s="1"/>
  <c r="AA11" i="43"/>
  <c r="AA13" i="43" s="1"/>
  <c r="Y11" i="43"/>
  <c r="Y13" i="43" s="1"/>
  <c r="J22" i="43"/>
  <c r="H22" i="43"/>
  <c r="M11" i="1"/>
  <c r="O11" i="1" s="1"/>
  <c r="P11" i="1" s="1"/>
  <c r="AG11" i="43"/>
  <c r="Z7" i="43"/>
  <c r="AF11" i="43"/>
  <c r="M101" i="43"/>
  <c r="AR11" i="1"/>
  <c r="T11" i="1"/>
  <c r="AQ13" i="1"/>
  <c r="N2" i="43"/>
  <c r="N7" i="43"/>
  <c r="M8" i="43"/>
  <c r="M2" i="43"/>
  <c r="N11" i="43"/>
  <c r="M5" i="43"/>
  <c r="M12" i="43"/>
  <c r="M9" i="43"/>
  <c r="N3" i="43"/>
  <c r="H78" i="43"/>
  <c r="M1" i="43"/>
  <c r="M11" i="43"/>
  <c r="E17" i="43"/>
  <c r="O17" i="43"/>
  <c r="N17" i="43"/>
  <c r="H74" i="43"/>
  <c r="H70" i="43"/>
  <c r="H77" i="43"/>
  <c r="H72" i="43"/>
  <c r="F38" i="43"/>
  <c r="C6" i="43"/>
  <c r="F34" i="43"/>
  <c r="F33" i="43"/>
  <c r="H71" i="43"/>
  <c r="H84" i="43"/>
  <c r="H85" i="43"/>
  <c r="H82" i="43"/>
  <c r="F35" i="43"/>
  <c r="F39" i="43"/>
  <c r="F36" i="43"/>
  <c r="A118" i="9"/>
  <c r="A2" i="9"/>
  <c r="A4" i="52"/>
  <c r="B41" i="72" s="1"/>
  <c r="D68" i="39"/>
  <c r="B34" i="72"/>
  <c r="D17" i="53"/>
  <c r="B36" i="72" s="1"/>
  <c r="G30" i="6"/>
  <c r="G31" i="6" s="1"/>
  <c r="AZ503" i="3"/>
  <c r="BL5" i="3"/>
  <c r="E14" i="71"/>
  <c r="E13" i="71" s="1"/>
  <c r="E12" i="71" s="1"/>
  <c r="E11" i="71" s="1"/>
  <c r="V15" i="71"/>
  <c r="D124" i="9"/>
  <c r="P6" i="1"/>
  <c r="O12" i="1"/>
  <c r="AZ557" i="3"/>
  <c r="AZ567" i="3"/>
  <c r="AZ571" i="3"/>
  <c r="AZ575" i="3"/>
  <c r="AZ579" i="3"/>
  <c r="S13" i="35"/>
  <c r="AA13" i="35"/>
  <c r="U30" i="21"/>
  <c r="AB30" i="21"/>
  <c r="AB14" i="37"/>
  <c r="U14" i="37"/>
  <c r="AC32" i="40"/>
  <c r="W32" i="40"/>
  <c r="AB27" i="36"/>
  <c r="U12" i="39"/>
  <c r="AA27" i="40"/>
  <c r="AA34" i="33"/>
  <c r="H75" i="43"/>
  <c r="U31" i="34"/>
  <c r="W31" i="34"/>
  <c r="S38" i="40"/>
  <c r="AA38" i="40"/>
  <c r="AZ405" i="3"/>
  <c r="AZ407" i="3"/>
  <c r="AZ410" i="3"/>
  <c r="AZ415" i="3"/>
  <c r="AZ421" i="3"/>
  <c r="AZ430" i="3"/>
  <c r="AZ440" i="3"/>
  <c r="AZ449" i="3"/>
  <c r="AZ453" i="3"/>
  <c r="AZ460" i="3"/>
  <c r="AZ471" i="3"/>
  <c r="AZ211" i="3"/>
  <c r="S28" i="34"/>
  <c r="S41" i="33"/>
  <c r="AB23" i="34"/>
  <c r="U33" i="35"/>
  <c r="S34" i="21"/>
  <c r="W33" i="33"/>
  <c r="U35" i="33"/>
  <c r="S9" i="33"/>
  <c r="F26" i="33"/>
  <c r="H12" i="21"/>
  <c r="J12" i="21"/>
  <c r="J23" i="35"/>
  <c r="H12" i="36"/>
  <c r="H24" i="36"/>
  <c r="H38" i="40"/>
  <c r="J38" i="40"/>
  <c r="H39" i="40"/>
  <c r="AZ425" i="3"/>
  <c r="AZ432" i="3"/>
  <c r="AZ464" i="3"/>
  <c r="AZ467" i="3"/>
  <c r="AZ474" i="3"/>
  <c r="AZ480" i="3"/>
  <c r="AZ482" i="3"/>
  <c r="AZ486" i="3"/>
  <c r="AZ488" i="3"/>
  <c r="AZ225" i="3"/>
  <c r="AZ239" i="3"/>
  <c r="AZ272" i="3"/>
  <c r="AZ277" i="3"/>
  <c r="AZ289" i="3"/>
  <c r="AZ294" i="3"/>
  <c r="AZ300" i="3"/>
  <c r="AZ118" i="3"/>
  <c r="AZ134" i="3"/>
  <c r="AZ145" i="3"/>
  <c r="AZ177" i="3"/>
  <c r="AZ34" i="3"/>
  <c r="AZ44" i="3"/>
  <c r="AZ48" i="3"/>
  <c r="AZ60" i="3"/>
  <c r="AZ64" i="3"/>
  <c r="AZ78" i="3"/>
  <c r="AZ91" i="3"/>
  <c r="AZ108" i="3"/>
  <c r="M100" i="43"/>
  <c r="I100" i="43"/>
  <c r="E100" i="43"/>
  <c r="D100" i="43"/>
  <c r="C40" i="68"/>
  <c r="C21" i="68"/>
  <c r="AA5" i="71"/>
  <c r="AA34" i="71"/>
  <c r="V63" i="71"/>
  <c r="F62" i="71"/>
  <c r="X16" i="71"/>
  <c r="AA13" i="71"/>
  <c r="X13" i="71"/>
  <c r="D22" i="71"/>
  <c r="AB22" i="71"/>
  <c r="S23" i="71"/>
  <c r="AA24" i="71"/>
  <c r="Y27" i="71"/>
  <c r="Z27" i="71" s="1"/>
  <c r="AB27" i="71"/>
  <c r="Y30" i="71"/>
  <c r="Z30" i="71" s="1"/>
  <c r="Y31" i="71"/>
  <c r="Z31" i="71" s="1"/>
  <c r="Y5" i="71"/>
  <c r="Z5" i="71" s="1"/>
  <c r="Y34" i="71"/>
  <c r="Z34" i="71" s="1"/>
  <c r="V75" i="71"/>
  <c r="F74" i="71"/>
  <c r="F73" i="71" s="1"/>
  <c r="Z12" i="43"/>
  <c r="Z10" i="43"/>
  <c r="AD12" i="43"/>
  <c r="AD10" i="43"/>
  <c r="AF12" i="43"/>
  <c r="AF10" i="43"/>
  <c r="AH12" i="43"/>
  <c r="AH10" i="43"/>
  <c r="Y16" i="71"/>
  <c r="Z16" i="71" s="1"/>
  <c r="X5" i="71"/>
  <c r="AC12" i="43"/>
  <c r="AC10" i="43"/>
  <c r="AG12" i="43"/>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D23" i="67"/>
  <c r="G25" i="12"/>
  <c r="G41" i="11"/>
  <c r="G27" i="12"/>
  <c r="G41" i="68"/>
  <c r="K59" i="34"/>
  <c r="J46" i="36"/>
  <c r="E52" i="37"/>
  <c r="D63"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B10" i="70"/>
  <c r="B6" i="70"/>
  <c r="K1" i="73"/>
  <c r="B20" i="31"/>
  <c r="B21" i="31" s="1"/>
  <c r="I1" i="73"/>
  <c r="B39" i="1" s="1"/>
  <c r="B12" i="70"/>
  <c r="B7" i="70"/>
  <c r="B11" i="70"/>
  <c r="B8" i="70"/>
  <c r="B9" i="70"/>
  <c r="B13" i="70"/>
  <c r="F40" i="15"/>
  <c r="M26" i="67"/>
  <c r="L47" i="15"/>
  <c r="D4" i="73"/>
  <c r="C36" i="68"/>
  <c r="M22" i="67"/>
  <c r="M21" i="67"/>
  <c r="M29" i="67"/>
  <c r="J15" i="67"/>
  <c r="F41" i="67"/>
  <c r="F36" i="67"/>
  <c r="F6" i="15"/>
  <c r="M8" i="67"/>
  <c r="M24" i="67"/>
  <c r="F27" i="82"/>
  <c r="J15" i="15"/>
  <c r="F9" i="67"/>
  <c r="D9" i="82"/>
  <c r="D9" i="83"/>
  <c r="F43" i="15"/>
  <c r="M28" i="67"/>
  <c r="C36" i="82"/>
  <c r="M27" i="67"/>
  <c r="F37" i="15"/>
  <c r="D6" i="73"/>
  <c r="L47" i="67"/>
  <c r="F26" i="15"/>
  <c r="M6" i="67"/>
  <c r="C36" i="83"/>
  <c r="F13" i="67"/>
  <c r="F40" i="67"/>
  <c r="F13" i="15"/>
  <c r="F42" i="67"/>
  <c r="F8" i="15"/>
  <c r="F37" i="67"/>
  <c r="F43" i="67"/>
  <c r="F6" i="67"/>
  <c r="F26" i="67"/>
  <c r="F16" i="67"/>
  <c r="G1" i="73"/>
  <c r="M27" i="15"/>
  <c r="M23" i="15"/>
  <c r="F27" i="83"/>
  <c r="F8" i="67"/>
  <c r="M26" i="15"/>
  <c r="M23" i="67"/>
  <c r="C76" i="67"/>
  <c r="L48" i="67"/>
  <c r="F35" i="67"/>
  <c r="D9" i="68"/>
  <c r="F42" i="15"/>
  <c r="F36" i="15"/>
  <c r="C76" i="15"/>
  <c r="F38" i="67"/>
  <c r="M9" i="67"/>
  <c r="F7" i="67"/>
  <c r="M8" i="15"/>
  <c r="F9" i="15"/>
  <c r="C13" i="12" l="1"/>
  <c r="C28" i="67"/>
  <c r="C77" i="81"/>
  <c r="C74" i="81" s="1"/>
  <c r="C101" i="43"/>
  <c r="N101" i="43"/>
  <c r="N102" i="43" s="1"/>
  <c r="B113" i="43"/>
  <c r="F101" i="43"/>
  <c r="F104" i="43" s="1"/>
  <c r="AB11" i="43"/>
  <c r="AB13" i="43" s="1"/>
  <c r="F30" i="6"/>
  <c r="E28" i="6"/>
  <c r="AZ462" i="3"/>
  <c r="AZ530" i="3"/>
  <c r="AZ533" i="3"/>
  <c r="AZ538" i="3"/>
  <c r="AZ540" i="3"/>
  <c r="AZ548" i="3"/>
  <c r="AZ549" i="3"/>
  <c r="AZ570" i="3"/>
  <c r="AZ573" i="3"/>
  <c r="AZ578" i="3"/>
  <c r="AZ68" i="3"/>
  <c r="AZ39" i="3"/>
  <c r="AZ35" i="3"/>
  <c r="D78" i="71"/>
  <c r="C77" i="71"/>
  <c r="D77" i="71" s="1"/>
  <c r="D59" i="71"/>
  <c r="T59" i="71"/>
  <c r="C27" i="71"/>
  <c r="D26" i="71"/>
  <c r="AZ194" i="3"/>
  <c r="AZ189" i="3"/>
  <c r="AZ138" i="3"/>
  <c r="AZ126" i="3"/>
  <c r="AZ113" i="3"/>
  <c r="AZ297" i="3"/>
  <c r="AZ295" i="3"/>
  <c r="AZ228" i="3"/>
  <c r="AZ317" i="3"/>
  <c r="AZ428" i="3"/>
  <c r="AA26" i="37"/>
  <c r="S26" i="37"/>
  <c r="W19" i="21"/>
  <c r="AC19" i="21"/>
  <c r="AA46" i="21"/>
  <c r="S46" i="21"/>
  <c r="AB35" i="35"/>
  <c r="U35" i="35"/>
  <c r="AB32" i="40"/>
  <c r="U32" i="40"/>
  <c r="U12" i="37"/>
  <c r="AB12" i="37"/>
  <c r="F31" i="6"/>
  <c r="L19" i="6"/>
  <c r="L27" i="6" s="1"/>
  <c r="E29" i="6"/>
  <c r="K15" i="1" s="1"/>
  <c r="C39" i="71"/>
  <c r="D38" i="71"/>
  <c r="AB26" i="37"/>
  <c r="U26" i="37"/>
  <c r="AA19" i="21"/>
  <c r="S19" i="21"/>
  <c r="AA24" i="36"/>
  <c r="S24" i="36"/>
  <c r="S31" i="34"/>
  <c r="AA31" i="34"/>
  <c r="S38" i="37"/>
  <c r="AA38" i="37"/>
  <c r="U33" i="40"/>
  <c r="AB33" i="40"/>
  <c r="S12" i="37"/>
  <c r="AA12" i="37"/>
  <c r="AB23" i="21"/>
  <c r="U23" i="21"/>
  <c r="K46" i="36"/>
  <c r="L59" i="34"/>
  <c r="F52" i="37"/>
  <c r="G52" i="37" s="1"/>
  <c r="H52" i="37" s="1"/>
  <c r="I52" i="37" s="1"/>
  <c r="J52" i="37" s="1"/>
  <c r="K52" i="37" s="1"/>
  <c r="L52" i="37" s="1"/>
  <c r="M52" i="37" s="1"/>
  <c r="N52" i="37" s="1"/>
  <c r="O52" i="37" s="1"/>
  <c r="W15" i="39"/>
  <c r="AC15" i="39"/>
  <c r="W32" i="39"/>
  <c r="AC32" i="39"/>
  <c r="O6" i="1"/>
  <c r="C36" i="11"/>
  <c r="G5" i="3"/>
  <c r="B3" i="3" s="1"/>
  <c r="E15" i="6"/>
  <c r="E11" i="6"/>
  <c r="E61" i="39" s="1"/>
  <c r="E12" i="6"/>
  <c r="H81" i="39"/>
  <c r="J11" i="39"/>
  <c r="AC31" i="40"/>
  <c r="W31" i="40"/>
  <c r="U44" i="39"/>
  <c r="AB44" i="39"/>
  <c r="AA40" i="37"/>
  <c r="S40" i="37"/>
  <c r="U40" i="37"/>
  <c r="AB40" i="37"/>
  <c r="U27" i="37"/>
  <c r="AB27" i="37"/>
  <c r="AB13" i="37"/>
  <c r="U13" i="37"/>
  <c r="AC24" i="35"/>
  <c r="W24" i="35"/>
  <c r="U26" i="33"/>
  <c r="AB26" i="33"/>
  <c r="W28" i="33"/>
  <c r="AC28" i="33"/>
  <c r="U28" i="33"/>
  <c r="AB28" i="33"/>
  <c r="AA44" i="21"/>
  <c r="S44" i="21"/>
  <c r="U29" i="21"/>
  <c r="AB29" i="21"/>
  <c r="AB27" i="21"/>
  <c r="U27" i="21"/>
  <c r="S45" i="39"/>
  <c r="AA45" i="39"/>
  <c r="S27" i="39"/>
  <c r="AA27" i="39"/>
  <c r="W14" i="33"/>
  <c r="AC14" i="33"/>
  <c r="AC47" i="34"/>
  <c r="W47" i="34"/>
  <c r="AB14" i="40"/>
  <c r="U14" i="40"/>
  <c r="U15" i="39"/>
  <c r="AB15" i="39"/>
  <c r="W27" i="36"/>
  <c r="AC27" i="36"/>
  <c r="AB12" i="40"/>
  <c r="U12" i="40"/>
  <c r="AC27" i="39"/>
  <c r="W27" i="39"/>
  <c r="W45" i="39"/>
  <c r="AC45" i="39"/>
  <c r="U43" i="39"/>
  <c r="AB43" i="39"/>
  <c r="U13" i="39"/>
  <c r="AB13" i="39"/>
  <c r="AA25" i="37"/>
  <c r="S25" i="37"/>
  <c r="U25" i="37"/>
  <c r="AB25" i="37"/>
  <c r="AB9" i="37"/>
  <c r="U9" i="37"/>
  <c r="AA12" i="36"/>
  <c r="S12" i="36"/>
  <c r="AA23" i="35"/>
  <c r="S23" i="35"/>
  <c r="U13" i="35"/>
  <c r="AB13" i="35"/>
  <c r="S45" i="34"/>
  <c r="AA45" i="34"/>
  <c r="AB29" i="34"/>
  <c r="U29" i="34"/>
  <c r="AA13" i="34"/>
  <c r="S13" i="34"/>
  <c r="U13" i="34"/>
  <c r="AB13" i="34"/>
  <c r="AA46" i="33"/>
  <c r="S46" i="33"/>
  <c r="AA44" i="33"/>
  <c r="S44" i="33"/>
  <c r="W30" i="33"/>
  <c r="AC30" i="33"/>
  <c r="W14" i="35"/>
  <c r="AC14" i="35"/>
  <c r="S11" i="21"/>
  <c r="AA11" i="21"/>
  <c r="AB17" i="21"/>
  <c r="U17" i="21"/>
  <c r="F48" i="83"/>
  <c r="C30" i="83"/>
  <c r="C48" i="83"/>
  <c r="E13" i="3"/>
  <c r="E14" i="6"/>
  <c r="E64" i="39" s="1"/>
  <c r="E13" i="6"/>
  <c r="AP6" i="1"/>
  <c r="C36" i="69" s="1"/>
  <c r="W32" i="35"/>
  <c r="C35" i="71"/>
  <c r="D34" i="71"/>
  <c r="V23" i="71"/>
  <c r="E22" i="71"/>
  <c r="E21" i="71" s="1"/>
  <c r="E97" i="3"/>
  <c r="H16" i="1"/>
  <c r="B61" i="71"/>
  <c r="N62" i="71"/>
  <c r="P62" i="71"/>
  <c r="E61" i="71"/>
  <c r="C58" i="88"/>
  <c r="D58" i="88" s="1"/>
  <c r="E58" i="88" s="1"/>
  <c r="F58" i="88" s="1"/>
  <c r="G58" i="88" s="1"/>
  <c r="H58" i="88" s="1"/>
  <c r="I58" i="88" s="1"/>
  <c r="J58" i="88" s="1"/>
  <c r="K58" i="88" s="1"/>
  <c r="L58" i="88" s="1"/>
  <c r="M58" i="88" s="1"/>
  <c r="N58" i="88" s="1"/>
  <c r="O58" i="88" s="1"/>
  <c r="G7" i="88"/>
  <c r="H7" i="88" s="1"/>
  <c r="I7" i="88"/>
  <c r="J7" i="88" s="1"/>
  <c r="E7" i="88"/>
  <c r="F7" i="88" s="1"/>
  <c r="C65" i="71"/>
  <c r="D65" i="71" s="1"/>
  <c r="D66" i="71"/>
  <c r="C51" i="71"/>
  <c r="D50" i="71"/>
  <c r="U19" i="21"/>
  <c r="AB19" i="21"/>
  <c r="AZ458" i="3"/>
  <c r="AZ443" i="3"/>
  <c r="AZ550" i="3"/>
  <c r="AZ541" i="3"/>
  <c r="AZ569" i="3"/>
  <c r="AZ577" i="3"/>
  <c r="U31" i="40"/>
  <c r="AB31" i="40"/>
  <c r="AA44" i="39"/>
  <c r="S44" i="39"/>
  <c r="AB35" i="39"/>
  <c r="U35" i="39"/>
  <c r="W40" i="37"/>
  <c r="AC40" i="37"/>
  <c r="AA27" i="37"/>
  <c r="S27" i="37"/>
  <c r="W13" i="37"/>
  <c r="AC13" i="37"/>
  <c r="AB24" i="35"/>
  <c r="U24" i="35"/>
  <c r="AA32" i="35"/>
  <c r="S32" i="35"/>
  <c r="AC26" i="33"/>
  <c r="W26" i="33"/>
  <c r="AA28" i="33"/>
  <c r="S28" i="33"/>
  <c r="U12" i="33"/>
  <c r="AB12" i="33"/>
  <c r="AC44" i="21"/>
  <c r="W44" i="21"/>
  <c r="AC29" i="21"/>
  <c r="W29" i="21"/>
  <c r="W27" i="21"/>
  <c r="AC27" i="21"/>
  <c r="AA35" i="39"/>
  <c r="S35" i="39"/>
  <c r="W31" i="39"/>
  <c r="AC31" i="39"/>
  <c r="W28" i="34"/>
  <c r="AC28" i="34"/>
  <c r="AB44" i="33"/>
  <c r="U44" i="33"/>
  <c r="W45" i="34"/>
  <c r="AC45" i="34"/>
  <c r="AA43" i="39"/>
  <c r="S43" i="39"/>
  <c r="S15" i="21"/>
  <c r="AA15" i="21"/>
  <c r="AA20" i="35"/>
  <c r="S20" i="35"/>
  <c r="AA27" i="36"/>
  <c r="S27" i="36"/>
  <c r="AZ494" i="3"/>
  <c r="AZ505" i="3"/>
  <c r="AZ522" i="3"/>
  <c r="AZ552" i="3"/>
  <c r="AZ555" i="3"/>
  <c r="AZ558" i="3"/>
  <c r="AZ562" i="3"/>
  <c r="AZ565" i="3"/>
  <c r="AC12" i="40"/>
  <c r="W12" i="40"/>
  <c r="F101" i="39"/>
  <c r="G101" i="39" s="1"/>
  <c r="H27" i="39"/>
  <c r="AB45" i="39"/>
  <c r="U45" i="39"/>
  <c r="W43" i="39"/>
  <c r="AC43" i="39"/>
  <c r="W25" i="37"/>
  <c r="AC25" i="37"/>
  <c r="S9" i="37"/>
  <c r="AA9" i="37"/>
  <c r="AC9" i="37"/>
  <c r="W9" i="37"/>
  <c r="AC12" i="36"/>
  <c r="W12" i="36"/>
  <c r="U23" i="35"/>
  <c r="AB23" i="35"/>
  <c r="U45" i="34"/>
  <c r="AB45" i="34"/>
  <c r="W29" i="34"/>
  <c r="AC29" i="34"/>
  <c r="W13" i="34"/>
  <c r="AC13" i="34"/>
  <c r="U46" i="33"/>
  <c r="AB46" i="33"/>
  <c r="AC46" i="33"/>
  <c r="W46" i="33"/>
  <c r="W44" i="33"/>
  <c r="AC44" i="33"/>
  <c r="AB30" i="33"/>
  <c r="U30" i="33"/>
  <c r="AB32" i="35"/>
  <c r="U32" i="35"/>
  <c r="AB14" i="35"/>
  <c r="U14" i="35"/>
  <c r="F69" i="21"/>
  <c r="H11" i="21"/>
  <c r="D121" i="9"/>
  <c r="D7" i="52" s="1"/>
  <c r="D6" i="52"/>
  <c r="F48" i="82"/>
  <c r="C30" i="82"/>
  <c r="C48" i="82"/>
  <c r="E59" i="40"/>
  <c r="G35" i="6"/>
  <c r="F45" i="83"/>
  <c r="C47" i="83"/>
  <c r="D45" i="83" s="1"/>
  <c r="C29" i="83"/>
  <c r="D27" i="83" s="1"/>
  <c r="C9" i="83"/>
  <c r="C47" i="82"/>
  <c r="D45" i="82" s="1"/>
  <c r="F45" i="82"/>
  <c r="C29" i="82"/>
  <c r="D27" i="82" s="1"/>
  <c r="C9" i="82"/>
  <c r="Q16" i="1"/>
  <c r="F27" i="11" s="1"/>
  <c r="S42" i="21"/>
  <c r="AA41" i="39"/>
  <c r="S32" i="21"/>
  <c r="U42" i="21"/>
  <c r="AB42" i="21"/>
  <c r="U37" i="21"/>
  <c r="AB37" i="21"/>
  <c r="AC37" i="21"/>
  <c r="AA37" i="21"/>
  <c r="S37" i="21"/>
  <c r="AC33" i="35"/>
  <c r="W33" i="35"/>
  <c r="S29" i="35"/>
  <c r="AA29" i="35"/>
  <c r="AB29" i="35"/>
  <c r="U29" i="35"/>
  <c r="W29" i="35"/>
  <c r="AC29" i="35"/>
  <c r="AB9" i="35"/>
  <c r="U9" i="35"/>
  <c r="H124" i="39"/>
  <c r="I124" i="39" s="1"/>
  <c r="J124" i="39" s="1"/>
  <c r="K124" i="39" s="1"/>
  <c r="L124" i="39" s="1"/>
  <c r="M124" i="39" s="1"/>
  <c r="J41" i="39"/>
  <c r="AZ13" i="3"/>
  <c r="O8" i="1"/>
  <c r="P8" i="1" s="1"/>
  <c r="M7" i="1"/>
  <c r="H41" i="39"/>
  <c r="AA32" i="39"/>
  <c r="S32" i="39"/>
  <c r="AA15" i="39"/>
  <c r="S15" i="39"/>
  <c r="S34" i="39"/>
  <c r="H109" i="39"/>
  <c r="I109" i="39" s="1"/>
  <c r="J109" i="39" s="1"/>
  <c r="K109" i="39" s="1"/>
  <c r="L109" i="39" s="1"/>
  <c r="M109" i="39" s="1"/>
  <c r="H34" i="39"/>
  <c r="J34" i="39"/>
  <c r="G17" i="43"/>
  <c r="C16" i="43" s="1"/>
  <c r="C9" i="68"/>
  <c r="C30" i="11"/>
  <c r="F48" i="68"/>
  <c r="C30" i="68"/>
  <c r="C48" i="68"/>
  <c r="F48" i="69"/>
  <c r="C30" i="69"/>
  <c r="G16" i="1"/>
  <c r="F10" i="39" s="1"/>
  <c r="S10" i="39" s="1"/>
  <c r="E104" i="43"/>
  <c r="E103" i="43"/>
  <c r="E105" i="43"/>
  <c r="D9" i="11"/>
  <c r="C9" i="11" s="1"/>
  <c r="D19" i="12"/>
  <c r="C19" i="12" s="1"/>
  <c r="F51" i="15"/>
  <c r="F68" i="15"/>
  <c r="F71" i="15"/>
  <c r="C27" i="15"/>
  <c r="Q71" i="15"/>
  <c r="F64" i="15"/>
  <c r="F65" i="15"/>
  <c r="L59" i="15"/>
  <c r="Q74" i="15" s="1"/>
  <c r="N59" i="15"/>
  <c r="M59" i="15"/>
  <c r="F69" i="67"/>
  <c r="M7" i="67"/>
  <c r="J6" i="67" s="1"/>
  <c r="J18" i="67" s="1"/>
  <c r="F50" i="67"/>
  <c r="F66" i="67"/>
  <c r="J53" i="67"/>
  <c r="F1" i="67" s="1"/>
  <c r="L56" i="67"/>
  <c r="J57" i="67"/>
  <c r="J55" i="67" s="1"/>
  <c r="J58" i="67" s="1"/>
  <c r="Q50" i="67" s="1"/>
  <c r="I54" i="67"/>
  <c r="F71" i="67"/>
  <c r="C6" i="67"/>
  <c r="C32" i="67" s="1"/>
  <c r="Q71" i="67"/>
  <c r="F70" i="67"/>
  <c r="C27" i="67"/>
  <c r="L59" i="67"/>
  <c r="Q74" i="67" s="1"/>
  <c r="M59" i="67"/>
  <c r="N59" i="67"/>
  <c r="L58" i="67"/>
  <c r="Q73" i="67" s="1"/>
  <c r="J20" i="67"/>
  <c r="F63" i="67"/>
  <c r="C62" i="67" s="1"/>
  <c r="C34" i="67"/>
  <c r="F64" i="67"/>
  <c r="F51" i="67"/>
  <c r="F68" i="67"/>
  <c r="F65" i="67"/>
  <c r="H109" i="43"/>
  <c r="H102" i="43"/>
  <c r="H106" i="43"/>
  <c r="AC13" i="43"/>
  <c r="H104" i="43"/>
  <c r="H105" i="43"/>
  <c r="H107" i="43"/>
  <c r="E60" i="40"/>
  <c r="E65" i="39"/>
  <c r="E57" i="40"/>
  <c r="E62" i="39"/>
  <c r="E56" i="40"/>
  <c r="E16" i="6"/>
  <c r="E102" i="43"/>
  <c r="E109" i="43"/>
  <c r="E107" i="43"/>
  <c r="AD13" i="43"/>
  <c r="AG13" i="43"/>
  <c r="AH13" i="43"/>
  <c r="AF13" i="43"/>
  <c r="Z13" i="43"/>
  <c r="I109" i="43"/>
  <c r="I104" i="43"/>
  <c r="I107" i="43"/>
  <c r="I105" i="43"/>
  <c r="I106" i="43"/>
  <c r="I102" i="43"/>
  <c r="I103" i="43"/>
  <c r="L109" i="43"/>
  <c r="L106" i="43"/>
  <c r="L107" i="43"/>
  <c r="L103" i="43"/>
  <c r="L105" i="43"/>
  <c r="L102" i="43"/>
  <c r="L104" i="43"/>
  <c r="J104" i="43"/>
  <c r="J105" i="43"/>
  <c r="J107" i="43"/>
  <c r="J102" i="43"/>
  <c r="J106" i="43"/>
  <c r="J103" i="43"/>
  <c r="J109" i="43"/>
  <c r="G105" i="43"/>
  <c r="G107" i="43"/>
  <c r="G104" i="43"/>
  <c r="G109" i="43"/>
  <c r="G102" i="43"/>
  <c r="G103" i="43"/>
  <c r="G106" i="43"/>
  <c r="K103" i="43"/>
  <c r="K102" i="43"/>
  <c r="K106" i="43"/>
  <c r="K107" i="43"/>
  <c r="K109" i="43"/>
  <c r="K104" i="43"/>
  <c r="K105" i="43"/>
  <c r="D22" i="43"/>
  <c r="M109" i="43"/>
  <c r="M104" i="43"/>
  <c r="M107" i="43"/>
  <c r="M105" i="43"/>
  <c r="M106" i="43"/>
  <c r="M102" i="43"/>
  <c r="M103" i="43"/>
  <c r="D109" i="43"/>
  <c r="D105" i="43"/>
  <c r="D106" i="43"/>
  <c r="D102" i="43"/>
  <c r="D103" i="43"/>
  <c r="D107" i="43"/>
  <c r="D104" i="43"/>
  <c r="C104" i="43"/>
  <c r="C106" i="43"/>
  <c r="C107" i="43"/>
  <c r="C103" i="43"/>
  <c r="C102" i="43"/>
  <c r="C109" i="43"/>
  <c r="C105" i="43"/>
  <c r="N103" i="43"/>
  <c r="B115"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B118" i="43"/>
  <c r="C118" i="43" s="1"/>
  <c r="I118" i="43"/>
  <c r="J118" i="43" s="1"/>
  <c r="K118" i="43" s="1"/>
  <c r="L118" i="43" s="1"/>
  <c r="M118" i="43" s="1"/>
  <c r="G118" i="43"/>
  <c r="H118" i="43" s="1"/>
  <c r="F106" i="43"/>
  <c r="C5" i="43"/>
  <c r="D5" i="43"/>
  <c r="D70" i="39"/>
  <c r="E68" i="39"/>
  <c r="B18" i="71"/>
  <c r="B17" i="71" s="1"/>
  <c r="B16" i="71" s="1"/>
  <c r="B15" i="71" s="1"/>
  <c r="S19" i="71"/>
  <c r="C18" i="71"/>
  <c r="D19" i="71"/>
  <c r="U19" i="71" s="1"/>
  <c r="T19" i="71"/>
  <c r="AC38" i="40"/>
  <c r="W38" i="40"/>
  <c r="AB24" i="36"/>
  <c r="U24" i="36"/>
  <c r="AC23" i="35"/>
  <c r="W23" i="35"/>
  <c r="AB12" i="21"/>
  <c r="U12" i="21"/>
  <c r="D10" i="52"/>
  <c r="D125" i="9"/>
  <c r="D11" i="52" s="1"/>
  <c r="H14" i="74"/>
  <c r="B7" i="74" s="1"/>
  <c r="F61" i="71"/>
  <c r="Q62" i="71"/>
  <c r="AB39" i="40"/>
  <c r="U39" i="40"/>
  <c r="U38" i="40"/>
  <c r="AB38" i="40"/>
  <c r="AB12" i="36"/>
  <c r="U12" i="36"/>
  <c r="AC12" i="21"/>
  <c r="W12" i="21"/>
  <c r="AA26" i="33"/>
  <c r="S26" i="33"/>
  <c r="P12" i="1"/>
  <c r="E10" i="71"/>
  <c r="E9" i="71" s="1"/>
  <c r="E8" i="71" s="1"/>
  <c r="E7" i="71" s="1"/>
  <c r="V11" i="71"/>
  <c r="K21" i="6"/>
  <c r="K22" i="6"/>
  <c r="M22" i="6" s="1"/>
  <c r="I22" i="6" s="1"/>
  <c r="S22" i="6" s="1"/>
  <c r="K25" i="6"/>
  <c r="M25" i="6" s="1"/>
  <c r="I25" i="6" s="1"/>
  <c r="S25" i="6" s="1"/>
  <c r="K23" i="6"/>
  <c r="M23" i="6" s="1"/>
  <c r="I23" i="6" s="1"/>
  <c r="S23" i="6" s="1"/>
  <c r="K14" i="1"/>
  <c r="E30" i="6"/>
  <c r="E31" i="6" s="1"/>
  <c r="K20" i="6"/>
  <c r="K24" i="6"/>
  <c r="M24" i="6" s="1"/>
  <c r="I24" i="6" s="1"/>
  <c r="S24" i="6" s="1"/>
  <c r="K26" i="6"/>
  <c r="M26" i="6" s="1"/>
  <c r="I26" i="6" s="1"/>
  <c r="S26" i="6" s="1"/>
  <c r="K19" i="6"/>
  <c r="S6" i="1" s="1"/>
  <c r="F59" i="67"/>
  <c r="H7" i="37"/>
  <c r="AB7" i="37" s="1"/>
  <c r="T42" i="37" s="1"/>
  <c r="G42" i="37" s="1"/>
  <c r="B40" i="1"/>
  <c r="H7" i="33"/>
  <c r="J7" i="33"/>
  <c r="D65" i="40"/>
  <c r="E63" i="40"/>
  <c r="F48" i="35"/>
  <c r="F7" i="33"/>
  <c r="E58" i="21"/>
  <c r="F7" i="37"/>
  <c r="M17" i="67"/>
  <c r="M17" i="15"/>
  <c r="F59" i="15"/>
  <c r="P24" i="43"/>
  <c r="B66" i="40" s="1"/>
  <c r="P21" i="43"/>
  <c r="P25" i="43"/>
  <c r="P23" i="43"/>
  <c r="B71" i="39" s="1"/>
  <c r="M28" i="43"/>
  <c r="N28" i="43"/>
  <c r="O28" i="43"/>
  <c r="P28" i="43"/>
  <c r="M11" i="67"/>
  <c r="J10" i="67" s="1"/>
  <c r="F11" i="15"/>
  <c r="M11" i="15"/>
  <c r="F11" i="67"/>
  <c r="B2" i="70"/>
  <c r="B3" i="70" s="1"/>
  <c r="F7" i="15"/>
  <c r="M22" i="15"/>
  <c r="F16" i="15"/>
  <c r="C16" i="67"/>
  <c r="C14" i="15"/>
  <c r="F41" i="15"/>
  <c r="F27" i="68"/>
  <c r="C17" i="67"/>
  <c r="M21" i="15"/>
  <c r="C14" i="67"/>
  <c r="C17" i="15"/>
  <c r="M24" i="15"/>
  <c r="L48" i="15"/>
  <c r="F35" i="15"/>
  <c r="M28" i="15"/>
  <c r="M29" i="15"/>
  <c r="M6" i="15"/>
  <c r="F38" i="15"/>
  <c r="M9" i="15"/>
  <c r="J7" i="37" l="1"/>
  <c r="F107" i="43"/>
  <c r="F102" i="43"/>
  <c r="C23" i="43" s="1"/>
  <c r="C21" i="43" s="1"/>
  <c r="C29" i="43" s="1"/>
  <c r="N109" i="43"/>
  <c r="N105" i="43"/>
  <c r="F105" i="43"/>
  <c r="F109" i="43"/>
  <c r="F103" i="43"/>
  <c r="S3" i="43" s="1"/>
  <c r="T3" i="43" s="1"/>
  <c r="V3" i="43" s="1"/>
  <c r="N106" i="43"/>
  <c r="N104" i="43"/>
  <c r="N107" i="43"/>
  <c r="D27" i="71"/>
  <c r="T27" i="71"/>
  <c r="U7" i="37"/>
  <c r="AZ5" i="3"/>
  <c r="E3" i="6" s="1"/>
  <c r="L12" i="87" s="1"/>
  <c r="D39" i="71"/>
  <c r="T39" i="71"/>
  <c r="J20" i="15"/>
  <c r="F66" i="15"/>
  <c r="F50" i="15"/>
  <c r="C49" i="15" s="1"/>
  <c r="C6" i="15"/>
  <c r="C32" i="15" s="1"/>
  <c r="M7" i="15"/>
  <c r="J6" i="15" s="1"/>
  <c r="J18" i="15" s="1"/>
  <c r="F69" i="15"/>
  <c r="F63" i="15"/>
  <c r="C62" i="15" s="1"/>
  <c r="C34" i="15"/>
  <c r="C18" i="15"/>
  <c r="C15" i="15"/>
  <c r="L58" i="15"/>
  <c r="Q73" i="15" s="1"/>
  <c r="J53" i="15"/>
  <c r="L56" i="15" s="1"/>
  <c r="J57" i="15"/>
  <c r="J55" i="15" s="1"/>
  <c r="J58" i="15" s="1"/>
  <c r="Q50" i="15" s="1"/>
  <c r="I54" i="15"/>
  <c r="G69" i="21"/>
  <c r="H69" i="21" s="1"/>
  <c r="I69" i="21" s="1"/>
  <c r="J69" i="21" s="1"/>
  <c r="K69" i="21" s="1"/>
  <c r="L69" i="21" s="1"/>
  <c r="M69" i="21" s="1"/>
  <c r="J11" i="21"/>
  <c r="D51" i="71"/>
  <c r="T51" i="71"/>
  <c r="W7" i="88"/>
  <c r="AC7" i="88"/>
  <c r="V48" i="88" s="1"/>
  <c r="I48" i="88" s="1"/>
  <c r="N61" i="71"/>
  <c r="N60" i="71"/>
  <c r="D35" i="71"/>
  <c r="T35" i="71"/>
  <c r="I81" i="39"/>
  <c r="J81" i="39" s="1"/>
  <c r="K81" i="39" s="1"/>
  <c r="L81" i="39" s="1"/>
  <c r="M81" i="39" s="1"/>
  <c r="F11" i="39"/>
  <c r="E261" i="3"/>
  <c r="E304" i="3"/>
  <c r="E528" i="3"/>
  <c r="E565" i="3"/>
  <c r="E183" i="3"/>
  <c r="E213" i="3"/>
  <c r="E361" i="3"/>
  <c r="E17" i="3"/>
  <c r="E503" i="3"/>
  <c r="E302" i="3"/>
  <c r="E388" i="3"/>
  <c r="O6" i="3"/>
  <c r="E555" i="3"/>
  <c r="E574" i="3"/>
  <c r="E359" i="3"/>
  <c r="E337" i="3"/>
  <c r="E285" i="3"/>
  <c r="E143"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16" i="3"/>
  <c r="E459" i="3"/>
  <c r="E255" i="3"/>
  <c r="E374" i="3"/>
  <c r="I3" i="6"/>
  <c r="E566" i="3"/>
  <c r="AP6" i="3"/>
  <c r="E500" i="3"/>
  <c r="E554" i="3"/>
  <c r="E582" i="3"/>
  <c r="E517" i="3"/>
  <c r="E413" i="3"/>
  <c r="E460" i="3"/>
  <c r="E491" i="3"/>
  <c r="E520" i="3"/>
  <c r="E417" i="3"/>
  <c r="E436" i="3"/>
  <c r="E479" i="3"/>
  <c r="E39" i="3"/>
  <c r="E56" i="3"/>
  <c r="E90" i="3"/>
  <c r="E57" i="3"/>
  <c r="E95" i="3"/>
  <c r="E131" i="3"/>
  <c r="E152" i="3"/>
  <c r="E187" i="3"/>
  <c r="E132" i="3"/>
  <c r="E155" i="3"/>
  <c r="E192" i="3"/>
  <c r="E240" i="3"/>
  <c r="E258" i="3"/>
  <c r="E297"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548" i="3"/>
  <c r="E414" i="3"/>
  <c r="E432" i="3"/>
  <c r="E477" i="3"/>
  <c r="E367" i="3"/>
  <c r="E505" i="3"/>
  <c r="E547" i="3"/>
  <c r="AS6" i="3"/>
  <c r="E403" i="3"/>
  <c r="E546" i="3"/>
  <c r="E447" i="3"/>
  <c r="E71" i="3"/>
  <c r="E27" i="3"/>
  <c r="E92" i="3"/>
  <c r="E162" i="3"/>
  <c r="E126" i="3"/>
  <c r="E186"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71" i="3"/>
  <c r="E310" i="3"/>
  <c r="E23" i="3"/>
  <c r="E84" i="3"/>
  <c r="E67" i="3"/>
  <c r="E33" i="3"/>
  <c r="E144" i="3"/>
  <c r="E184" i="3"/>
  <c r="E233" i="3"/>
  <c r="E355" i="3"/>
  <c r="E381" i="3"/>
  <c r="E68" i="3"/>
  <c r="E63" i="3"/>
  <c r="E81" i="3"/>
  <c r="E118" i="3"/>
  <c r="E264" i="3"/>
  <c r="E283" i="3"/>
  <c r="E309" i="3"/>
  <c r="E513" i="3"/>
  <c r="E21" i="3"/>
  <c r="E380" i="3"/>
  <c r="E231" i="3"/>
  <c r="E216" i="3"/>
  <c r="E61" i="3"/>
  <c r="E290" i="3"/>
  <c r="E117" i="3"/>
  <c r="E77" i="3"/>
  <c r="E253" i="3"/>
  <c r="E199" i="3"/>
  <c r="E525" i="3"/>
  <c r="E534" i="3"/>
  <c r="E543" i="3"/>
  <c r="E486" i="3"/>
  <c r="E481" i="3"/>
  <c r="E422" i="3"/>
  <c r="E424" i="3"/>
  <c r="E465" i="3"/>
  <c r="E344" i="3"/>
  <c r="E587" i="3"/>
  <c r="J6" i="3"/>
  <c r="E577" i="3"/>
  <c r="E429" i="3"/>
  <c r="E468" i="3"/>
  <c r="E496" i="3"/>
  <c r="E420" i="3"/>
  <c r="E26" i="3"/>
  <c r="E104" i="3"/>
  <c r="E41" i="3"/>
  <c r="E146" i="3"/>
  <c r="E203" i="3"/>
  <c r="E139" i="3"/>
  <c r="E281" i="3"/>
  <c r="E243" i="3"/>
  <c r="E332" i="3"/>
  <c r="E391" i="3"/>
  <c r="E356" i="3"/>
  <c r="AL6" i="3"/>
  <c r="E31" i="3"/>
  <c r="E93" i="3"/>
  <c r="E75" i="3"/>
  <c r="E473" i="3"/>
  <c r="E455" i="3"/>
  <c r="E96" i="3"/>
  <c r="E129" i="3"/>
  <c r="E174" i="3"/>
  <c r="E324" i="3"/>
  <c r="E325" i="3"/>
  <c r="AQ6" i="3"/>
  <c r="E86" i="3"/>
  <c r="E49" i="3"/>
  <c r="E232" i="3"/>
  <c r="E370" i="3"/>
  <c r="E102" i="3"/>
  <c r="E113" i="3"/>
  <c r="E326" i="3"/>
  <c r="E83" i="3"/>
  <c r="E125" i="3"/>
  <c r="E217" i="3"/>
  <c r="E366" i="3"/>
  <c r="E526" i="3"/>
  <c r="E553" i="3"/>
  <c r="E268" i="3"/>
  <c r="E282" i="3"/>
  <c r="E322" i="3"/>
  <c r="N6" i="3"/>
  <c r="AJ6" i="3"/>
  <c r="E329" i="3"/>
  <c r="E539" i="3"/>
  <c r="E545" i="3"/>
  <c r="E567" i="3"/>
  <c r="E510" i="3"/>
  <c r="E461" i="3"/>
  <c r="E352" i="3"/>
  <c r="E227" i="3"/>
  <c r="E205" i="3"/>
  <c r="E165" i="3"/>
  <c r="E311" i="3"/>
  <c r="E358" i="3"/>
  <c r="E514" i="3"/>
  <c r="E559" i="3"/>
  <c r="E551" i="3"/>
  <c r="M6" i="3"/>
  <c r="V6" i="3"/>
  <c r="AB6" i="3"/>
  <c r="E439" i="3"/>
  <c r="E338" i="3"/>
  <c r="E335" i="3"/>
  <c r="E215" i="3"/>
  <c r="E189" i="3"/>
  <c r="E185" i="3"/>
  <c r="E254" i="3"/>
  <c r="E221" i="3"/>
  <c r="E149" i="3"/>
  <c r="E271" i="3"/>
  <c r="E145" i="3"/>
  <c r="E107" i="3"/>
  <c r="E330" i="3"/>
  <c r="K6" i="3"/>
  <c r="Q6" i="3"/>
  <c r="T6" i="3"/>
  <c r="E529" i="3"/>
  <c r="E458" i="3"/>
  <c r="E474" i="3"/>
  <c r="E512" i="3"/>
  <c r="E360" i="3"/>
  <c r="E556" i="3"/>
  <c r="W6" i="3"/>
  <c r="E494" i="3"/>
  <c r="E452" i="3"/>
  <c r="E470" i="3"/>
  <c r="E454" i="3"/>
  <c r="E55" i="3"/>
  <c r="E106" i="3"/>
  <c r="E73" i="3"/>
  <c r="E115" i="3"/>
  <c r="E198" i="3"/>
  <c r="E171" i="3"/>
  <c r="E256" i="3"/>
  <c r="E214" i="3"/>
  <c r="E274" i="3"/>
  <c r="E315" i="3"/>
  <c r="E394" i="3"/>
  <c r="E362" i="3"/>
  <c r="L6" i="3"/>
  <c r="E60" i="3"/>
  <c r="E43" i="3"/>
  <c r="E428" i="3"/>
  <c r="E412" i="3"/>
  <c r="E38" i="3"/>
  <c r="E170" i="3"/>
  <c r="E194" i="3"/>
  <c r="E219" i="3"/>
  <c r="E339" i="3"/>
  <c r="E522" i="3"/>
  <c r="E36" i="3"/>
  <c r="E123" i="3"/>
  <c r="AF6" i="3"/>
  <c r="E20" i="3"/>
  <c r="E176" i="3"/>
  <c r="E265" i="3"/>
  <c r="E524" i="3"/>
  <c r="E114" i="3"/>
  <c r="E395" i="3"/>
  <c r="E550" i="3"/>
  <c r="E516" i="3"/>
  <c r="E396" i="3"/>
  <c r="E151" i="3"/>
  <c r="E518" i="3"/>
  <c r="E578" i="3"/>
  <c r="E382" i="3"/>
  <c r="E245" i="3"/>
  <c r="E188" i="3"/>
  <c r="E140" i="3"/>
  <c r="E197" i="3"/>
  <c r="E327" i="3"/>
  <c r="Z6" i="3"/>
  <c r="AO6" i="3"/>
  <c r="E485" i="3"/>
  <c r="E400" i="3"/>
  <c r="E345" i="3"/>
  <c r="E557" i="3"/>
  <c r="E531" i="3"/>
  <c r="E489" i="3"/>
  <c r="E28" i="3"/>
  <c r="E70" i="3"/>
  <c r="E182" i="3"/>
  <c r="E211" i="3"/>
  <c r="E241" i="3"/>
  <c r="E292" i="3"/>
  <c r="E363" i="3"/>
  <c r="E349" i="3"/>
  <c r="E389" i="3"/>
  <c r="E544" i="3"/>
  <c r="E76" i="3"/>
  <c r="E59" i="3"/>
  <c r="E462" i="3"/>
  <c r="E446" i="3"/>
  <c r="E98" i="3"/>
  <c r="E138" i="3"/>
  <c r="E163" i="3"/>
  <c r="E209" i="3"/>
  <c r="E307" i="3"/>
  <c r="E354" i="3"/>
  <c r="E66" i="3"/>
  <c r="E48" i="3"/>
  <c r="E127" i="3"/>
  <c r="E284" i="3"/>
  <c r="Y6" i="3"/>
  <c r="E19" i="3"/>
  <c r="E179" i="3"/>
  <c r="E323" i="3"/>
  <c r="E82" i="3"/>
  <c r="E321" i="3"/>
  <c r="E169" i="3"/>
  <c r="E161" i="3"/>
  <c r="E212" i="3"/>
  <c r="E141" i="3"/>
  <c r="E493" i="3"/>
  <c r="E405" i="3"/>
  <c r="E469" i="3"/>
  <c r="E408" i="3"/>
  <c r="E288" i="3"/>
  <c r="AE6" i="3"/>
  <c r="E537" i="3"/>
  <c r="E471" i="3"/>
  <c r="E463" i="3"/>
  <c r="E25" i="3"/>
  <c r="E168" i="3"/>
  <c r="E202" i="3"/>
  <c r="E226" i="3"/>
  <c r="E346" i="3"/>
  <c r="E372" i="3"/>
  <c r="E74" i="3"/>
  <c r="E409" i="3"/>
  <c r="E79" i="3"/>
  <c r="E190" i="3"/>
  <c r="E235" i="3"/>
  <c r="E392" i="3"/>
  <c r="E34" i="3"/>
  <c r="E251" i="3"/>
  <c r="E80" i="3"/>
  <c r="E308" i="3"/>
  <c r="E53" i="3"/>
  <c r="E319" i="3"/>
  <c r="E501" i="3"/>
  <c r="E153" i="3"/>
  <c r="E426" i="3"/>
  <c r="E328" i="3"/>
  <c r="E583" i="3"/>
  <c r="X6" i="3"/>
  <c r="E336" i="3"/>
  <c r="E246" i="3"/>
  <c r="E293" i="3"/>
  <c r="E390" i="3"/>
  <c r="S6" i="3"/>
  <c r="E523" i="3"/>
  <c r="E506" i="3"/>
  <c r="E418" i="3"/>
  <c r="E320" i="3"/>
  <c r="E230" i="3"/>
  <c r="E134" i="3"/>
  <c r="E180" i="3"/>
  <c r="E204" i="3"/>
  <c r="E313" i="3"/>
  <c r="E532" i="3"/>
  <c r="E560" i="3"/>
  <c r="E472" i="3"/>
  <c r="E406" i="3"/>
  <c r="E490" i="3"/>
  <c r="AH6" i="3"/>
  <c r="E498" i="3"/>
  <c r="E483" i="3"/>
  <c r="E475" i="3"/>
  <c r="E54" i="3"/>
  <c r="E178" i="3"/>
  <c r="E208" i="3"/>
  <c r="E257" i="3"/>
  <c r="E357" i="3"/>
  <c r="E14" i="3"/>
  <c r="E94" i="3"/>
  <c r="E482" i="3"/>
  <c r="E100" i="3"/>
  <c r="E234" i="3"/>
  <c r="E342" i="3"/>
  <c r="E112" i="3"/>
  <c r="E340" i="3"/>
  <c r="E62" i="3"/>
  <c r="E365" i="3"/>
  <c r="E415" i="3"/>
  <c r="E260" i="3"/>
  <c r="E239" i="3"/>
  <c r="E569" i="3"/>
  <c r="E229" i="3"/>
  <c r="E385" i="3"/>
  <c r="AI6" i="3"/>
  <c r="E423" i="3"/>
  <c r="E263" i="3"/>
  <c r="E191" i="3"/>
  <c r="E181" i="3"/>
  <c r="E223" i="3"/>
  <c r="E173" i="3"/>
  <c r="E576" i="3"/>
  <c r="AG6" i="3"/>
  <c r="E448" i="3"/>
  <c r="P6" i="3"/>
  <c r="E443" i="3"/>
  <c r="E558" i="3"/>
  <c r="E581" i="3"/>
  <c r="E444" i="3"/>
  <c r="E404" i="3"/>
  <c r="E88" i="3"/>
  <c r="E121" i="3"/>
  <c r="E166" i="3"/>
  <c r="E295" i="3"/>
  <c r="E259" i="3"/>
  <c r="E348" i="3"/>
  <c r="E378" i="3"/>
  <c r="E375" i="3"/>
  <c r="E504" i="3"/>
  <c r="E58" i="3"/>
  <c r="E110" i="3"/>
  <c r="E540" i="3"/>
  <c r="E521" i="3"/>
  <c r="E47" i="3"/>
  <c r="E65" i="3"/>
  <c r="E195" i="3"/>
  <c r="E248" i="3"/>
  <c r="E266" i="3"/>
  <c r="E386" i="3"/>
  <c r="E584" i="3"/>
  <c r="E24" i="3"/>
  <c r="E87" i="3"/>
  <c r="E250" i="3"/>
  <c r="E341" i="3"/>
  <c r="E51" i="3"/>
  <c r="E154" i="3"/>
  <c r="E222" i="3"/>
  <c r="E373" i="3"/>
  <c r="E407" i="3"/>
  <c r="E298" i="3"/>
  <c r="E135" i="3"/>
  <c r="E207" i="3"/>
  <c r="E167" i="3"/>
  <c r="E393" i="3"/>
  <c r="E573" i="3"/>
  <c r="E456" i="3"/>
  <c r="E527" i="3"/>
  <c r="E457" i="3"/>
  <c r="E562" i="3"/>
  <c r="E571" i="3"/>
  <c r="E450" i="3"/>
  <c r="E401" i="3"/>
  <c r="E40" i="3"/>
  <c r="E108" i="3"/>
  <c r="E119" i="3"/>
  <c r="E242" i="3"/>
  <c r="E276" i="3"/>
  <c r="E333" i="3"/>
  <c r="E580" i="3"/>
  <c r="E32" i="3"/>
  <c r="E15" i="3"/>
  <c r="E78" i="3"/>
  <c r="E220" i="3"/>
  <c r="E383" i="3"/>
  <c r="E52" i="3"/>
  <c r="E206" i="3"/>
  <c r="E364" i="3"/>
  <c r="E158" i="3"/>
  <c r="E22" i="3"/>
  <c r="E175" i="3"/>
  <c r="E530" i="3"/>
  <c r="E343" i="3"/>
  <c r="E305" i="3"/>
  <c r="E508" i="3"/>
  <c r="E347" i="3"/>
  <c r="AA6" i="3"/>
  <c r="E399" i="3"/>
  <c r="E280" i="3"/>
  <c r="E124" i="3"/>
  <c r="E270" i="3"/>
  <c r="E533" i="3"/>
  <c r="AR6" i="3"/>
  <c r="E561" i="3"/>
  <c r="E538" i="3"/>
  <c r="E387" i="3"/>
  <c r="E294" i="3"/>
  <c r="E130" i="3"/>
  <c r="E91" i="3"/>
  <c r="E252" i="3"/>
  <c r="E164" i="3"/>
  <c r="E519" i="3"/>
  <c r="E564" i="3"/>
  <c r="E437" i="3"/>
  <c r="E507" i="3"/>
  <c r="E440" i="3"/>
  <c r="E376" i="3"/>
  <c r="E497" i="3"/>
  <c r="E419" i="3"/>
  <c r="E433" i="3"/>
  <c r="E72" i="3"/>
  <c r="E111" i="3"/>
  <c r="E150" i="3"/>
  <c r="E279" i="3"/>
  <c r="E351" i="3"/>
  <c r="E318" i="3"/>
  <c r="E42" i="3"/>
  <c r="E488" i="3"/>
  <c r="E18" i="3"/>
  <c r="E137" i="3"/>
  <c r="E299" i="3"/>
  <c r="E35" i="3"/>
  <c r="E147" i="3"/>
  <c r="E50" i="3"/>
  <c r="E218" i="3"/>
  <c r="E101" i="3"/>
  <c r="E430" i="3"/>
  <c r="E449" i="3"/>
  <c r="E37" i="3"/>
  <c r="E427" i="3"/>
  <c r="E451" i="3"/>
  <c r="E478" i="3"/>
  <c r="E369" i="3"/>
  <c r="E272" i="3"/>
  <c r="E287" i="3"/>
  <c r="E300" i="3"/>
  <c r="M59" i="34"/>
  <c r="U11" i="21"/>
  <c r="AB11" i="21"/>
  <c r="U27" i="39"/>
  <c r="AB27" i="39"/>
  <c r="S7" i="88"/>
  <c r="AA7" i="88"/>
  <c r="R48" i="88" s="1"/>
  <c r="AB7" i="88"/>
  <c r="T48" i="88" s="1"/>
  <c r="G48" i="88" s="1"/>
  <c r="U7" i="88"/>
  <c r="P60" i="71"/>
  <c r="P61" i="71"/>
  <c r="E58" i="40"/>
  <c r="E63" i="39"/>
  <c r="E66" i="39" s="1"/>
  <c r="W11" i="39"/>
  <c r="AC11" i="39"/>
  <c r="E410" i="3"/>
  <c r="E435" i="3"/>
  <c r="E237" i="3"/>
  <c r="E570" i="3"/>
  <c r="E438" i="3"/>
  <c r="E476" i="3"/>
  <c r="E492" i="3"/>
  <c r="E225" i="3"/>
  <c r="E275" i="3"/>
  <c r="E289" i="3"/>
  <c r="E128" i="3"/>
  <c r="L46" i="36"/>
  <c r="F27" i="69"/>
  <c r="C47" i="69" s="1"/>
  <c r="D45" i="69" s="1"/>
  <c r="F28" i="12"/>
  <c r="C29" i="12" s="1"/>
  <c r="D28" i="12" s="1"/>
  <c r="C15" i="67"/>
  <c r="C18" i="67"/>
  <c r="W41" i="39"/>
  <c r="AC41" i="39"/>
  <c r="AA10" i="39"/>
  <c r="J10" i="39"/>
  <c r="AC10" i="39" s="1"/>
  <c r="O7" i="1"/>
  <c r="P7" i="1" s="1"/>
  <c r="U41" i="39"/>
  <c r="AB41" i="39"/>
  <c r="AC34" i="39"/>
  <c r="W34" i="39"/>
  <c r="U34" i="39"/>
  <c r="AB34" i="39"/>
  <c r="W10" i="39"/>
  <c r="H10" i="39"/>
  <c r="AB10" i="39" s="1"/>
  <c r="H10" i="40"/>
  <c r="AB10" i="40" s="1"/>
  <c r="F10" i="40"/>
  <c r="S10" i="40" s="1"/>
  <c r="J10" i="40"/>
  <c r="W10" i="40" s="1"/>
  <c r="Q60" i="67"/>
  <c r="F22" i="82"/>
  <c r="F41" i="82" s="1"/>
  <c r="F22" i="83"/>
  <c r="Q52" i="67"/>
  <c r="Q61" i="15"/>
  <c r="C49" i="67"/>
  <c r="AQ6" i="1"/>
  <c r="T6" i="1"/>
  <c r="AR6" i="1"/>
  <c r="M20" i="6"/>
  <c r="I20" i="6" s="1"/>
  <c r="S7" i="1"/>
  <c r="M21" i="6"/>
  <c r="I21" i="6" s="1"/>
  <c r="S8" i="1"/>
  <c r="Q61" i="67"/>
  <c r="J5" i="67"/>
  <c r="J26" i="67" s="1"/>
  <c r="J29" i="67" s="1"/>
  <c r="AY6" i="3"/>
  <c r="AY335" i="3" s="1"/>
  <c r="C29" i="68"/>
  <c r="D27" i="68" s="1"/>
  <c r="F45" i="68"/>
  <c r="C47" i="68"/>
  <c r="D45" i="68" s="1"/>
  <c r="C115" i="43"/>
  <c r="D113" i="43" s="1"/>
  <c r="C29" i="11"/>
  <c r="D27" i="11" s="1"/>
  <c r="C47" i="11"/>
  <c r="D45" i="11" s="1"/>
  <c r="C35" i="43"/>
  <c r="C39" i="43"/>
  <c r="C37" i="43"/>
  <c r="C34" i="43"/>
  <c r="C38" i="43"/>
  <c r="C36" i="43"/>
  <c r="C33" i="43"/>
  <c r="T14" i="43"/>
  <c r="V14" i="43" s="1"/>
  <c r="T11" i="43"/>
  <c r="V11" i="43" s="1"/>
  <c r="T15" i="43"/>
  <c r="V15" i="43" s="1"/>
  <c r="T16" i="43"/>
  <c r="V16" i="43" s="1"/>
  <c r="T8" i="43"/>
  <c r="V8" i="43" s="1"/>
  <c r="T12" i="43"/>
  <c r="V12" i="43" s="1"/>
  <c r="T9" i="43"/>
  <c r="V9" i="43" s="1"/>
  <c r="T10" i="43"/>
  <c r="V10" i="43" s="1"/>
  <c r="T13" i="43"/>
  <c r="V13" i="43" s="1"/>
  <c r="E70" i="39"/>
  <c r="F68" i="39"/>
  <c r="M14" i="1"/>
  <c r="K16" i="1"/>
  <c r="C34" i="69"/>
  <c r="E6" i="71"/>
  <c r="E5" i="71" s="1"/>
  <c r="V7" i="71"/>
  <c r="D18" i="71"/>
  <c r="C17" i="71"/>
  <c r="B14" i="71"/>
  <c r="B13" i="71" s="1"/>
  <c r="B12" i="71" s="1"/>
  <c r="B11" i="71" s="1"/>
  <c r="S15" i="71"/>
  <c r="D3" i="21"/>
  <c r="D19" i="11"/>
  <c r="C19" i="11" s="1"/>
  <c r="C17" i="4"/>
  <c r="B4" i="52" s="1"/>
  <c r="B43" i="72" s="1"/>
  <c r="D3" i="37"/>
  <c r="D3" i="34"/>
  <c r="D3" i="33"/>
  <c r="E6" i="6"/>
  <c r="D37" i="11"/>
  <c r="C37" i="11" s="1"/>
  <c r="D14" i="12"/>
  <c r="M18" i="9"/>
  <c r="B118" i="9" s="1"/>
  <c r="B14" i="74" s="1"/>
  <c r="M19" i="6"/>
  <c r="K27" i="6"/>
  <c r="Q61" i="71"/>
  <c r="Q60" i="71"/>
  <c r="F58" i="21"/>
  <c r="F63" i="40"/>
  <c r="E65" i="40"/>
  <c r="W7" i="33"/>
  <c r="AC7" i="33"/>
  <c r="V48" i="33" s="1"/>
  <c r="I48" i="33" s="1"/>
  <c r="AA7" i="37"/>
  <c r="R42" i="37" s="1"/>
  <c r="S7" i="37"/>
  <c r="S7" i="33"/>
  <c r="AA7" i="33"/>
  <c r="R48" i="33" s="1"/>
  <c r="G46" i="37"/>
  <c r="H46" i="37" s="1"/>
  <c r="G48" i="35"/>
  <c r="U7" i="33"/>
  <c r="AB7" i="33"/>
  <c r="T48" i="33" s="1"/>
  <c r="G48" i="33" s="1"/>
  <c r="C53" i="67"/>
  <c r="C10" i="67"/>
  <c r="C5" i="67" s="1"/>
  <c r="C53" i="15"/>
  <c r="C10" i="15"/>
  <c r="F25" i="12"/>
  <c r="F22" i="69"/>
  <c r="F41" i="69" s="1"/>
  <c r="F24" i="67"/>
  <c r="C24" i="67" s="1"/>
  <c r="F22" i="11"/>
  <c r="F22" i="68"/>
  <c r="F24" i="15"/>
  <c r="C24" i="15" s="1"/>
  <c r="D10" i="82"/>
  <c r="C16" i="15"/>
  <c r="D10" i="83"/>
  <c r="AC7" i="37" l="1"/>
  <c r="V42" i="37" s="1"/>
  <c r="I42" i="37" s="1"/>
  <c r="W7" i="37"/>
  <c r="S4" i="43"/>
  <c r="T4" i="43" s="1"/>
  <c r="V4" i="43" s="1"/>
  <c r="S5" i="43"/>
  <c r="T5" i="43" s="1"/>
  <c r="V5" i="43" s="1"/>
  <c r="S7" i="43"/>
  <c r="T7" i="43" s="1"/>
  <c r="V7" i="43" s="1"/>
  <c r="S6" i="43"/>
  <c r="T6" i="43" s="1"/>
  <c r="V6" i="43" s="1"/>
  <c r="S2" i="43"/>
  <c r="T2" i="43" s="1"/>
  <c r="V2" i="43" s="1"/>
  <c r="AY506" i="3"/>
  <c r="L66" i="39"/>
  <c r="Q52" i="15"/>
  <c r="F1" i="15"/>
  <c r="Q60" i="15"/>
  <c r="J10" i="15"/>
  <c r="J5" i="15" s="1"/>
  <c r="J26" i="15" s="1"/>
  <c r="J29" i="15" s="1"/>
  <c r="C5" i="15"/>
  <c r="C38" i="15" s="1"/>
  <c r="C19" i="15"/>
  <c r="C20" i="15" s="1"/>
  <c r="C26" i="15" s="1"/>
  <c r="G53" i="88"/>
  <c r="H53" i="88" s="1"/>
  <c r="G52" i="88"/>
  <c r="H52" i="88" s="1"/>
  <c r="N59" i="34"/>
  <c r="AA11" i="39"/>
  <c r="S11" i="39"/>
  <c r="I52" i="88"/>
  <c r="J52" i="88" s="1"/>
  <c r="W11" i="21"/>
  <c r="AC11" i="21"/>
  <c r="M46" i="36"/>
  <c r="N46" i="36" s="1"/>
  <c r="O46" i="36" s="1"/>
  <c r="H7" i="36"/>
  <c r="R49" i="88"/>
  <c r="E48" i="88"/>
  <c r="AC6" i="3"/>
  <c r="H6" i="3"/>
  <c r="C29" i="69"/>
  <c r="D27" i="69" s="1"/>
  <c r="F45" i="69"/>
  <c r="AY421" i="3"/>
  <c r="B16" i="74"/>
  <c r="B15" i="74"/>
  <c r="C19" i="67"/>
  <c r="C20" i="67" s="1"/>
  <c r="C26" i="67" s="1"/>
  <c r="AY408" i="3"/>
  <c r="AY279" i="3"/>
  <c r="AY43" i="3"/>
  <c r="AY385" i="3"/>
  <c r="AY562" i="3"/>
  <c r="AY496" i="3"/>
  <c r="AY241" i="3"/>
  <c r="AY290" i="3"/>
  <c r="U10" i="39"/>
  <c r="C10" i="83"/>
  <c r="D19" i="83"/>
  <c r="D37" i="83" s="1"/>
  <c r="C37" i="83" s="1"/>
  <c r="C10" i="82"/>
  <c r="D19" i="82"/>
  <c r="D37" i="82" s="1"/>
  <c r="C37" i="82" s="1"/>
  <c r="S16" i="1"/>
  <c r="S21" i="6"/>
  <c r="L18" i="81"/>
  <c r="S20" i="6"/>
  <c r="L18" i="80"/>
  <c r="U10" i="40"/>
  <c r="AC10" i="40"/>
  <c r="AA10" i="40"/>
  <c r="C44" i="82"/>
  <c r="D41" i="82" s="1"/>
  <c r="C24" i="82"/>
  <c r="C26" i="82"/>
  <c r="D22" i="82" s="1"/>
  <c r="F41" i="83"/>
  <c r="C44" i="83"/>
  <c r="D41" i="83" s="1"/>
  <c r="C26" i="83"/>
  <c r="D22" i="83" s="1"/>
  <c r="C24" i="83"/>
  <c r="AY474" i="3"/>
  <c r="AY548" i="3"/>
  <c r="BN6" i="3"/>
  <c r="AY302" i="3"/>
  <c r="AY477" i="3"/>
  <c r="AY545" i="3"/>
  <c r="AY384" i="3"/>
  <c r="AY196" i="3"/>
  <c r="AY378" i="3"/>
  <c r="AY158" i="3"/>
  <c r="BK6" i="3"/>
  <c r="AY175" i="3"/>
  <c r="AY296" i="3"/>
  <c r="AY418" i="3"/>
  <c r="AY49" i="3"/>
  <c r="AY467" i="3"/>
  <c r="BS6" i="3"/>
  <c r="AY36" i="3"/>
  <c r="AY244" i="3"/>
  <c r="AY164" i="3"/>
  <c r="AY301" i="3"/>
  <c r="AY476" i="3"/>
  <c r="AY309" i="3"/>
  <c r="AY69" i="3"/>
  <c r="AY204" i="3"/>
  <c r="BD6" i="3"/>
  <c r="BL6" i="3"/>
  <c r="AY63" i="3"/>
  <c r="AY344" i="3"/>
  <c r="BF6" i="3"/>
  <c r="AY294" i="3"/>
  <c r="AY176" i="3"/>
  <c r="AY297" i="3"/>
  <c r="AY409" i="3"/>
  <c r="AY465" i="3"/>
  <c r="AY108" i="3"/>
  <c r="AY138" i="3"/>
  <c r="AY214" i="3"/>
  <c r="AY24" i="3"/>
  <c r="AY349" i="3"/>
  <c r="AY427" i="3"/>
  <c r="AY584" i="3"/>
  <c r="AY48" i="3"/>
  <c r="AY287" i="3"/>
  <c r="AY364" i="3"/>
  <c r="AY471" i="3"/>
  <c r="AY439" i="3"/>
  <c r="AY524" i="3"/>
  <c r="AY578" i="3"/>
  <c r="AY192" i="3"/>
  <c r="AY249" i="3"/>
  <c r="AY346" i="3"/>
  <c r="AY558" i="3"/>
  <c r="AY55" i="3"/>
  <c r="AY128" i="3"/>
  <c r="AY391" i="3"/>
  <c r="AY448" i="3"/>
  <c r="AY586" i="3"/>
  <c r="AY67" i="3"/>
  <c r="AY139" i="3"/>
  <c r="AY123" i="3"/>
  <c r="AY220" i="3"/>
  <c r="AY455" i="3"/>
  <c r="AY379" i="3"/>
  <c r="AY540" i="3"/>
  <c r="AY198" i="3"/>
  <c r="AY255" i="3"/>
  <c r="BB6" i="3"/>
  <c r="AY258" i="3"/>
  <c r="AY449" i="3"/>
  <c r="AY520" i="3"/>
  <c r="AY21" i="3"/>
  <c r="AY337" i="3"/>
  <c r="AY415" i="3"/>
  <c r="AY515" i="3"/>
  <c r="AY493" i="3"/>
  <c r="AY172" i="3"/>
  <c r="AY248" i="3"/>
  <c r="AY485" i="3"/>
  <c r="AY547" i="3"/>
  <c r="AY54" i="3"/>
  <c r="AY293" i="3"/>
  <c r="AY351" i="3"/>
  <c r="AY400"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583" i="3"/>
  <c r="AY208" i="3"/>
  <c r="AY102" i="3"/>
  <c r="AY347" i="3"/>
  <c r="AY30" i="3"/>
  <c r="AY564" i="3"/>
  <c r="AY304" i="3"/>
  <c r="AY122" i="3"/>
  <c r="AY508" i="3"/>
  <c r="AY435" i="3"/>
  <c r="AY356" i="3"/>
  <c r="AY40" i="3"/>
  <c r="AY222" i="3"/>
  <c r="AY146" i="3"/>
  <c r="AY89" i="3"/>
  <c r="AY481" i="3"/>
  <c r="AY566" i="3"/>
  <c r="AY240" i="3"/>
  <c r="AY107" i="3"/>
  <c r="AY359" i="3"/>
  <c r="AY62" i="3"/>
  <c r="AY538" i="3"/>
  <c r="AY267" i="3"/>
  <c r="AY503" i="3"/>
  <c r="AY181" i="3"/>
  <c r="AY141" i="3"/>
  <c r="AY436" i="3"/>
  <c r="AY350" i="3"/>
  <c r="AY74" i="3"/>
  <c r="AY425" i="3"/>
  <c r="AY338" i="3"/>
  <c r="AY184" i="3"/>
  <c r="AY456" i="3"/>
  <c r="AY135" i="3"/>
  <c r="AY542" i="3"/>
  <c r="AY458" i="3"/>
  <c r="AY234" i="3"/>
  <c r="AY101" i="3"/>
  <c r="AY488" i="3"/>
  <c r="AY554" i="3"/>
  <c r="AY28" i="3"/>
  <c r="AY228" i="3"/>
  <c r="AY18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9" i="3"/>
  <c r="AY526" i="3"/>
  <c r="AY98" i="3"/>
  <c r="AY82" i="3"/>
  <c r="AY18" i="3"/>
  <c r="AY191" i="3"/>
  <c r="AY171" i="3"/>
  <c r="AY132" i="3"/>
  <c r="AY90" i="3"/>
  <c r="AY31" i="3"/>
  <c r="AY163" i="3"/>
  <c r="AY292" i="3"/>
  <c r="AY75" i="3"/>
  <c r="AY284" i="3"/>
  <c r="AY252" i="3"/>
  <c r="AY209" i="3"/>
  <c r="AY363" i="3"/>
  <c r="AY319" i="3"/>
  <c r="AY486" i="3"/>
  <c r="AY444"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BT6" i="3"/>
  <c r="AY521" i="3"/>
  <c r="AY443" i="3"/>
  <c r="AY307" i="3"/>
  <c r="AY386" i="3"/>
  <c r="AY257" i="3"/>
  <c r="AY143" i="3"/>
  <c r="AY200" i="3"/>
  <c r="AY71" i="3"/>
  <c r="AY568" i="3"/>
  <c r="AY500" i="3"/>
  <c r="AY451" i="3"/>
  <c r="AY315" i="3"/>
  <c r="AY394" i="3"/>
  <c r="AY265" i="3"/>
  <c r="AY151" i="3"/>
  <c r="AY19" i="3"/>
  <c r="AY79" i="3"/>
  <c r="BP6" i="3"/>
  <c r="AY551" i="3"/>
  <c r="AY522" i="3"/>
  <c r="AY505" i="3"/>
  <c r="AY434" i="3"/>
  <c r="AY320" i="3"/>
  <c r="AY396" i="3"/>
  <c r="AY153" i="3"/>
  <c r="AY81" i="3"/>
  <c r="AY543" i="3"/>
  <c r="AY572" i="3"/>
  <c r="AY406" i="3"/>
  <c r="AY483" i="3"/>
  <c r="AY370" i="3"/>
  <c r="AY121" i="3"/>
  <c r="AY72" i="3"/>
  <c r="AY368" i="3"/>
  <c r="AY238" i="3"/>
  <c r="AY291" i="3"/>
  <c r="AY162" i="3"/>
  <c r="AY52" i="3"/>
  <c r="AY105" i="3"/>
  <c r="AY557" i="3"/>
  <c r="AY326" i="3"/>
  <c r="AY229" i="3"/>
  <c r="AY412" i="3"/>
  <c r="AY334" i="3"/>
  <c r="AY387" i="3"/>
  <c r="AY237" i="3"/>
  <c r="AY261" i="3"/>
  <c r="AY183" i="3"/>
  <c r="AY289" i="3"/>
  <c r="AY160" i="3"/>
  <c r="AY50" i="3"/>
  <c r="AY103" i="3"/>
  <c r="AY147"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10" i="3"/>
  <c r="BM6" i="3"/>
  <c r="AY446" i="3"/>
  <c r="AY332" i="3"/>
  <c r="AY210" i="3"/>
  <c r="AY177" i="3"/>
  <c r="AY104" i="3"/>
  <c r="AY381" i="3"/>
  <c r="AY231" i="3"/>
  <c r="AY118" i="3"/>
  <c r="AY201" i="3"/>
  <c r="AY45" i="3"/>
  <c r="AY541" i="3"/>
  <c r="AY433" i="3"/>
  <c r="AY358" i="3"/>
  <c r="AY180" i="3"/>
  <c r="AY470" i="3"/>
  <c r="AY225" i="3"/>
  <c r="AY276" i="3"/>
  <c r="AY115" i="3"/>
  <c r="AY66" i="3"/>
  <c r="J24" i="67"/>
  <c r="C48" i="67"/>
  <c r="C60" i="67" s="1"/>
  <c r="C48" i="15"/>
  <c r="C60" i="15" s="1"/>
  <c r="AQ8" i="1"/>
  <c r="T8" i="1"/>
  <c r="AR8" i="1"/>
  <c r="AQ7" i="1"/>
  <c r="T7" i="1"/>
  <c r="AR7" i="1"/>
  <c r="E36" i="43"/>
  <c r="G36" i="43"/>
  <c r="I36" i="43" s="1"/>
  <c r="E34" i="43"/>
  <c r="G34" i="43"/>
  <c r="I34" i="43" s="1"/>
  <c r="G39" i="43"/>
  <c r="I39" i="43" s="1"/>
  <c r="E39" i="43"/>
  <c r="E29" i="43"/>
  <c r="C30" i="43"/>
  <c r="E30" i="43" s="1"/>
  <c r="E33" i="43"/>
  <c r="C26" i="43" s="1"/>
  <c r="B2" i="43" s="1"/>
  <c r="G33" i="43"/>
  <c r="I33" i="43" s="1"/>
  <c r="G38" i="43"/>
  <c r="I38" i="43" s="1"/>
  <c r="E38" i="43"/>
  <c r="E37" i="43"/>
  <c r="G37" i="43"/>
  <c r="I37" i="43" s="1"/>
  <c r="E35" i="43"/>
  <c r="G35" i="43"/>
  <c r="I35" i="43" s="1"/>
  <c r="F70" i="39"/>
  <c r="G68" i="39"/>
  <c r="C20" i="11"/>
  <c r="C28" i="11" s="1"/>
  <c r="C27" i="11" s="1"/>
  <c r="D17" i="71"/>
  <c r="C16" i="71"/>
  <c r="C35" i="69"/>
  <c r="C38" i="69"/>
  <c r="O14" i="1"/>
  <c r="O16" i="1" s="1"/>
  <c r="M16" i="1"/>
  <c r="I19" i="6"/>
  <c r="L18" i="9" s="1"/>
  <c r="M27" i="6"/>
  <c r="D17" i="12"/>
  <c r="C17" i="12" s="1"/>
  <c r="C14" i="12"/>
  <c r="D10" i="69"/>
  <c r="D10" i="11"/>
  <c r="C10" i="11" s="1"/>
  <c r="D20" i="12"/>
  <c r="C20" i="12" s="1"/>
  <c r="C18" i="12" s="1"/>
  <c r="B10" i="71"/>
  <c r="B9" i="71" s="1"/>
  <c r="B8" i="71" s="1"/>
  <c r="B7" i="71" s="1"/>
  <c r="S11" i="71"/>
  <c r="R49" i="33"/>
  <c r="E48" i="33"/>
  <c r="I52" i="33"/>
  <c r="J52" i="33" s="1"/>
  <c r="I53" i="33"/>
  <c r="J53" i="33" s="1"/>
  <c r="G52" i="33"/>
  <c r="H52" i="33" s="1"/>
  <c r="G53" i="33"/>
  <c r="H53" i="33" s="1"/>
  <c r="H48" i="35"/>
  <c r="R43" i="37"/>
  <c r="E42" i="37"/>
  <c r="G63" i="40"/>
  <c r="F65" i="40"/>
  <c r="G58" i="21"/>
  <c r="F41" i="68"/>
  <c r="C26" i="69"/>
  <c r="D22" i="69" s="1"/>
  <c r="C44" i="69"/>
  <c r="D41" i="69" s="1"/>
  <c r="C44" i="68"/>
  <c r="D41" i="68" s="1"/>
  <c r="C26" i="68"/>
  <c r="D22" i="68" s="1"/>
  <c r="C26" i="12"/>
  <c r="D25" i="12" s="1"/>
  <c r="C44" i="11"/>
  <c r="D41" i="11" s="1"/>
  <c r="C23" i="11"/>
  <c r="C24" i="11"/>
  <c r="C26" i="11"/>
  <c r="D22" i="11" s="1"/>
  <c r="C38" i="67"/>
  <c r="C34" i="82"/>
  <c r="D10" i="68"/>
  <c r="C34" i="83"/>
  <c r="B6" i="76"/>
  <c r="I46" i="37" l="1"/>
  <c r="J46" i="37" s="1"/>
  <c r="G47" i="37"/>
  <c r="H47" i="37" s="1"/>
  <c r="E6" i="3"/>
  <c r="J24" i="15"/>
  <c r="C23" i="15"/>
  <c r="C29" i="15" s="1"/>
  <c r="J14" i="15" s="1"/>
  <c r="E53" i="88"/>
  <c r="F53" i="88" s="1"/>
  <c r="E52" i="88"/>
  <c r="F52" i="88" s="1"/>
  <c r="AB7" i="36"/>
  <c r="U7" i="36"/>
  <c r="I53" i="88"/>
  <c r="J53" i="88" s="1"/>
  <c r="J7" i="36"/>
  <c r="D5" i="6"/>
  <c r="M12" i="87"/>
  <c r="C49" i="88"/>
  <c r="C48" i="88"/>
  <c r="F7" i="36"/>
  <c r="O59" i="34"/>
  <c r="J7" i="34" s="1"/>
  <c r="B28" i="74"/>
  <c r="C23" i="67"/>
  <c r="C29" i="67" s="1"/>
  <c r="C33" i="67" s="1"/>
  <c r="C31" i="67" s="1"/>
  <c r="C25" i="11"/>
  <c r="C22" i="11" s="1"/>
  <c r="C31" i="11" s="1"/>
  <c r="H20" i="6"/>
  <c r="H24" i="6"/>
  <c r="C38" i="83"/>
  <c r="C35" i="83"/>
  <c r="C35" i="82"/>
  <c r="C38" i="82"/>
  <c r="D9" i="6"/>
  <c r="D6" i="6"/>
  <c r="D28" i="6"/>
  <c r="C18" i="4"/>
  <c r="A7" i="51" s="1"/>
  <c r="B7" i="72" s="1"/>
  <c r="H25" i="6"/>
  <c r="D22" i="6"/>
  <c r="D29" i="6"/>
  <c r="D21" i="6"/>
  <c r="C16" i="74" s="1"/>
  <c r="H23" i="6"/>
  <c r="D11" i="6"/>
  <c r="D23" i="6"/>
  <c r="R23" i="6" s="1"/>
  <c r="D19" i="6"/>
  <c r="M19" i="9" s="1"/>
  <c r="C118" i="9" s="1"/>
  <c r="C14" i="74" s="1"/>
  <c r="H21" i="6"/>
  <c r="D24" i="6"/>
  <c r="D25" i="6"/>
  <c r="R25" i="6" s="1"/>
  <c r="H22" i="6"/>
  <c r="D10" i="6"/>
  <c r="D20" i="6"/>
  <c r="C15" i="74" s="1"/>
  <c r="D15" i="6"/>
  <c r="H26" i="6"/>
  <c r="E61" i="40"/>
  <c r="D13" i="6"/>
  <c r="D12" i="6"/>
  <c r="D14" i="6"/>
  <c r="D8" i="6"/>
  <c r="D26" i="6"/>
  <c r="R26" i="6" s="1"/>
  <c r="T16" i="1"/>
  <c r="R24" i="6"/>
  <c r="C66" i="67"/>
  <c r="C66" i="15"/>
  <c r="D30" i="6"/>
  <c r="C27" i="43"/>
  <c r="G70" i="39"/>
  <c r="H68" i="39"/>
  <c r="C10" i="69"/>
  <c r="C8" i="69" s="1"/>
  <c r="C5" i="69" s="1"/>
  <c r="D19" i="69"/>
  <c r="P14" i="1"/>
  <c r="P16" i="1" s="1"/>
  <c r="C11" i="12" s="1"/>
  <c r="D16" i="71"/>
  <c r="C15" i="71"/>
  <c r="B6" i="71"/>
  <c r="B5" i="71" s="1"/>
  <c r="S7" i="71"/>
  <c r="C10" i="68"/>
  <c r="D19" i="68"/>
  <c r="S19" i="6"/>
  <c r="S27" i="6" s="1"/>
  <c r="I27" i="6"/>
  <c r="H19" i="6"/>
  <c r="L16" i="1"/>
  <c r="N16" i="1"/>
  <c r="C34" i="1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4" i="68"/>
  <c r="E6" i="76"/>
  <c r="J59" i="15" l="1"/>
  <c r="J60" i="15" s="1"/>
  <c r="Q48" i="15" s="1"/>
  <c r="C33" i="15"/>
  <c r="C31" i="15" s="1"/>
  <c r="Q49" i="15"/>
  <c r="C57" i="15"/>
  <c r="C61" i="15" s="1"/>
  <c r="C59" i="15" s="1"/>
  <c r="J19" i="15"/>
  <c r="J17" i="15" s="1"/>
  <c r="C13" i="15"/>
  <c r="Q70" i="15" s="1"/>
  <c r="C36" i="15"/>
  <c r="C28" i="74"/>
  <c r="H7" i="34"/>
  <c r="F7" i="34"/>
  <c r="AC7" i="36"/>
  <c r="W7" i="36"/>
  <c r="W7" i="34"/>
  <c r="AC7" i="34"/>
  <c r="V49" i="34" s="1"/>
  <c r="I49" i="34" s="1"/>
  <c r="AA7" i="36"/>
  <c r="S7" i="36"/>
  <c r="B3" i="88"/>
  <c r="B2" i="88"/>
  <c r="C36" i="67"/>
  <c r="J19" i="67"/>
  <c r="J17" i="67" s="1"/>
  <c r="Q49" i="67"/>
  <c r="J14" i="67"/>
  <c r="J13" i="67" s="1"/>
  <c r="J23" i="67" s="1"/>
  <c r="J59" i="67"/>
  <c r="J60" i="67" s="1"/>
  <c r="L46" i="67" s="1"/>
  <c r="C57" i="67"/>
  <c r="C61" i="67" s="1"/>
  <c r="C59" i="67" s="1"/>
  <c r="C13" i="67"/>
  <c r="C75" i="67" s="1"/>
  <c r="R20" i="6"/>
  <c r="R7" i="1" s="1"/>
  <c r="D16" i="6"/>
  <c r="R22" i="6"/>
  <c r="C4" i="52"/>
  <c r="B45" i="72" s="1"/>
  <c r="H27" i="6"/>
  <c r="C33" i="83"/>
  <c r="C39" i="83" s="1"/>
  <c r="C43" i="83" s="1"/>
  <c r="C33" i="82"/>
  <c r="C39" i="82" s="1"/>
  <c r="C43" i="82" s="1"/>
  <c r="L19" i="9"/>
  <c r="R21" i="6"/>
  <c r="R8" i="1" s="1"/>
  <c r="M19" i="81"/>
  <c r="C118" i="81" s="1"/>
  <c r="L19" i="81"/>
  <c r="F50" i="82"/>
  <c r="F50" i="83"/>
  <c r="R19" i="6"/>
  <c r="R6" i="1" s="1"/>
  <c r="L19" i="80"/>
  <c r="M19" i="80"/>
  <c r="C118" i="80" s="1"/>
  <c r="D27" i="6"/>
  <c r="D31" i="6" s="1"/>
  <c r="A10" i="51"/>
  <c r="B9" i="72" s="1"/>
  <c r="E2" i="76"/>
  <c r="B3" i="76" s="1"/>
  <c r="H70" i="39"/>
  <c r="I68" i="39"/>
  <c r="C38" i="68"/>
  <c r="C35" i="68"/>
  <c r="F50" i="11"/>
  <c r="F50" i="68"/>
  <c r="F50" i="69"/>
  <c r="C19" i="68"/>
  <c r="D37" i="68"/>
  <c r="C37" i="68" s="1"/>
  <c r="C14" i="71"/>
  <c r="T15" i="71"/>
  <c r="D15" i="71"/>
  <c r="U15" i="71" s="1"/>
  <c r="C15" i="12"/>
  <c r="C12" i="12"/>
  <c r="C19" i="69"/>
  <c r="C24" i="69" s="1"/>
  <c r="D37" i="69"/>
  <c r="C37" i="69" s="1"/>
  <c r="C33" i="69" s="1"/>
  <c r="C38" i="11"/>
  <c r="C35" i="11"/>
  <c r="C23" i="69"/>
  <c r="I63" i="40"/>
  <c r="H65" i="40"/>
  <c r="I58" i="21"/>
  <c r="J58" i="21" s="1"/>
  <c r="K58" i="21" s="1"/>
  <c r="L58" i="21" s="1"/>
  <c r="M58" i="21" s="1"/>
  <c r="N58" i="21" s="1"/>
  <c r="O58" i="21" s="1"/>
  <c r="H7" i="21" s="1"/>
  <c r="F7" i="21"/>
  <c r="J48" i="35"/>
  <c r="J22" i="15"/>
  <c r="J13" i="15"/>
  <c r="J23" i="15" s="1"/>
  <c r="C64" i="15" l="1"/>
  <c r="J7" i="21"/>
  <c r="W7" i="21" s="1"/>
  <c r="C56" i="15"/>
  <c r="C65" i="15" s="1"/>
  <c r="L46" i="15"/>
  <c r="C37" i="15"/>
  <c r="C30" i="15" s="1"/>
  <c r="C39" i="15" s="1"/>
  <c r="Q69" i="15" s="1"/>
  <c r="Q68" i="15" s="1"/>
  <c r="C75" i="15"/>
  <c r="AB7" i="34"/>
  <c r="T49" i="34" s="1"/>
  <c r="G49" i="34" s="1"/>
  <c r="U7" i="34"/>
  <c r="I53" i="34"/>
  <c r="J53" i="34" s="1"/>
  <c r="AA7" i="34"/>
  <c r="R49" i="34" s="1"/>
  <c r="S7" i="34"/>
  <c r="Q48" i="67"/>
  <c r="Q70" i="67"/>
  <c r="C56" i="67"/>
  <c r="C65" i="67" s="1"/>
  <c r="C37" i="67"/>
  <c r="C30" i="67" s="1"/>
  <c r="C39" i="67" s="1"/>
  <c r="C40" i="67" s="1"/>
  <c r="C64" i="67"/>
  <c r="J22" i="67"/>
  <c r="J16" i="67" s="1"/>
  <c r="J25" i="67" s="1"/>
  <c r="I5" i="6"/>
  <c r="I6" i="6"/>
  <c r="R16" i="1"/>
  <c r="R27" i="6"/>
  <c r="C42" i="82"/>
  <c r="C41" i="82" s="1"/>
  <c r="C42" i="83"/>
  <c r="C41" i="83" s="1"/>
  <c r="C46" i="83"/>
  <c r="C45" i="83" s="1"/>
  <c r="C46" i="82"/>
  <c r="C45" i="82" s="1"/>
  <c r="C20" i="69"/>
  <c r="C28" i="69" s="1"/>
  <c r="C27" i="69" s="1"/>
  <c r="I70" i="39"/>
  <c r="J68" i="39"/>
  <c r="C16" i="12"/>
  <c r="C21" i="12" s="1"/>
  <c r="C22" i="12" s="1"/>
  <c r="C30" i="12" s="1"/>
  <c r="C28" i="12" s="1"/>
  <c r="C33" i="68"/>
  <c r="C42" i="68" s="1"/>
  <c r="C13" i="71"/>
  <c r="D14" i="71"/>
  <c r="C24" i="68"/>
  <c r="C33" i="11"/>
  <c r="C39" i="69"/>
  <c r="C43" i="69" s="1"/>
  <c r="C42" i="69"/>
  <c r="U7" i="21"/>
  <c r="AB7" i="21"/>
  <c r="T48" i="21" s="1"/>
  <c r="G48" i="21" s="1"/>
  <c r="S7" i="21"/>
  <c r="AA7" i="21"/>
  <c r="R48" i="21" s="1"/>
  <c r="J63" i="40"/>
  <c r="I65" i="40"/>
  <c r="K48" i="35"/>
  <c r="L48" i="35" s="1"/>
  <c r="M48" i="35" s="1"/>
  <c r="N48" i="35" s="1"/>
  <c r="O48" i="35" s="1"/>
  <c r="H7" i="35" s="1"/>
  <c r="AC7" i="21"/>
  <c r="V48" i="21" s="1"/>
  <c r="I48" i="21" s="1"/>
  <c r="J16" i="15"/>
  <c r="J25" i="15" s="1"/>
  <c r="L51" i="15"/>
  <c r="L51" i="67"/>
  <c r="C58" i="15" l="1"/>
  <c r="C67" i="15" s="1"/>
  <c r="C68" i="15" s="1"/>
  <c r="C71" i="15" s="1"/>
  <c r="C40" i="15"/>
  <c r="B2" i="15" s="1"/>
  <c r="B3" i="15" s="1"/>
  <c r="C80" i="15"/>
  <c r="C79" i="15" s="1"/>
  <c r="R50" i="34"/>
  <c r="E49" i="34"/>
  <c r="G53" i="34"/>
  <c r="H53" i="34" s="1"/>
  <c r="G54" i="34"/>
  <c r="H54" i="34" s="1"/>
  <c r="C58" i="67"/>
  <c r="C67" i="67" s="1"/>
  <c r="C68" i="67" s="1"/>
  <c r="C45" i="67" s="1"/>
  <c r="C46" i="67" s="1"/>
  <c r="Q69" i="67"/>
  <c r="Q68" i="67" s="1"/>
  <c r="C80" i="67"/>
  <c r="C79" i="67" s="1"/>
  <c r="C49" i="83"/>
  <c r="C51" i="83" s="1"/>
  <c r="C49" i="82"/>
  <c r="C51" i="82" s="1"/>
  <c r="C25" i="69"/>
  <c r="C22" i="69" s="1"/>
  <c r="C31" i="69" s="1"/>
  <c r="K68" i="39"/>
  <c r="J70" i="39"/>
  <c r="J7" i="35"/>
  <c r="W7" i="35" s="1"/>
  <c r="C41" i="69"/>
  <c r="C39" i="68"/>
  <c r="C46" i="68" s="1"/>
  <c r="C45" i="68" s="1"/>
  <c r="C46" i="69"/>
  <c r="C45" i="69" s="1"/>
  <c r="C27" i="12"/>
  <c r="C25" i="12" s="1"/>
  <c r="C32" i="12" s="1"/>
  <c r="B2" i="12" s="1"/>
  <c r="B3" i="12" s="1"/>
  <c r="C12" i="71"/>
  <c r="D13" i="71"/>
  <c r="C39" i="11"/>
  <c r="C42" i="11"/>
  <c r="J65" i="40"/>
  <c r="K63" i="40"/>
  <c r="I52" i="21"/>
  <c r="J52" i="21" s="1"/>
  <c r="U7" i="35"/>
  <c r="AB7" i="35"/>
  <c r="T38" i="35" s="1"/>
  <c r="G38" i="35" s="1"/>
  <c r="R49" i="21"/>
  <c r="E48" i="21"/>
  <c r="G52" i="21"/>
  <c r="H52" i="21" s="1"/>
  <c r="G53" i="21"/>
  <c r="H53" i="21" s="1"/>
  <c r="F7" i="35"/>
  <c r="Q67" i="15"/>
  <c r="L57" i="15"/>
  <c r="L60" i="15" s="1"/>
  <c r="Q67" i="67"/>
  <c r="L57" i="67"/>
  <c r="L60" i="67" s="1"/>
  <c r="C43" i="67"/>
  <c r="D2" i="67"/>
  <c r="Q47" i="67"/>
  <c r="Q53" i="67" s="1"/>
  <c r="Q56" i="67"/>
  <c r="Q65" i="67"/>
  <c r="C83" i="67"/>
  <c r="C82" i="67" s="1"/>
  <c r="C43" i="15" l="1"/>
  <c r="C83" i="15"/>
  <c r="C82" i="15" s="1"/>
  <c r="Q56" i="15"/>
  <c r="C46" i="15"/>
  <c r="Q47" i="15"/>
  <c r="Q53" i="15" s="1"/>
  <c r="Q65" i="15"/>
  <c r="E53" i="34"/>
  <c r="F53" i="34" s="1"/>
  <c r="E54" i="34"/>
  <c r="F54" i="34" s="1"/>
  <c r="I54" i="34"/>
  <c r="J54" i="34" s="1"/>
  <c r="C50" i="34"/>
  <c r="B2" i="34" s="1"/>
  <c r="B3" i="34" s="1"/>
  <c r="C49" i="34"/>
  <c r="C71" i="67"/>
  <c r="AC7" i="35"/>
  <c r="V38" i="35" s="1"/>
  <c r="I38" i="35" s="1"/>
  <c r="K70" i="39"/>
  <c r="L68" i="39"/>
  <c r="C49" i="69"/>
  <c r="C51" i="69" s="1"/>
  <c r="C52" i="69" s="1"/>
  <c r="B2" i="69" s="1"/>
  <c r="B3" i="69" s="1"/>
  <c r="C43" i="68"/>
  <c r="C41" i="68" s="1"/>
  <c r="C49" i="68" s="1"/>
  <c r="C51" i="68" s="1"/>
  <c r="N2" i="87" s="1"/>
  <c r="C46" i="11"/>
  <c r="C45" i="11" s="1"/>
  <c r="C43" i="11"/>
  <c r="C41" i="11" s="1"/>
  <c r="C11" i="71"/>
  <c r="D12" i="7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O2" i="87" l="1"/>
  <c r="Q12" i="87" s="1"/>
  <c r="E35" i="36"/>
  <c r="G35" i="36" s="1"/>
  <c r="E42" i="36" s="1"/>
  <c r="F42" i="36" s="1"/>
  <c r="D102" i="9"/>
  <c r="D21" i="9"/>
  <c r="B3" i="21"/>
  <c r="M68" i="39"/>
  <c r="L70" i="39"/>
  <c r="C49" i="11"/>
  <c r="C51" i="11" s="1"/>
  <c r="C52" i="11" s="1"/>
  <c r="B2" i="11" s="1"/>
  <c r="B3" i="11" s="1"/>
  <c r="C57" i="69"/>
  <c r="C56" i="69" s="1"/>
  <c r="C10" i="71"/>
  <c r="T11" i="71"/>
  <c r="D11" i="71"/>
  <c r="U11" i="71" s="1"/>
  <c r="R39" i="35"/>
  <c r="E38" i="35"/>
  <c r="M63" i="40"/>
  <c r="L65" i="40"/>
  <c r="D20" i="9"/>
  <c r="I35" i="36" l="1"/>
  <c r="I42" i="36" s="1"/>
  <c r="J42" i="36" s="1"/>
  <c r="R35" i="36"/>
  <c r="R36" i="36" s="1"/>
  <c r="E36" i="36" s="1"/>
  <c r="P12" i="87"/>
  <c r="V35" i="36"/>
  <c r="V36" i="36" s="1"/>
  <c r="I36" i="36" s="1"/>
  <c r="T35" i="36"/>
  <c r="T36" i="36" s="1"/>
  <c r="G36" i="36" s="1"/>
  <c r="G40" i="36" s="1"/>
  <c r="H40" i="36" s="1"/>
  <c r="D103" i="9"/>
  <c r="N68" i="39"/>
  <c r="M70" i="39"/>
  <c r="C56" i="11"/>
  <c r="C57" i="11" s="1"/>
  <c r="C9" i="71"/>
  <c r="D10" i="71"/>
  <c r="C39" i="35"/>
  <c r="B2" i="35" s="1"/>
  <c r="C38" i="35"/>
  <c r="N63" i="40"/>
  <c r="M65" i="40"/>
  <c r="E43" i="35"/>
  <c r="F43" i="35" s="1"/>
  <c r="E42" i="35"/>
  <c r="F42" i="35" s="1"/>
  <c r="I43" i="35"/>
  <c r="J43" i="35" s="1"/>
  <c r="D19" i="81"/>
  <c r="G42" i="36" l="1"/>
  <c r="H42" i="36" s="1"/>
  <c r="R37" i="36"/>
  <c r="C36" i="36" s="1"/>
  <c r="I41" i="36"/>
  <c r="J41" i="36" s="1"/>
  <c r="C37" i="36"/>
  <c r="B2" i="36" s="1"/>
  <c r="G41" i="36"/>
  <c r="H41" i="36" s="1"/>
  <c r="I40" i="36"/>
  <c r="J40" i="36" s="1"/>
  <c r="E41" i="36"/>
  <c r="F41" i="36" s="1"/>
  <c r="E40" i="36"/>
  <c r="F40" i="36" s="1"/>
  <c r="D21" i="81"/>
  <c r="D102" i="81"/>
  <c r="B3" i="35"/>
  <c r="N70" i="39"/>
  <c r="J7" i="39" s="1"/>
  <c r="O68" i="39"/>
  <c r="O70" i="39" s="1"/>
  <c r="C8" i="71"/>
  <c r="D9" i="71"/>
  <c r="O63" i="40"/>
  <c r="O65" i="40" s="1"/>
  <c r="N65" i="40"/>
  <c r="D19" i="80"/>
  <c r="D20" i="81"/>
  <c r="F7" i="39" l="1"/>
  <c r="AA7" i="39" s="1"/>
  <c r="R47" i="39" s="1"/>
  <c r="D102" i="80"/>
  <c r="D21" i="80"/>
  <c r="B3" i="36"/>
  <c r="D103" i="81"/>
  <c r="AC7" i="39"/>
  <c r="V47" i="39" s="1"/>
  <c r="I47" i="39" s="1"/>
  <c r="W7" i="39"/>
  <c r="H7" i="39"/>
  <c r="D8" i="71"/>
  <c r="C7" i="71"/>
  <c r="J7" i="40"/>
  <c r="F7" i="40"/>
  <c r="H7" i="40"/>
  <c r="D20" i="80"/>
  <c r="S7" i="39" l="1"/>
  <c r="D103" i="80"/>
  <c r="AB7" i="39"/>
  <c r="T47" i="39" s="1"/>
  <c r="G47" i="39" s="1"/>
  <c r="U7" i="39"/>
  <c r="E47" i="39"/>
  <c r="I51" i="39"/>
  <c r="J51" i="39" s="1"/>
  <c r="C6" i="71"/>
  <c r="T7" i="71"/>
  <c r="D7" i="71"/>
  <c r="U7" i="71" s="1"/>
  <c r="U7" i="40"/>
  <c r="AB7" i="40"/>
  <c r="T42" i="40" s="1"/>
  <c r="G42" i="40" s="1"/>
  <c r="AA7" i="40"/>
  <c r="R42" i="40" s="1"/>
  <c r="S7" i="40"/>
  <c r="AC7" i="40"/>
  <c r="V42" i="40" s="1"/>
  <c r="I42" i="40" s="1"/>
  <c r="W7" i="40"/>
  <c r="R48" i="39" l="1"/>
  <c r="C48" i="39" s="1"/>
  <c r="E51" i="39"/>
  <c r="F51" i="39" s="1"/>
  <c r="E52" i="39"/>
  <c r="F52" i="39" s="1"/>
  <c r="I52" i="39"/>
  <c r="J52" i="39" s="1"/>
  <c r="G52" i="39"/>
  <c r="H52" i="39" s="1"/>
  <c r="G51" i="39"/>
  <c r="H51" i="39" s="1"/>
  <c r="D6" i="71"/>
  <c r="C5" i="71"/>
  <c r="I46" i="40"/>
  <c r="J46" i="40" s="1"/>
  <c r="R43" i="40"/>
  <c r="E42" i="40"/>
  <c r="G47" i="40"/>
  <c r="H47" i="40" s="1"/>
  <c r="G46" i="40"/>
  <c r="H46" i="40" s="1"/>
  <c r="C47" i="39" l="1"/>
  <c r="B57" i="39"/>
  <c r="F57" i="39" s="1"/>
  <c r="B58" i="39"/>
  <c r="F58" i="39" s="1"/>
  <c r="B63" i="39"/>
  <c r="F63" i="39" s="1"/>
  <c r="B59" i="39"/>
  <c r="F59" i="39" s="1"/>
  <c r="B62" i="39"/>
  <c r="B56" i="39"/>
  <c r="B64" i="39"/>
  <c r="F64" i="39" s="1"/>
  <c r="B65" i="39"/>
  <c r="F65" i="39" s="1"/>
  <c r="B61" i="39"/>
  <c r="F61" i="39" s="1"/>
  <c r="B60" i="39"/>
  <c r="F60" i="39" s="1"/>
  <c r="D5" i="71"/>
  <c r="M20" i="43"/>
  <c r="C42" i="40"/>
  <c r="C43" i="40"/>
  <c r="E47" i="40"/>
  <c r="F47" i="40" s="1"/>
  <c r="E46" i="40"/>
  <c r="F46" i="40" s="1"/>
  <c r="I47" i="40"/>
  <c r="J47" i="40" s="1"/>
  <c r="F62" i="39" l="1"/>
  <c r="C6" i="82" s="1"/>
  <c r="F56" i="39"/>
  <c r="C7" i="82"/>
  <c r="C5" i="82" s="1"/>
  <c r="C6" i="83"/>
  <c r="C7" i="83" s="1"/>
  <c r="C5" i="8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2" i="9"/>
  <c r="D21" i="53" s="1"/>
  <c r="B39" i="72" s="1"/>
  <c r="H111" i="9"/>
  <c r="D19" i="53" s="1"/>
  <c r="C6" i="68" l="1"/>
  <c r="C7" i="68" s="1"/>
  <c r="C5" i="68" s="1"/>
  <c r="F66" i="39"/>
  <c r="B2" i="39" s="1"/>
  <c r="B3" i="39" s="1"/>
  <c r="C20" i="83"/>
  <c r="C25" i="83" s="1"/>
  <c r="C23" i="83"/>
  <c r="C20" i="82"/>
  <c r="C25" i="82" s="1"/>
  <c r="C23" i="82"/>
  <c r="C28" i="83"/>
  <c r="C27" i="83" s="1"/>
  <c r="B38" i="72"/>
  <c r="D20" i="53"/>
  <c r="B40" i="72" s="1"/>
  <c r="D126" i="9"/>
  <c r="C20" i="68" l="1"/>
  <c r="C25" i="68" s="1"/>
  <c r="C23" i="68"/>
  <c r="C22" i="82"/>
  <c r="C28" i="82"/>
  <c r="C27" i="82" s="1"/>
  <c r="C22" i="83"/>
  <c r="C31" i="83" s="1"/>
  <c r="C52" i="83" s="1"/>
  <c r="B2" i="83" s="1"/>
  <c r="C28" i="68"/>
  <c r="C27" i="68" s="1"/>
  <c r="D127" i="9"/>
  <c r="D13" i="52" s="1"/>
  <c r="D12" i="52"/>
  <c r="I14" i="74"/>
  <c r="B8" i="74" s="1"/>
  <c r="C19" i="81"/>
  <c r="B3" i="83"/>
  <c r="C22" i="68" l="1"/>
  <c r="C31" i="68" s="1"/>
  <c r="C52" i="68" s="1"/>
  <c r="B2" i="68" s="1"/>
  <c r="C31" i="82"/>
  <c r="C52" i="82" s="1"/>
  <c r="C57" i="82" s="1"/>
  <c r="C56" i="82" s="1"/>
  <c r="C102" i="81"/>
  <c r="C21" i="81"/>
  <c r="D22" i="81"/>
  <c r="G19" i="81"/>
  <c r="D16" i="74" s="1"/>
  <c r="C57" i="83"/>
  <c r="D35" i="81"/>
  <c r="B3" i="68"/>
  <c r="C20" i="81"/>
  <c r="C19" i="9"/>
  <c r="C56" i="83" l="1"/>
  <c r="G16" i="74"/>
  <c r="C103" i="81"/>
  <c r="G20" i="81"/>
  <c r="R4" i="87" s="1"/>
  <c r="G21" i="81"/>
  <c r="B2" i="82"/>
  <c r="C32" i="81"/>
  <c r="C35" i="81" s="1"/>
  <c r="C34" i="81" s="1"/>
  <c r="C21" i="9"/>
  <c r="G19" i="9"/>
  <c r="G21" i="9" s="1"/>
  <c r="C102" i="9"/>
  <c r="D22" i="9"/>
  <c r="C57" i="68"/>
  <c r="C20" i="9"/>
  <c r="C19" i="80"/>
  <c r="B3" i="82"/>
  <c r="D35" i="9"/>
  <c r="D34" i="81"/>
  <c r="I577" i="87" l="1"/>
  <c r="J577" i="87" s="1"/>
  <c r="I579" i="87"/>
  <c r="J579" i="87" s="1"/>
  <c r="I581" i="87"/>
  <c r="J581" i="87" s="1"/>
  <c r="I583" i="87"/>
  <c r="J583" i="87" s="1"/>
  <c r="I585" i="87"/>
  <c r="J585" i="87" s="1"/>
  <c r="I587" i="87"/>
  <c r="J587" i="87" s="1"/>
  <c r="I578" i="87"/>
  <c r="J578" i="87" s="1"/>
  <c r="I580" i="87"/>
  <c r="J580" i="87" s="1"/>
  <c r="I582" i="87"/>
  <c r="J582" i="87" s="1"/>
  <c r="I584" i="87"/>
  <c r="J584" i="87" s="1"/>
  <c r="I586" i="87"/>
  <c r="J586" i="87" s="1"/>
  <c r="I588" i="87"/>
  <c r="J588" i="87" s="1"/>
  <c r="J19" i="81"/>
  <c r="A27" i="81"/>
  <c r="F16" i="74"/>
  <c r="E16" i="74"/>
  <c r="C21" i="80"/>
  <c r="C102" i="80"/>
  <c r="G19" i="80"/>
  <c r="D15" i="74" s="1"/>
  <c r="D22" i="80"/>
  <c r="C32" i="9"/>
  <c r="H118" i="9" s="1"/>
  <c r="D14" i="74" s="1"/>
  <c r="G20" i="9"/>
  <c r="R2" i="87" s="1"/>
  <c r="I17" i="87" s="1"/>
  <c r="C103" i="9"/>
  <c r="C56" i="68"/>
  <c r="D35" i="80"/>
  <c r="D34" i="9"/>
  <c r="D34" i="80"/>
  <c r="C20" i="80"/>
  <c r="I2" i="87" l="1"/>
  <c r="I59" i="87"/>
  <c r="J59" i="87" s="1"/>
  <c r="I62" i="87"/>
  <c r="J62" i="87" s="1"/>
  <c r="I65" i="87"/>
  <c r="J65" i="87" s="1"/>
  <c r="I5" i="87"/>
  <c r="J5" i="87" s="1"/>
  <c r="J20" i="9"/>
  <c r="J2" i="87"/>
  <c r="I353" i="87"/>
  <c r="J353" i="87" s="1"/>
  <c r="I355" i="87"/>
  <c r="J355" i="87" s="1"/>
  <c r="I357" i="87"/>
  <c r="J357" i="87" s="1"/>
  <c r="I359" i="87"/>
  <c r="J359" i="87" s="1"/>
  <c r="I361" i="87"/>
  <c r="J361" i="87" s="1"/>
  <c r="I363" i="87"/>
  <c r="J363" i="87" s="1"/>
  <c r="I365" i="87"/>
  <c r="J365" i="87" s="1"/>
  <c r="I367" i="87"/>
  <c r="J367" i="87" s="1"/>
  <c r="I369" i="87"/>
  <c r="J369" i="87" s="1"/>
  <c r="I371" i="87"/>
  <c r="J371" i="87" s="1"/>
  <c r="I373" i="87"/>
  <c r="J373" i="87" s="1"/>
  <c r="I375" i="87"/>
  <c r="J375" i="87" s="1"/>
  <c r="I377" i="87"/>
  <c r="J377" i="87" s="1"/>
  <c r="I379" i="87"/>
  <c r="J379" i="87" s="1"/>
  <c r="I381" i="87"/>
  <c r="J381" i="87" s="1"/>
  <c r="I383" i="87"/>
  <c r="J383" i="87" s="1"/>
  <c r="I385" i="87"/>
  <c r="J385" i="87" s="1"/>
  <c r="I387" i="87"/>
  <c r="J387" i="87" s="1"/>
  <c r="I389" i="87"/>
  <c r="J389" i="87" s="1"/>
  <c r="I391" i="87"/>
  <c r="J391" i="87" s="1"/>
  <c r="I393" i="87"/>
  <c r="J393" i="87" s="1"/>
  <c r="I395" i="87"/>
  <c r="J395" i="87" s="1"/>
  <c r="I397" i="87"/>
  <c r="J397" i="87" s="1"/>
  <c r="I399" i="87"/>
  <c r="J399" i="87" s="1"/>
  <c r="I401" i="87"/>
  <c r="J401" i="87" s="1"/>
  <c r="I403" i="87"/>
  <c r="J403" i="87" s="1"/>
  <c r="I405" i="87"/>
  <c r="J405" i="87" s="1"/>
  <c r="I407" i="87"/>
  <c r="J407" i="87" s="1"/>
  <c r="I409" i="87"/>
  <c r="J409" i="87" s="1"/>
  <c r="I411" i="87"/>
  <c r="J411" i="87" s="1"/>
  <c r="I413" i="87"/>
  <c r="J413" i="87" s="1"/>
  <c r="I415" i="87"/>
  <c r="J415" i="87" s="1"/>
  <c r="I417" i="87"/>
  <c r="J417" i="87" s="1"/>
  <c r="I419" i="87"/>
  <c r="J419" i="87" s="1"/>
  <c r="I421" i="87"/>
  <c r="J421" i="87" s="1"/>
  <c r="I423" i="87"/>
  <c r="J423" i="87" s="1"/>
  <c r="I425" i="87"/>
  <c r="J425" i="87" s="1"/>
  <c r="I427" i="87"/>
  <c r="J427" i="87" s="1"/>
  <c r="I429" i="87"/>
  <c r="J429" i="87" s="1"/>
  <c r="I431" i="87"/>
  <c r="J431" i="87" s="1"/>
  <c r="I433" i="87"/>
  <c r="J433" i="87" s="1"/>
  <c r="I435" i="87"/>
  <c r="J435" i="87" s="1"/>
  <c r="I437" i="87"/>
  <c r="J437" i="87" s="1"/>
  <c r="I356" i="87"/>
  <c r="J356" i="87" s="1"/>
  <c r="I360" i="87"/>
  <c r="J360" i="87" s="1"/>
  <c r="I364" i="87"/>
  <c r="J364" i="87" s="1"/>
  <c r="I368" i="87"/>
  <c r="J368" i="87" s="1"/>
  <c r="I372" i="87"/>
  <c r="J372" i="87" s="1"/>
  <c r="I376" i="87"/>
  <c r="J376" i="87" s="1"/>
  <c r="I380" i="87"/>
  <c r="J380" i="87" s="1"/>
  <c r="I384" i="87"/>
  <c r="J384" i="87" s="1"/>
  <c r="I388" i="87"/>
  <c r="J388" i="87" s="1"/>
  <c r="I392" i="87"/>
  <c r="J392" i="87" s="1"/>
  <c r="I396" i="87"/>
  <c r="J396" i="87" s="1"/>
  <c r="I400" i="87"/>
  <c r="J400" i="87" s="1"/>
  <c r="I404" i="87"/>
  <c r="J404" i="87" s="1"/>
  <c r="I408" i="87"/>
  <c r="J408" i="87" s="1"/>
  <c r="I412" i="87"/>
  <c r="J412" i="87" s="1"/>
  <c r="I416" i="87"/>
  <c r="J416" i="87" s="1"/>
  <c r="I420" i="87"/>
  <c r="J420" i="87" s="1"/>
  <c r="I424" i="87"/>
  <c r="J424" i="87" s="1"/>
  <c r="I428" i="87"/>
  <c r="J428" i="87" s="1"/>
  <c r="I432" i="87"/>
  <c r="J432" i="87" s="1"/>
  <c r="I436" i="87"/>
  <c r="J436" i="87" s="1"/>
  <c r="I439" i="87"/>
  <c r="J439" i="87" s="1"/>
  <c r="I441" i="87"/>
  <c r="J441" i="87" s="1"/>
  <c r="I443" i="87"/>
  <c r="J443" i="87" s="1"/>
  <c r="I445" i="87"/>
  <c r="J445" i="87" s="1"/>
  <c r="I447" i="87"/>
  <c r="J447" i="87" s="1"/>
  <c r="I449" i="87"/>
  <c r="J449" i="87" s="1"/>
  <c r="I451" i="87"/>
  <c r="J451" i="87" s="1"/>
  <c r="I453" i="87"/>
  <c r="J453" i="87" s="1"/>
  <c r="I455" i="87"/>
  <c r="J455" i="87" s="1"/>
  <c r="I457" i="87"/>
  <c r="J457" i="87" s="1"/>
  <c r="I459" i="87"/>
  <c r="J459" i="87" s="1"/>
  <c r="I461" i="87"/>
  <c r="J461" i="87" s="1"/>
  <c r="I463" i="87"/>
  <c r="J463" i="87" s="1"/>
  <c r="I465" i="87"/>
  <c r="J465" i="87" s="1"/>
  <c r="I467" i="87"/>
  <c r="J467" i="87" s="1"/>
  <c r="I469" i="87"/>
  <c r="J469" i="87" s="1"/>
  <c r="I471" i="87"/>
  <c r="J471" i="87" s="1"/>
  <c r="I473" i="87"/>
  <c r="J473" i="87" s="1"/>
  <c r="I475" i="87"/>
  <c r="J475" i="87" s="1"/>
  <c r="I477" i="87"/>
  <c r="J477" i="87" s="1"/>
  <c r="I479" i="87"/>
  <c r="J479" i="87" s="1"/>
  <c r="I481" i="87"/>
  <c r="J481" i="87" s="1"/>
  <c r="I483" i="87"/>
  <c r="J483" i="87" s="1"/>
  <c r="I485" i="87"/>
  <c r="J485" i="87" s="1"/>
  <c r="I487" i="87"/>
  <c r="J487" i="87" s="1"/>
  <c r="I489" i="87"/>
  <c r="J489" i="87" s="1"/>
  <c r="I491" i="87"/>
  <c r="J491" i="87" s="1"/>
  <c r="I493" i="87"/>
  <c r="J493" i="87" s="1"/>
  <c r="I495" i="87"/>
  <c r="J495" i="87" s="1"/>
  <c r="I497" i="87"/>
  <c r="J497" i="87" s="1"/>
  <c r="I499" i="87"/>
  <c r="J499" i="87" s="1"/>
  <c r="I501" i="87"/>
  <c r="J501" i="87" s="1"/>
  <c r="I503" i="87"/>
  <c r="J503" i="87" s="1"/>
  <c r="I505" i="87"/>
  <c r="J505" i="87" s="1"/>
  <c r="I507" i="87"/>
  <c r="J507" i="87" s="1"/>
  <c r="I509" i="87"/>
  <c r="J509" i="87" s="1"/>
  <c r="I511" i="87"/>
  <c r="J511" i="87" s="1"/>
  <c r="I513" i="87"/>
  <c r="J513" i="87" s="1"/>
  <c r="I515" i="87"/>
  <c r="J515" i="87" s="1"/>
  <c r="I517" i="87"/>
  <c r="J517" i="87" s="1"/>
  <c r="I519" i="87"/>
  <c r="J519" i="87" s="1"/>
  <c r="I521" i="87"/>
  <c r="J521" i="87" s="1"/>
  <c r="I523" i="87"/>
  <c r="J523" i="87" s="1"/>
  <c r="I525" i="87"/>
  <c r="J525" i="87" s="1"/>
  <c r="I527" i="87"/>
  <c r="J527" i="87" s="1"/>
  <c r="I529" i="87"/>
  <c r="J529" i="87" s="1"/>
  <c r="I531" i="87"/>
  <c r="J531" i="87" s="1"/>
  <c r="I533" i="87"/>
  <c r="J533" i="87" s="1"/>
  <c r="I535" i="87"/>
  <c r="J535" i="87" s="1"/>
  <c r="I537" i="87"/>
  <c r="J537" i="87" s="1"/>
  <c r="I539" i="87"/>
  <c r="J539" i="87" s="1"/>
  <c r="I541" i="87"/>
  <c r="J541" i="87" s="1"/>
  <c r="I543" i="87"/>
  <c r="J543" i="87" s="1"/>
  <c r="I545" i="87"/>
  <c r="J545" i="87" s="1"/>
  <c r="I547" i="87"/>
  <c r="J547" i="87" s="1"/>
  <c r="I549" i="87"/>
  <c r="J549" i="87" s="1"/>
  <c r="I551" i="87"/>
  <c r="J551" i="87" s="1"/>
  <c r="I553" i="87"/>
  <c r="J553" i="87" s="1"/>
  <c r="I555" i="87"/>
  <c r="J555" i="87" s="1"/>
  <c r="I557" i="87"/>
  <c r="J557" i="87" s="1"/>
  <c r="I559" i="87"/>
  <c r="J559" i="87" s="1"/>
  <c r="I561" i="87"/>
  <c r="J561" i="87" s="1"/>
  <c r="I563" i="87"/>
  <c r="J563" i="87" s="1"/>
  <c r="I565" i="87"/>
  <c r="J565" i="87" s="1"/>
  <c r="I567" i="87"/>
  <c r="J567" i="87" s="1"/>
  <c r="I569" i="87"/>
  <c r="J569" i="87" s="1"/>
  <c r="I571" i="87"/>
  <c r="J571" i="87" s="1"/>
  <c r="I573" i="87"/>
  <c r="J573" i="87" s="1"/>
  <c r="I575" i="87"/>
  <c r="J575" i="87" s="1"/>
  <c r="I354" i="87"/>
  <c r="J354" i="87" s="1"/>
  <c r="I358" i="87"/>
  <c r="J358" i="87" s="1"/>
  <c r="I362" i="87"/>
  <c r="J362" i="87" s="1"/>
  <c r="I366" i="87"/>
  <c r="J366" i="87" s="1"/>
  <c r="I370" i="87"/>
  <c r="J370" i="87" s="1"/>
  <c r="I374" i="87"/>
  <c r="J374" i="87" s="1"/>
  <c r="I378" i="87"/>
  <c r="J378" i="87" s="1"/>
  <c r="I382" i="87"/>
  <c r="J382" i="87" s="1"/>
  <c r="I386" i="87"/>
  <c r="J386" i="87" s="1"/>
  <c r="I390" i="87"/>
  <c r="J390" i="87" s="1"/>
  <c r="I394" i="87"/>
  <c r="J394" i="87" s="1"/>
  <c r="I398" i="87"/>
  <c r="J398" i="87" s="1"/>
  <c r="I402" i="87"/>
  <c r="J402" i="87" s="1"/>
  <c r="I406" i="87"/>
  <c r="J406" i="87" s="1"/>
  <c r="I410" i="87"/>
  <c r="J410" i="87" s="1"/>
  <c r="I414" i="87"/>
  <c r="J414" i="87" s="1"/>
  <c r="I418" i="87"/>
  <c r="J418" i="87" s="1"/>
  <c r="I422" i="87"/>
  <c r="J422" i="87" s="1"/>
  <c r="I426" i="87"/>
  <c r="J426" i="87" s="1"/>
  <c r="I430" i="87"/>
  <c r="J430" i="87" s="1"/>
  <c r="I434" i="87"/>
  <c r="J434" i="87" s="1"/>
  <c r="I438" i="87"/>
  <c r="J438" i="87" s="1"/>
  <c r="I440" i="87"/>
  <c r="J440" i="87" s="1"/>
  <c r="I442" i="87"/>
  <c r="J442" i="87" s="1"/>
  <c r="I444" i="87"/>
  <c r="J444" i="87" s="1"/>
  <c r="I446" i="87"/>
  <c r="J446" i="87" s="1"/>
  <c r="I448" i="87"/>
  <c r="J448" i="87" s="1"/>
  <c r="I450" i="87"/>
  <c r="J450" i="87" s="1"/>
  <c r="I452" i="87"/>
  <c r="J452" i="87" s="1"/>
  <c r="I454" i="87"/>
  <c r="J454" i="87" s="1"/>
  <c r="I456" i="87"/>
  <c r="J456" i="87" s="1"/>
  <c r="I458" i="87"/>
  <c r="J458" i="87" s="1"/>
  <c r="I460" i="87"/>
  <c r="J460" i="87" s="1"/>
  <c r="I462" i="87"/>
  <c r="J462" i="87" s="1"/>
  <c r="I464" i="87"/>
  <c r="J464" i="87" s="1"/>
  <c r="I466" i="87"/>
  <c r="J466" i="87" s="1"/>
  <c r="I468" i="87"/>
  <c r="J468" i="87" s="1"/>
  <c r="I470" i="87"/>
  <c r="J470" i="87" s="1"/>
  <c r="I472" i="87"/>
  <c r="J472" i="87" s="1"/>
  <c r="I474" i="87"/>
  <c r="J474" i="87" s="1"/>
  <c r="I476" i="87"/>
  <c r="J476" i="87" s="1"/>
  <c r="I478" i="87"/>
  <c r="J478" i="87" s="1"/>
  <c r="I480" i="87"/>
  <c r="J480" i="87" s="1"/>
  <c r="I482" i="87"/>
  <c r="J482" i="87" s="1"/>
  <c r="I484" i="87"/>
  <c r="J484" i="87" s="1"/>
  <c r="I486" i="87"/>
  <c r="J486" i="87" s="1"/>
  <c r="I488" i="87"/>
  <c r="J488" i="87" s="1"/>
  <c r="I490" i="87"/>
  <c r="J490" i="87" s="1"/>
  <c r="I492" i="87"/>
  <c r="J492" i="87" s="1"/>
  <c r="I494" i="87"/>
  <c r="J494" i="87" s="1"/>
  <c r="I496" i="87"/>
  <c r="J496" i="87" s="1"/>
  <c r="I498" i="87"/>
  <c r="J498" i="87" s="1"/>
  <c r="I500" i="87"/>
  <c r="J500" i="87" s="1"/>
  <c r="I502" i="87"/>
  <c r="J502" i="87" s="1"/>
  <c r="I504" i="87"/>
  <c r="J504" i="87" s="1"/>
  <c r="I506" i="87"/>
  <c r="J506" i="87" s="1"/>
  <c r="I508" i="87"/>
  <c r="J508" i="87" s="1"/>
  <c r="I510" i="87"/>
  <c r="J510" i="87" s="1"/>
  <c r="I512" i="87"/>
  <c r="J512" i="87" s="1"/>
  <c r="I514" i="87"/>
  <c r="J514" i="87" s="1"/>
  <c r="I516" i="87"/>
  <c r="J516" i="87" s="1"/>
  <c r="I518" i="87"/>
  <c r="J518" i="87" s="1"/>
  <c r="I520" i="87"/>
  <c r="J520" i="87" s="1"/>
  <c r="I522" i="87"/>
  <c r="J522" i="87" s="1"/>
  <c r="I524" i="87"/>
  <c r="J524" i="87" s="1"/>
  <c r="I526" i="87"/>
  <c r="J526" i="87" s="1"/>
  <c r="I528" i="87"/>
  <c r="J528" i="87" s="1"/>
  <c r="I530" i="87"/>
  <c r="J530" i="87" s="1"/>
  <c r="I532" i="87"/>
  <c r="J532" i="87" s="1"/>
  <c r="I534" i="87"/>
  <c r="J534" i="87" s="1"/>
  <c r="I536" i="87"/>
  <c r="J536" i="87" s="1"/>
  <c r="I538" i="87"/>
  <c r="J538" i="87" s="1"/>
  <c r="I540" i="87"/>
  <c r="J540" i="87" s="1"/>
  <c r="I542" i="87"/>
  <c r="J542" i="87" s="1"/>
  <c r="I544" i="87"/>
  <c r="J544" i="87" s="1"/>
  <c r="I546" i="87"/>
  <c r="J546" i="87" s="1"/>
  <c r="I548" i="87"/>
  <c r="J548" i="87" s="1"/>
  <c r="I550" i="87"/>
  <c r="J550" i="87" s="1"/>
  <c r="I552" i="87"/>
  <c r="J552" i="87" s="1"/>
  <c r="I554" i="87"/>
  <c r="J554" i="87" s="1"/>
  <c r="I556" i="87"/>
  <c r="J556" i="87" s="1"/>
  <c r="I558" i="87"/>
  <c r="J558" i="87" s="1"/>
  <c r="I560" i="87"/>
  <c r="J560" i="87" s="1"/>
  <c r="I562" i="87"/>
  <c r="J562" i="87" s="1"/>
  <c r="I564" i="87"/>
  <c r="J564" i="87" s="1"/>
  <c r="I566" i="87"/>
  <c r="J566" i="87" s="1"/>
  <c r="I568" i="87"/>
  <c r="J568" i="87" s="1"/>
  <c r="I570" i="87"/>
  <c r="J570" i="87" s="1"/>
  <c r="I572" i="87"/>
  <c r="J572" i="87" s="1"/>
  <c r="I574" i="87"/>
  <c r="J574" i="87" s="1"/>
  <c r="I576" i="87"/>
  <c r="G21" i="80"/>
  <c r="C35" i="9"/>
  <c r="F118" i="9" s="1"/>
  <c r="G20" i="80"/>
  <c r="R3" i="87" s="1"/>
  <c r="C103" i="80"/>
  <c r="A27" i="9"/>
  <c r="C32" i="80"/>
  <c r="C35" i="80" s="1"/>
  <c r="C34" i="80" s="1"/>
  <c r="H101" i="9"/>
  <c r="H119" i="9"/>
  <c r="H5" i="52" s="1"/>
  <c r="C104" i="9"/>
  <c r="H4" i="52"/>
  <c r="I118" i="9"/>
  <c r="I293" i="87" l="1"/>
  <c r="J293" i="87" s="1"/>
  <c r="K293" i="87" s="1"/>
  <c r="I18" i="87"/>
  <c r="J18" i="87" s="1"/>
  <c r="I68" i="87"/>
  <c r="I67" i="87"/>
  <c r="J67" i="87" s="1"/>
  <c r="K67" i="87" s="1"/>
  <c r="J68" i="87"/>
  <c r="K68" i="87" s="1"/>
  <c r="J20" i="80"/>
  <c r="J576" i="87"/>
  <c r="J589" i="87" s="1"/>
  <c r="I257" i="87"/>
  <c r="J257" i="87" s="1"/>
  <c r="I313" i="87"/>
  <c r="J313" i="87" s="1"/>
  <c r="I316" i="87"/>
  <c r="J316" i="87" s="1"/>
  <c r="I56" i="87"/>
  <c r="J56" i="87" s="1"/>
  <c r="I148" i="87"/>
  <c r="J148" i="87" s="1"/>
  <c r="I215" i="87"/>
  <c r="J215" i="87" s="1"/>
  <c r="I218" i="87"/>
  <c r="J218" i="87" s="1"/>
  <c r="I109" i="87"/>
  <c r="J109" i="87" s="1"/>
  <c r="I310" i="87"/>
  <c r="J310" i="87" s="1"/>
  <c r="I209" i="87"/>
  <c r="J209" i="87" s="1"/>
  <c r="I50" i="87"/>
  <c r="J50" i="87" s="1"/>
  <c r="I263" i="87"/>
  <c r="J263" i="87" s="1"/>
  <c r="I38" i="87"/>
  <c r="J38" i="87" s="1"/>
  <c r="I266" i="87"/>
  <c r="J266" i="87" s="1"/>
  <c r="I154" i="87"/>
  <c r="J154" i="87" s="1"/>
  <c r="I157" i="87"/>
  <c r="J157" i="87" s="1"/>
  <c r="I47" i="87"/>
  <c r="J47" i="87" s="1"/>
  <c r="I160" i="87"/>
  <c r="J160" i="87" s="1"/>
  <c r="I337" i="87"/>
  <c r="J337" i="87" s="1"/>
  <c r="I290" i="87"/>
  <c r="J290" i="87" s="1"/>
  <c r="I242" i="87"/>
  <c r="J242" i="87" s="1"/>
  <c r="I194" i="87"/>
  <c r="J194" i="87" s="1"/>
  <c r="I106" i="87"/>
  <c r="J106" i="87" s="1"/>
  <c r="I8" i="87"/>
  <c r="J8" i="87" s="1"/>
  <c r="I133" i="87"/>
  <c r="J133" i="87" s="1"/>
  <c r="I85" i="87"/>
  <c r="J85" i="87" s="1"/>
  <c r="I23" i="87"/>
  <c r="J23" i="87" s="1"/>
  <c r="I334" i="87"/>
  <c r="J334" i="87" s="1"/>
  <c r="I281" i="87"/>
  <c r="J281" i="87" s="1"/>
  <c r="I233" i="87"/>
  <c r="J233" i="87" s="1"/>
  <c r="I185" i="87"/>
  <c r="J185" i="87" s="1"/>
  <c r="I100" i="87"/>
  <c r="J100" i="87" s="1"/>
  <c r="I340" i="87"/>
  <c r="J340" i="87" s="1"/>
  <c r="I287" i="87"/>
  <c r="J287" i="87" s="1"/>
  <c r="I239" i="87"/>
  <c r="J239" i="87" s="1"/>
  <c r="I191" i="87"/>
  <c r="J191" i="87" s="1"/>
  <c r="I112" i="87"/>
  <c r="J112" i="87" s="1"/>
  <c r="I349" i="87"/>
  <c r="J349" i="87" s="1"/>
  <c r="I325" i="87"/>
  <c r="J325" i="87" s="1"/>
  <c r="I301" i="87"/>
  <c r="J301" i="87" s="1"/>
  <c r="I278" i="87"/>
  <c r="J278" i="87" s="1"/>
  <c r="I254" i="87"/>
  <c r="J254" i="87" s="1"/>
  <c r="I230" i="87"/>
  <c r="J230" i="87" s="1"/>
  <c r="I206" i="87"/>
  <c r="J206" i="87" s="1"/>
  <c r="I182" i="87"/>
  <c r="J182" i="87" s="1"/>
  <c r="I130" i="87"/>
  <c r="J130" i="87" s="1"/>
  <c r="I82" i="87"/>
  <c r="J82" i="87" s="1"/>
  <c r="I32" i="87"/>
  <c r="J32" i="87" s="1"/>
  <c r="I173" i="87"/>
  <c r="J173" i="87" s="1"/>
  <c r="I145" i="87"/>
  <c r="J145" i="87" s="1"/>
  <c r="I121" i="87"/>
  <c r="J121" i="87" s="1"/>
  <c r="I97" i="87"/>
  <c r="J97" i="87" s="1"/>
  <c r="I73" i="87"/>
  <c r="J73" i="87" s="1"/>
  <c r="I35" i="87"/>
  <c r="J35" i="87" s="1"/>
  <c r="I11" i="87"/>
  <c r="J11" i="87" s="1"/>
  <c r="I346" i="87"/>
  <c r="J346" i="87" s="1"/>
  <c r="I322" i="87"/>
  <c r="J322" i="87" s="1"/>
  <c r="I298" i="87"/>
  <c r="J298" i="87" s="1"/>
  <c r="I269" i="87"/>
  <c r="J269" i="87" s="1"/>
  <c r="I245" i="87"/>
  <c r="J245" i="87" s="1"/>
  <c r="I221" i="87"/>
  <c r="J221" i="87" s="1"/>
  <c r="I197" i="87"/>
  <c r="J197" i="87" s="1"/>
  <c r="I164" i="87"/>
  <c r="J164" i="87" s="1"/>
  <c r="I124" i="87"/>
  <c r="J124" i="87" s="1"/>
  <c r="I76" i="87"/>
  <c r="J76" i="87" s="1"/>
  <c r="I26" i="87"/>
  <c r="J26" i="87" s="1"/>
  <c r="I328" i="87"/>
  <c r="J328" i="87" s="1"/>
  <c r="I304" i="87"/>
  <c r="J304" i="87" s="1"/>
  <c r="I275" i="87"/>
  <c r="J275" i="87" s="1"/>
  <c r="I251" i="87"/>
  <c r="J251" i="87" s="1"/>
  <c r="I227" i="87"/>
  <c r="J227" i="87" s="1"/>
  <c r="I203" i="87"/>
  <c r="J203" i="87" s="1"/>
  <c r="I176" i="87"/>
  <c r="J176" i="87" s="1"/>
  <c r="I136" i="87"/>
  <c r="J136" i="87" s="1"/>
  <c r="I88" i="87"/>
  <c r="J88" i="87" s="1"/>
  <c r="I14" i="87"/>
  <c r="J14" i="87" s="1"/>
  <c r="I343" i="87"/>
  <c r="J343" i="87" s="1"/>
  <c r="I331" i="87"/>
  <c r="J331" i="87" s="1"/>
  <c r="I319" i="87"/>
  <c r="J319" i="87" s="1"/>
  <c r="I307" i="87"/>
  <c r="J307" i="87" s="1"/>
  <c r="I295" i="87"/>
  <c r="J295" i="87" s="1"/>
  <c r="I284" i="87"/>
  <c r="J284" i="87" s="1"/>
  <c r="I272" i="87"/>
  <c r="J272" i="87" s="1"/>
  <c r="I260" i="87"/>
  <c r="J260" i="87" s="1"/>
  <c r="I248" i="87"/>
  <c r="J248" i="87" s="1"/>
  <c r="I236" i="87"/>
  <c r="J236" i="87" s="1"/>
  <c r="I224" i="87"/>
  <c r="J224" i="87" s="1"/>
  <c r="I212" i="87"/>
  <c r="J212" i="87" s="1"/>
  <c r="I200" i="87"/>
  <c r="J200" i="87" s="1"/>
  <c r="I188" i="87"/>
  <c r="J188" i="87" s="1"/>
  <c r="I170" i="87"/>
  <c r="J170" i="87" s="1"/>
  <c r="I142" i="87"/>
  <c r="J142" i="87" s="1"/>
  <c r="I118" i="87"/>
  <c r="J118" i="87" s="1"/>
  <c r="I94" i="87"/>
  <c r="J94" i="87" s="1"/>
  <c r="I70" i="87"/>
  <c r="J70" i="87" s="1"/>
  <c r="I44" i="87"/>
  <c r="J44" i="87" s="1"/>
  <c r="I20" i="87"/>
  <c r="J20" i="87" s="1"/>
  <c r="I179" i="87"/>
  <c r="J179" i="87" s="1"/>
  <c r="I167" i="87"/>
  <c r="J167" i="87" s="1"/>
  <c r="I151" i="87"/>
  <c r="J151" i="87" s="1"/>
  <c r="I139" i="87"/>
  <c r="J139" i="87" s="1"/>
  <c r="I127" i="87"/>
  <c r="J127" i="87" s="1"/>
  <c r="I115" i="87"/>
  <c r="J115" i="87" s="1"/>
  <c r="I103" i="87"/>
  <c r="J103" i="87" s="1"/>
  <c r="I91" i="87"/>
  <c r="J91" i="87" s="1"/>
  <c r="I79" i="87"/>
  <c r="J79" i="87" s="1"/>
  <c r="I53" i="87"/>
  <c r="J53" i="87" s="1"/>
  <c r="I41" i="87"/>
  <c r="J41" i="87" s="1"/>
  <c r="I29" i="87"/>
  <c r="J29" i="87" s="1"/>
  <c r="J17" i="87"/>
  <c r="C34" i="9"/>
  <c r="D118" i="9" s="1"/>
  <c r="D119" i="9" s="1"/>
  <c r="D5" i="52" s="1"/>
  <c r="B49" i="72" s="1"/>
  <c r="G15" i="74"/>
  <c r="F15" i="74"/>
  <c r="E15" i="74"/>
  <c r="F119" i="9"/>
  <c r="F5" i="52" s="1"/>
  <c r="B53" i="72" s="1"/>
  <c r="F4" i="52"/>
  <c r="B51" i="72" s="1"/>
  <c r="G118" i="9"/>
  <c r="G4" i="52" s="1"/>
  <c r="B52" i="72" s="1"/>
  <c r="H102" i="9"/>
  <c r="D7" i="53" s="1"/>
  <c r="B21" i="72" s="1"/>
  <c r="C105" i="9"/>
  <c r="I4" i="52"/>
  <c r="H107" i="9"/>
  <c r="D45" i="9"/>
  <c r="D5" i="53"/>
  <c r="M48" i="9"/>
  <c r="F14" i="74"/>
  <c r="E14" i="74"/>
  <c r="W34" i="87" l="1"/>
  <c r="K17" i="87"/>
  <c r="X34" i="87"/>
  <c r="I60" i="87"/>
  <c r="J60" i="87" s="1"/>
  <c r="K59" i="87" s="1"/>
  <c r="I61" i="87"/>
  <c r="J61" i="87" s="1"/>
  <c r="K61" i="87" s="1"/>
  <c r="I63" i="87"/>
  <c r="J63" i="87" s="1"/>
  <c r="K62" i="87" s="1"/>
  <c r="I64" i="87"/>
  <c r="J64" i="87" s="1"/>
  <c r="K64" i="87" s="1"/>
  <c r="I66" i="87"/>
  <c r="J66" i="87" s="1"/>
  <c r="K65" i="87" s="1"/>
  <c r="D4" i="52"/>
  <c r="B47" i="72" s="1"/>
  <c r="I3" i="87"/>
  <c r="J3" i="87" s="1"/>
  <c r="I7" i="87"/>
  <c r="J7" i="87" s="1"/>
  <c r="K7" i="87" s="1"/>
  <c r="I9" i="87"/>
  <c r="J9" i="87" s="1"/>
  <c r="K8" i="87" s="1"/>
  <c r="I13" i="87"/>
  <c r="J13" i="87" s="1"/>
  <c r="K13" i="87" s="1"/>
  <c r="I15" i="87"/>
  <c r="J15" i="87" s="1"/>
  <c r="K14" i="87" s="1"/>
  <c r="I19" i="87"/>
  <c r="J19" i="87" s="1"/>
  <c r="K19" i="87" s="1"/>
  <c r="I21" i="87"/>
  <c r="J21" i="87" s="1"/>
  <c r="K20" i="87" s="1"/>
  <c r="I25" i="87"/>
  <c r="J25" i="87" s="1"/>
  <c r="K25" i="87" s="1"/>
  <c r="I27" i="87"/>
  <c r="J27" i="87" s="1"/>
  <c r="K26" i="87" s="1"/>
  <c r="I31" i="87"/>
  <c r="J31" i="87" s="1"/>
  <c r="K31" i="87" s="1"/>
  <c r="I33" i="87"/>
  <c r="J33" i="87" s="1"/>
  <c r="K32" i="87" s="1"/>
  <c r="I37" i="87"/>
  <c r="J37" i="87" s="1"/>
  <c r="K37" i="87" s="1"/>
  <c r="I39" i="87"/>
  <c r="J39" i="87" s="1"/>
  <c r="K38" i="87" s="1"/>
  <c r="I43" i="87"/>
  <c r="J43" i="87" s="1"/>
  <c r="K43" i="87" s="1"/>
  <c r="I45" i="87"/>
  <c r="J45" i="87" s="1"/>
  <c r="K44" i="87" s="1"/>
  <c r="I49" i="87"/>
  <c r="J49" i="87" s="1"/>
  <c r="K49" i="87" s="1"/>
  <c r="I51" i="87"/>
  <c r="J51" i="87" s="1"/>
  <c r="K50" i="87" s="1"/>
  <c r="I55" i="87"/>
  <c r="J55" i="87" s="1"/>
  <c r="K55" i="87" s="1"/>
  <c r="I57" i="87"/>
  <c r="J57" i="87" s="1"/>
  <c r="K56" i="87" s="1"/>
  <c r="I71" i="87"/>
  <c r="J71" i="87" s="1"/>
  <c r="I75" i="87"/>
  <c r="J75" i="87" s="1"/>
  <c r="K75" i="87" s="1"/>
  <c r="I77" i="87"/>
  <c r="J77" i="87" s="1"/>
  <c r="K76" i="87" s="1"/>
  <c r="I81" i="87"/>
  <c r="J81" i="87" s="1"/>
  <c r="K81" i="87" s="1"/>
  <c r="I83" i="87"/>
  <c r="J83" i="87" s="1"/>
  <c r="K82" i="87" s="1"/>
  <c r="I87" i="87"/>
  <c r="J87" i="87" s="1"/>
  <c r="K87" i="87" s="1"/>
  <c r="I89" i="87"/>
  <c r="J89" i="87" s="1"/>
  <c r="K88" i="87" s="1"/>
  <c r="I93" i="87"/>
  <c r="J93" i="87" s="1"/>
  <c r="K93" i="87" s="1"/>
  <c r="I95" i="87"/>
  <c r="J95" i="87" s="1"/>
  <c r="K94" i="87" s="1"/>
  <c r="I99" i="87"/>
  <c r="J99" i="87" s="1"/>
  <c r="K99" i="87" s="1"/>
  <c r="I101" i="87"/>
  <c r="J101" i="87" s="1"/>
  <c r="K100" i="87" s="1"/>
  <c r="I105" i="87"/>
  <c r="J105" i="87" s="1"/>
  <c r="K105" i="87" s="1"/>
  <c r="I107" i="87"/>
  <c r="J107" i="87" s="1"/>
  <c r="K106" i="87" s="1"/>
  <c r="I111" i="87"/>
  <c r="J111" i="87" s="1"/>
  <c r="K111" i="87" s="1"/>
  <c r="I113" i="87"/>
  <c r="J113" i="87" s="1"/>
  <c r="K112" i="87" s="1"/>
  <c r="I117" i="87"/>
  <c r="J117" i="87" s="1"/>
  <c r="K117" i="87" s="1"/>
  <c r="I119" i="87"/>
  <c r="J119" i="87" s="1"/>
  <c r="K118" i="87" s="1"/>
  <c r="I123" i="87"/>
  <c r="J123" i="87" s="1"/>
  <c r="K123" i="87" s="1"/>
  <c r="I125" i="87"/>
  <c r="J125" i="87" s="1"/>
  <c r="K124" i="87" s="1"/>
  <c r="I129" i="87"/>
  <c r="J129" i="87" s="1"/>
  <c r="K129" i="87" s="1"/>
  <c r="I131" i="87"/>
  <c r="J131" i="87" s="1"/>
  <c r="K130" i="87" s="1"/>
  <c r="I135" i="87"/>
  <c r="J135" i="87" s="1"/>
  <c r="K135" i="87" s="1"/>
  <c r="I137" i="87"/>
  <c r="J137" i="87" s="1"/>
  <c r="K136" i="87" s="1"/>
  <c r="I141" i="87"/>
  <c r="J141" i="87" s="1"/>
  <c r="K141" i="87" s="1"/>
  <c r="I143" i="87"/>
  <c r="J143" i="87" s="1"/>
  <c r="K142" i="87" s="1"/>
  <c r="I147" i="87"/>
  <c r="J147" i="87" s="1"/>
  <c r="K147" i="87" s="1"/>
  <c r="I149" i="87"/>
  <c r="J149" i="87" s="1"/>
  <c r="K148" i="87" s="1"/>
  <c r="I153" i="87"/>
  <c r="J153" i="87" s="1"/>
  <c r="K153" i="87" s="1"/>
  <c r="I155" i="87"/>
  <c r="J155" i="87" s="1"/>
  <c r="K154" i="87" s="1"/>
  <c r="I159" i="87"/>
  <c r="J159" i="87" s="1"/>
  <c r="K159" i="87" s="1"/>
  <c r="I161" i="87"/>
  <c r="J161" i="87" s="1"/>
  <c r="K160" i="87" s="1"/>
  <c r="I165" i="87"/>
  <c r="J165" i="87" s="1"/>
  <c r="K164" i="87" s="1"/>
  <c r="I169" i="87"/>
  <c r="J169" i="87" s="1"/>
  <c r="K169" i="87" s="1"/>
  <c r="I171" i="87"/>
  <c r="J171" i="87" s="1"/>
  <c r="K170" i="87" s="1"/>
  <c r="I175" i="87"/>
  <c r="J175" i="87" s="1"/>
  <c r="K175" i="87" s="1"/>
  <c r="I177" i="87"/>
  <c r="J177" i="87" s="1"/>
  <c r="K176" i="87" s="1"/>
  <c r="I181" i="87"/>
  <c r="J181" i="87" s="1"/>
  <c r="K181" i="87" s="1"/>
  <c r="I4" i="87"/>
  <c r="J4" i="87" s="1"/>
  <c r="K4" i="87" s="1"/>
  <c r="I12" i="87"/>
  <c r="J12" i="87" s="1"/>
  <c r="K11" i="87" s="1"/>
  <c r="I16" i="87"/>
  <c r="J16" i="87" s="1"/>
  <c r="K16" i="87" s="1"/>
  <c r="I24" i="87"/>
  <c r="J24" i="87" s="1"/>
  <c r="K23" i="87" s="1"/>
  <c r="I28" i="87"/>
  <c r="J28" i="87" s="1"/>
  <c r="K28" i="87" s="1"/>
  <c r="I36" i="87"/>
  <c r="J36" i="87" s="1"/>
  <c r="K35" i="87" s="1"/>
  <c r="I40" i="87"/>
  <c r="J40" i="87" s="1"/>
  <c r="K40" i="87" s="1"/>
  <c r="I48" i="87"/>
  <c r="J48" i="87" s="1"/>
  <c r="K47" i="87" s="1"/>
  <c r="I52" i="87"/>
  <c r="J52" i="87" s="1"/>
  <c r="K52" i="87" s="1"/>
  <c r="I74" i="87"/>
  <c r="J74" i="87" s="1"/>
  <c r="K73" i="87" s="1"/>
  <c r="I78" i="87"/>
  <c r="J78" i="87" s="1"/>
  <c r="K78" i="87" s="1"/>
  <c r="I86" i="87"/>
  <c r="J86" i="87" s="1"/>
  <c r="K85" i="87" s="1"/>
  <c r="I90" i="87"/>
  <c r="J90" i="87" s="1"/>
  <c r="K90" i="87" s="1"/>
  <c r="I98" i="87"/>
  <c r="J98" i="87" s="1"/>
  <c r="K97" i="87" s="1"/>
  <c r="I102" i="87"/>
  <c r="J102" i="87" s="1"/>
  <c r="K102" i="87" s="1"/>
  <c r="I110" i="87"/>
  <c r="J110" i="87" s="1"/>
  <c r="K109" i="87" s="1"/>
  <c r="I114" i="87"/>
  <c r="J114" i="87" s="1"/>
  <c r="K114" i="87" s="1"/>
  <c r="I122" i="87"/>
  <c r="J122" i="87" s="1"/>
  <c r="K121" i="87" s="1"/>
  <c r="I126" i="87"/>
  <c r="J126" i="87" s="1"/>
  <c r="K126" i="87" s="1"/>
  <c r="I134" i="87"/>
  <c r="J134" i="87" s="1"/>
  <c r="K133" i="87" s="1"/>
  <c r="I138" i="87"/>
  <c r="J138" i="87" s="1"/>
  <c r="K138" i="87" s="1"/>
  <c r="I146" i="87"/>
  <c r="J146" i="87" s="1"/>
  <c r="K145" i="87" s="1"/>
  <c r="I150" i="87"/>
  <c r="J150" i="87" s="1"/>
  <c r="K150" i="87" s="1"/>
  <c r="I158" i="87"/>
  <c r="J158" i="87" s="1"/>
  <c r="K157" i="87" s="1"/>
  <c r="I162" i="87"/>
  <c r="J162" i="87" s="1"/>
  <c r="K162" i="87" s="1"/>
  <c r="I166" i="87"/>
  <c r="J166" i="87" s="1"/>
  <c r="K166" i="87" s="1"/>
  <c r="I174" i="87"/>
  <c r="J174" i="87" s="1"/>
  <c r="K173" i="87" s="1"/>
  <c r="I178" i="87"/>
  <c r="J178" i="87" s="1"/>
  <c r="K178" i="87" s="1"/>
  <c r="I184" i="87"/>
  <c r="J184" i="87" s="1"/>
  <c r="K184" i="87" s="1"/>
  <c r="I186" i="87"/>
  <c r="J186" i="87" s="1"/>
  <c r="K185" i="87" s="1"/>
  <c r="I190" i="87"/>
  <c r="J190" i="87" s="1"/>
  <c r="K190" i="87" s="1"/>
  <c r="I192" i="87"/>
  <c r="J192" i="87" s="1"/>
  <c r="K191" i="87" s="1"/>
  <c r="I196" i="87"/>
  <c r="J196" i="87" s="1"/>
  <c r="K196" i="87" s="1"/>
  <c r="I198" i="87"/>
  <c r="J198" i="87" s="1"/>
  <c r="K197" i="87" s="1"/>
  <c r="I202" i="87"/>
  <c r="J202" i="87" s="1"/>
  <c r="K202" i="87" s="1"/>
  <c r="I204" i="87"/>
  <c r="J204" i="87" s="1"/>
  <c r="K203" i="87" s="1"/>
  <c r="I208" i="87"/>
  <c r="J208" i="87" s="1"/>
  <c r="K208" i="87" s="1"/>
  <c r="I210" i="87"/>
  <c r="J210" i="87" s="1"/>
  <c r="K209" i="87" s="1"/>
  <c r="I214" i="87"/>
  <c r="J214" i="87" s="1"/>
  <c r="K214" i="87" s="1"/>
  <c r="I216" i="87"/>
  <c r="J216" i="87" s="1"/>
  <c r="K215" i="87" s="1"/>
  <c r="I220" i="87"/>
  <c r="J220" i="87" s="1"/>
  <c r="K220" i="87" s="1"/>
  <c r="I222" i="87"/>
  <c r="J222" i="87" s="1"/>
  <c r="K221" i="87" s="1"/>
  <c r="I226" i="87"/>
  <c r="J226" i="87" s="1"/>
  <c r="K226" i="87" s="1"/>
  <c r="I228" i="87"/>
  <c r="J228" i="87" s="1"/>
  <c r="K227" i="87" s="1"/>
  <c r="I232" i="87"/>
  <c r="J232" i="87" s="1"/>
  <c r="K232" i="87" s="1"/>
  <c r="I234" i="87"/>
  <c r="J234" i="87" s="1"/>
  <c r="K233" i="87" s="1"/>
  <c r="I238" i="87"/>
  <c r="J238" i="87" s="1"/>
  <c r="K238" i="87" s="1"/>
  <c r="I240" i="87"/>
  <c r="J240" i="87" s="1"/>
  <c r="K239" i="87" s="1"/>
  <c r="I244" i="87"/>
  <c r="J244" i="87" s="1"/>
  <c r="K244" i="87" s="1"/>
  <c r="I246" i="87"/>
  <c r="J246" i="87" s="1"/>
  <c r="K245" i="87" s="1"/>
  <c r="I250" i="87"/>
  <c r="J250" i="87" s="1"/>
  <c r="K250" i="87" s="1"/>
  <c r="I252" i="87"/>
  <c r="J252" i="87" s="1"/>
  <c r="K251" i="87" s="1"/>
  <c r="I256" i="87"/>
  <c r="J256" i="87" s="1"/>
  <c r="K256" i="87" s="1"/>
  <c r="I258" i="87"/>
  <c r="J258" i="87" s="1"/>
  <c r="K257" i="87" s="1"/>
  <c r="I262" i="87"/>
  <c r="J262" i="87" s="1"/>
  <c r="K262" i="87" s="1"/>
  <c r="I264" i="87"/>
  <c r="J264" i="87" s="1"/>
  <c r="K263" i="87" s="1"/>
  <c r="I268" i="87"/>
  <c r="J268" i="87" s="1"/>
  <c r="K268" i="87" s="1"/>
  <c r="I270" i="87"/>
  <c r="J270" i="87" s="1"/>
  <c r="K269" i="87" s="1"/>
  <c r="I274" i="87"/>
  <c r="J274" i="87" s="1"/>
  <c r="K274" i="87" s="1"/>
  <c r="I276" i="87"/>
  <c r="J276" i="87" s="1"/>
  <c r="K275" i="87" s="1"/>
  <c r="I280" i="87"/>
  <c r="J280" i="87" s="1"/>
  <c r="K280" i="87" s="1"/>
  <c r="I282" i="87"/>
  <c r="J282" i="87" s="1"/>
  <c r="K281" i="87" s="1"/>
  <c r="I286" i="87"/>
  <c r="J286" i="87" s="1"/>
  <c r="K286" i="87" s="1"/>
  <c r="I288" i="87"/>
  <c r="J288" i="87" s="1"/>
  <c r="K287" i="87" s="1"/>
  <c r="I292" i="87"/>
  <c r="J292" i="87" s="1"/>
  <c r="K292" i="87" s="1"/>
  <c r="I297" i="87"/>
  <c r="J297" i="87" s="1"/>
  <c r="K297" i="87" s="1"/>
  <c r="I299" i="87"/>
  <c r="J299" i="87" s="1"/>
  <c r="K298" i="87" s="1"/>
  <c r="I303" i="87"/>
  <c r="J303" i="87" s="1"/>
  <c r="K303" i="87" s="1"/>
  <c r="I305" i="87"/>
  <c r="J305" i="87" s="1"/>
  <c r="K304" i="87" s="1"/>
  <c r="I309" i="87"/>
  <c r="J309" i="87" s="1"/>
  <c r="K309" i="87" s="1"/>
  <c r="I311" i="87"/>
  <c r="J311" i="87" s="1"/>
  <c r="K310" i="87" s="1"/>
  <c r="I315" i="87"/>
  <c r="J315" i="87" s="1"/>
  <c r="K315" i="87" s="1"/>
  <c r="I317" i="87"/>
  <c r="J317" i="87" s="1"/>
  <c r="K316" i="87" s="1"/>
  <c r="I321" i="87"/>
  <c r="J321" i="87" s="1"/>
  <c r="K321" i="87" s="1"/>
  <c r="I323" i="87"/>
  <c r="J323" i="87" s="1"/>
  <c r="K322" i="87" s="1"/>
  <c r="I327" i="87"/>
  <c r="J327" i="87" s="1"/>
  <c r="K327" i="87" s="1"/>
  <c r="I329" i="87"/>
  <c r="J329" i="87" s="1"/>
  <c r="K328" i="87" s="1"/>
  <c r="I333" i="87"/>
  <c r="J333" i="87" s="1"/>
  <c r="K333" i="87" s="1"/>
  <c r="I335" i="87"/>
  <c r="J335" i="87" s="1"/>
  <c r="K334" i="87" s="1"/>
  <c r="I339" i="87"/>
  <c r="J339" i="87" s="1"/>
  <c r="K339" i="87" s="1"/>
  <c r="I341" i="87"/>
  <c r="J341" i="87" s="1"/>
  <c r="K340" i="87" s="1"/>
  <c r="I345" i="87"/>
  <c r="J345" i="87" s="1"/>
  <c r="K345" i="87" s="1"/>
  <c r="I347" i="87"/>
  <c r="J347" i="87" s="1"/>
  <c r="K346" i="87" s="1"/>
  <c r="I351" i="87"/>
  <c r="J351" i="87" s="1"/>
  <c r="K351" i="87" s="1"/>
  <c r="I6" i="87"/>
  <c r="J6" i="87" s="1"/>
  <c r="K5" i="87" s="1"/>
  <c r="I22" i="87"/>
  <c r="J22" i="87" s="1"/>
  <c r="K22" i="87" s="1"/>
  <c r="I30" i="87"/>
  <c r="J30" i="87" s="1"/>
  <c r="K29" i="87" s="1"/>
  <c r="I46" i="87"/>
  <c r="J46" i="87" s="1"/>
  <c r="K46" i="87" s="1"/>
  <c r="I54" i="87"/>
  <c r="J54" i="87" s="1"/>
  <c r="K53" i="87" s="1"/>
  <c r="I72" i="87"/>
  <c r="J72" i="87" s="1"/>
  <c r="K72" i="87" s="1"/>
  <c r="I80" i="87"/>
  <c r="J80" i="87" s="1"/>
  <c r="K79" i="87" s="1"/>
  <c r="I96" i="87"/>
  <c r="J96" i="87" s="1"/>
  <c r="K96" i="87" s="1"/>
  <c r="I104" i="87"/>
  <c r="J104" i="87" s="1"/>
  <c r="K103" i="87" s="1"/>
  <c r="I120" i="87"/>
  <c r="J120" i="87" s="1"/>
  <c r="K120" i="87" s="1"/>
  <c r="I128" i="87"/>
  <c r="J128" i="87" s="1"/>
  <c r="K127" i="87" s="1"/>
  <c r="I144" i="87"/>
  <c r="J144" i="87" s="1"/>
  <c r="K144" i="87" s="1"/>
  <c r="I152" i="87"/>
  <c r="J152" i="87" s="1"/>
  <c r="K151" i="87" s="1"/>
  <c r="I168" i="87"/>
  <c r="J168" i="87" s="1"/>
  <c r="K167" i="87" s="1"/>
  <c r="I183" i="87"/>
  <c r="J183" i="87" s="1"/>
  <c r="K182" i="87" s="1"/>
  <c r="I187" i="87"/>
  <c r="J187" i="87" s="1"/>
  <c r="K187" i="87" s="1"/>
  <c r="I195" i="87"/>
  <c r="J195" i="87" s="1"/>
  <c r="K194" i="87" s="1"/>
  <c r="I199" i="87"/>
  <c r="J199" i="87" s="1"/>
  <c r="K199" i="87" s="1"/>
  <c r="I207" i="87"/>
  <c r="J207" i="87" s="1"/>
  <c r="K206" i="87" s="1"/>
  <c r="I211" i="87"/>
  <c r="J211" i="87" s="1"/>
  <c r="K211" i="87" s="1"/>
  <c r="I219" i="87"/>
  <c r="J219" i="87" s="1"/>
  <c r="K218" i="87" s="1"/>
  <c r="I223" i="87"/>
  <c r="J223" i="87" s="1"/>
  <c r="K223" i="87" s="1"/>
  <c r="I231" i="87"/>
  <c r="J231" i="87" s="1"/>
  <c r="K230" i="87" s="1"/>
  <c r="I235" i="87"/>
  <c r="J235" i="87" s="1"/>
  <c r="K235" i="87" s="1"/>
  <c r="I243" i="87"/>
  <c r="J243" i="87" s="1"/>
  <c r="K242" i="87" s="1"/>
  <c r="I247" i="87"/>
  <c r="J247" i="87" s="1"/>
  <c r="K247" i="87" s="1"/>
  <c r="I255" i="87"/>
  <c r="J255" i="87" s="1"/>
  <c r="K254" i="87" s="1"/>
  <c r="I259" i="87"/>
  <c r="J259" i="87" s="1"/>
  <c r="K259" i="87" s="1"/>
  <c r="I267" i="87"/>
  <c r="J267" i="87" s="1"/>
  <c r="K266" i="87" s="1"/>
  <c r="I271" i="87"/>
  <c r="J271" i="87" s="1"/>
  <c r="K271" i="87" s="1"/>
  <c r="I279" i="87"/>
  <c r="J279" i="87" s="1"/>
  <c r="K278" i="87" s="1"/>
  <c r="I283" i="87"/>
  <c r="J283" i="87" s="1"/>
  <c r="K283" i="87" s="1"/>
  <c r="I291" i="87"/>
  <c r="J291" i="87" s="1"/>
  <c r="K290" i="87" s="1"/>
  <c r="I296" i="87"/>
  <c r="J296" i="87" s="1"/>
  <c r="K295" i="87" s="1"/>
  <c r="I300" i="87"/>
  <c r="J300" i="87" s="1"/>
  <c r="K300" i="87" s="1"/>
  <c r="I308" i="87"/>
  <c r="J308" i="87" s="1"/>
  <c r="K307" i="87" s="1"/>
  <c r="I312" i="87"/>
  <c r="J312" i="87" s="1"/>
  <c r="K312" i="87" s="1"/>
  <c r="I320" i="87"/>
  <c r="J320" i="87" s="1"/>
  <c r="K319" i="87" s="1"/>
  <c r="I324" i="87"/>
  <c r="J324" i="87" s="1"/>
  <c r="K324" i="87" s="1"/>
  <c r="I332" i="87"/>
  <c r="J332" i="87" s="1"/>
  <c r="K331" i="87" s="1"/>
  <c r="I336" i="87"/>
  <c r="J336" i="87" s="1"/>
  <c r="K336" i="87" s="1"/>
  <c r="I344" i="87"/>
  <c r="J344" i="87" s="1"/>
  <c r="K343" i="87" s="1"/>
  <c r="I348" i="87"/>
  <c r="J348" i="87" s="1"/>
  <c r="K348" i="87" s="1"/>
  <c r="I10" i="87"/>
  <c r="J10" i="87" s="1"/>
  <c r="K10" i="87" s="1"/>
  <c r="I34" i="87"/>
  <c r="J34" i="87" s="1"/>
  <c r="K34" i="87" s="1"/>
  <c r="I42" i="87"/>
  <c r="J42" i="87" s="1"/>
  <c r="K41" i="87" s="1"/>
  <c r="I58" i="87"/>
  <c r="J58" i="87" s="1"/>
  <c r="K58" i="87" s="1"/>
  <c r="I84" i="87"/>
  <c r="J84" i="87" s="1"/>
  <c r="K84" i="87" s="1"/>
  <c r="I92" i="87"/>
  <c r="J92" i="87" s="1"/>
  <c r="K91" i="87" s="1"/>
  <c r="I108" i="87"/>
  <c r="J108" i="87" s="1"/>
  <c r="K108" i="87" s="1"/>
  <c r="I116" i="87"/>
  <c r="J116" i="87" s="1"/>
  <c r="K115" i="87" s="1"/>
  <c r="I132" i="87"/>
  <c r="J132" i="87" s="1"/>
  <c r="K132" i="87" s="1"/>
  <c r="I140" i="87"/>
  <c r="J140" i="87" s="1"/>
  <c r="K139" i="87" s="1"/>
  <c r="I156" i="87"/>
  <c r="J156" i="87" s="1"/>
  <c r="K156" i="87" s="1"/>
  <c r="I172" i="87"/>
  <c r="J172" i="87" s="1"/>
  <c r="K172" i="87" s="1"/>
  <c r="I180" i="87"/>
  <c r="J180" i="87" s="1"/>
  <c r="K179" i="87" s="1"/>
  <c r="I189" i="87"/>
  <c r="J189" i="87" s="1"/>
  <c r="K188" i="87" s="1"/>
  <c r="I193" i="87"/>
  <c r="J193" i="87" s="1"/>
  <c r="K193" i="87" s="1"/>
  <c r="I201" i="87"/>
  <c r="J201" i="87" s="1"/>
  <c r="K200" i="87" s="1"/>
  <c r="I205" i="87"/>
  <c r="J205" i="87" s="1"/>
  <c r="K205" i="87" s="1"/>
  <c r="I213" i="87"/>
  <c r="J213" i="87" s="1"/>
  <c r="K212" i="87" s="1"/>
  <c r="I217" i="87"/>
  <c r="J217" i="87" s="1"/>
  <c r="K217" i="87" s="1"/>
  <c r="I225" i="87"/>
  <c r="J225" i="87" s="1"/>
  <c r="K224" i="87" s="1"/>
  <c r="I229" i="87"/>
  <c r="J229" i="87" s="1"/>
  <c r="K229" i="87" s="1"/>
  <c r="I237" i="87"/>
  <c r="J237" i="87" s="1"/>
  <c r="K236" i="87" s="1"/>
  <c r="I241" i="87"/>
  <c r="J241" i="87" s="1"/>
  <c r="K241" i="87" s="1"/>
  <c r="I249" i="87"/>
  <c r="J249" i="87" s="1"/>
  <c r="K248" i="87" s="1"/>
  <c r="I253" i="87"/>
  <c r="J253" i="87" s="1"/>
  <c r="K253" i="87" s="1"/>
  <c r="I261" i="87"/>
  <c r="J261" i="87" s="1"/>
  <c r="K260" i="87" s="1"/>
  <c r="I265" i="87"/>
  <c r="J265" i="87" s="1"/>
  <c r="K265" i="87" s="1"/>
  <c r="I273" i="87"/>
  <c r="J273" i="87" s="1"/>
  <c r="K272" i="87" s="1"/>
  <c r="I277" i="87"/>
  <c r="J277" i="87" s="1"/>
  <c r="K277" i="87" s="1"/>
  <c r="I285" i="87"/>
  <c r="J285" i="87" s="1"/>
  <c r="K284" i="87" s="1"/>
  <c r="I289" i="87"/>
  <c r="J289" i="87" s="1"/>
  <c r="K289" i="87" s="1"/>
  <c r="I302" i="87"/>
  <c r="J302" i="87" s="1"/>
  <c r="K301" i="87" s="1"/>
  <c r="I306" i="87"/>
  <c r="J306" i="87" s="1"/>
  <c r="K306" i="87" s="1"/>
  <c r="I314" i="87"/>
  <c r="J314" i="87" s="1"/>
  <c r="K313" i="87" s="1"/>
  <c r="I318" i="87"/>
  <c r="J318" i="87" s="1"/>
  <c r="K318" i="87" s="1"/>
  <c r="I326" i="87"/>
  <c r="J326" i="87" s="1"/>
  <c r="K325" i="87" s="1"/>
  <c r="I330" i="87"/>
  <c r="J330" i="87" s="1"/>
  <c r="K330" i="87" s="1"/>
  <c r="I338" i="87"/>
  <c r="J338" i="87" s="1"/>
  <c r="K337" i="87" s="1"/>
  <c r="I342" i="87"/>
  <c r="J342" i="87" s="1"/>
  <c r="K342" i="87" s="1"/>
  <c r="I350" i="87"/>
  <c r="J350" i="87" s="1"/>
  <c r="K349" i="87" s="1"/>
  <c r="E118" i="9"/>
  <c r="E4" i="52" s="1"/>
  <c r="B48" i="72" s="1"/>
  <c r="D6" i="53"/>
  <c r="B22" i="72" s="1"/>
  <c r="B20" i="72"/>
  <c r="D13" i="53"/>
  <c r="H108" i="9"/>
  <c r="D15" i="53" s="1"/>
  <c r="B31" i="72" s="1"/>
  <c r="M49" i="9"/>
  <c r="D122" i="9"/>
  <c r="C72" i="9"/>
  <c r="D53" i="9"/>
  <c r="C78" i="9"/>
  <c r="C73" i="9" s="1"/>
  <c r="C64" i="9"/>
  <c r="C63" i="9" s="1"/>
  <c r="C67" i="9" s="1"/>
  <c r="D52" i="9"/>
  <c r="C85" i="9"/>
  <c r="C93" i="9"/>
  <c r="C86" i="9" s="1"/>
  <c r="D55" i="9"/>
  <c r="M53" i="9" s="1"/>
  <c r="J294" i="87" l="1"/>
  <c r="W32" i="87" s="1"/>
  <c r="J163" i="87"/>
  <c r="W31" i="87" s="1"/>
  <c r="J69" i="87"/>
  <c r="W30" i="87" s="1"/>
  <c r="K294" i="87"/>
  <c r="K352" i="87"/>
  <c r="J352" i="87"/>
  <c r="W33" i="87" s="1"/>
  <c r="K70" i="87"/>
  <c r="K163" i="87" s="1"/>
  <c r="K2" i="87"/>
  <c r="K69" i="87" s="1"/>
  <c r="C79" i="9"/>
  <c r="C80" i="9" s="1"/>
  <c r="E80" i="9" s="1"/>
  <c r="E81" i="9" s="1"/>
  <c r="C95" i="9"/>
  <c r="C68" i="9"/>
  <c r="D54" i="9" s="1"/>
  <c r="D59" i="9"/>
  <c r="M55" i="9" s="1"/>
  <c r="G14" i="74"/>
  <c r="D123" i="9"/>
  <c r="D9" i="52" s="1"/>
  <c r="D8" i="52"/>
  <c r="L64" i="9"/>
  <c r="M64" i="9" s="1"/>
  <c r="L68" i="9"/>
  <c r="M68" i="9" s="1"/>
  <c r="L63" i="9"/>
  <c r="M63" i="9" s="1"/>
  <c r="L65" i="9"/>
  <c r="M65" i="9" s="1"/>
  <c r="L66" i="9"/>
  <c r="M66" i="9" s="1"/>
  <c r="L67" i="9"/>
  <c r="M67" i="9" s="1"/>
  <c r="B30" i="72"/>
  <c r="D14" i="53"/>
  <c r="B32" i="72" s="1"/>
  <c r="D118" i="80"/>
  <c r="D119" i="80" s="1"/>
  <c r="F118" i="80"/>
  <c r="G118" i="80" s="1"/>
  <c r="H118" i="80"/>
  <c r="H119" i="80" s="1"/>
  <c r="W35" i="87" l="1"/>
  <c r="J590" i="87"/>
  <c r="X33" i="87"/>
  <c r="X32" i="87"/>
  <c r="X31" i="87"/>
  <c r="C81" i="9"/>
  <c r="M69" i="9"/>
  <c r="N69" i="9" s="1"/>
  <c r="C96" i="9"/>
  <c r="E96" i="9" s="1"/>
  <c r="E97" i="9" s="1"/>
  <c r="H101" i="80"/>
  <c r="M48" i="80" s="1"/>
  <c r="I118" i="80"/>
  <c r="E118" i="80" s="1"/>
  <c r="H107" i="80"/>
  <c r="H108" i="80" s="1"/>
  <c r="F119" i="80"/>
  <c r="C104" i="80"/>
  <c r="X35" i="87" l="1"/>
  <c r="D17" i="74"/>
  <c r="P2" i="87"/>
  <c r="R12" i="87" s="1"/>
  <c r="C97" i="9"/>
  <c r="D58" i="9" s="1"/>
  <c r="D56" i="9" s="1"/>
  <c r="M54" i="9" s="1"/>
  <c r="N57" i="9" s="1"/>
  <c r="N58" i="9" s="1"/>
  <c r="H102" i="80"/>
  <c r="C105" i="80"/>
  <c r="D45" i="80"/>
  <c r="C85" i="80" s="1"/>
  <c r="D122" i="80"/>
  <c r="D123" i="80" s="1"/>
  <c r="M49" i="80"/>
  <c r="Q2" i="87" l="1"/>
  <c r="S12" i="87" s="1"/>
  <c r="F17" i="74"/>
  <c r="G17" i="74"/>
  <c r="L2" i="87"/>
  <c r="N12" i="87" s="1"/>
  <c r="E17" i="74"/>
  <c r="N59" i="9"/>
  <c r="N61" i="9" s="1"/>
  <c r="P57" i="9"/>
  <c r="C72" i="80"/>
  <c r="C78" i="80"/>
  <c r="C73" i="80" s="1"/>
  <c r="D55" i="80"/>
  <c r="M53" i="80" s="1"/>
  <c r="D53" i="80"/>
  <c r="D52" i="80"/>
  <c r="C64" i="80"/>
  <c r="C63" i="80" s="1"/>
  <c r="C67" i="80" s="1"/>
  <c r="D59" i="80" s="1"/>
  <c r="M55" i="80" s="1"/>
  <c r="C93" i="80"/>
  <c r="C86" i="80" s="1"/>
  <c r="C95" i="80" s="1"/>
  <c r="L68" i="80"/>
  <c r="M68" i="80" s="1"/>
  <c r="L63" i="80"/>
  <c r="M63" i="80" s="1"/>
  <c r="L64" i="80"/>
  <c r="M64" i="80" s="1"/>
  <c r="L67" i="80"/>
  <c r="M67" i="80" s="1"/>
  <c r="L66" i="80"/>
  <c r="M66" i="80" s="1"/>
  <c r="L65" i="80"/>
  <c r="M65" i="80" s="1"/>
  <c r="M2" i="87" l="1"/>
  <c r="O12" i="87" s="1"/>
  <c r="C68" i="80"/>
  <c r="D54" i="80" s="1"/>
  <c r="M69" i="80"/>
  <c r="N69" i="80" s="1"/>
  <c r="N60" i="9"/>
  <c r="C79" i="80"/>
  <c r="C96" i="80"/>
  <c r="E96" i="80" s="1"/>
  <c r="E97" i="80" s="1"/>
  <c r="C97" i="80" l="1"/>
  <c r="D58" i="80" s="1"/>
  <c r="D56" i="80" s="1"/>
  <c r="M54" i="80" s="1"/>
  <c r="N57" i="80" s="1"/>
  <c r="P57" i="80" s="1"/>
  <c r="C80" i="80"/>
  <c r="E80" i="80" s="1"/>
  <c r="E81" i="80" s="1"/>
  <c r="N58" i="80" l="1"/>
  <c r="N59" i="80"/>
  <c r="N60" i="80" s="1"/>
  <c r="C81" i="80"/>
  <c r="N61" i="80"/>
  <c r="F118" i="81"/>
  <c r="F119" i="81" s="1"/>
  <c r="D118" i="81"/>
  <c r="D119" i="81" s="1"/>
  <c r="H118" i="81"/>
  <c r="H119" i="81" s="1"/>
  <c r="C104" i="81" l="1"/>
  <c r="H101" i="81"/>
  <c r="I118" i="81"/>
  <c r="G118" i="81"/>
  <c r="M48" i="81" l="1"/>
  <c r="D45" i="81"/>
  <c r="H107" i="81"/>
  <c r="C105" i="81"/>
  <c r="H102" i="81"/>
  <c r="E118" i="81"/>
  <c r="C78" i="81" l="1"/>
  <c r="C73" i="81" s="1"/>
  <c r="C64" i="81"/>
  <c r="C63" i="81" s="1"/>
  <c r="C67" i="81" s="1"/>
  <c r="D52" i="81"/>
  <c r="C85" i="81"/>
  <c r="D53" i="81"/>
  <c r="C93" i="81"/>
  <c r="C86" i="81" s="1"/>
  <c r="C72" i="81"/>
  <c r="D55" i="81"/>
  <c r="M53" i="81" s="1"/>
  <c r="M49" i="81"/>
  <c r="H108" i="81"/>
  <c r="D122" i="81"/>
  <c r="D123" i="81" s="1"/>
  <c r="C79" i="81" l="1"/>
  <c r="C95" i="81"/>
  <c r="D59" i="81"/>
  <c r="M55" i="81" s="1"/>
  <c r="C68" i="81"/>
  <c r="D54" i="81" s="1"/>
  <c r="L66" i="81"/>
  <c r="M66" i="81" s="1"/>
  <c r="L68" i="81"/>
  <c r="M68" i="81" s="1"/>
  <c r="L67" i="81"/>
  <c r="M67" i="81" s="1"/>
  <c r="L65" i="81"/>
  <c r="M65" i="81" s="1"/>
  <c r="L63" i="81"/>
  <c r="M63" i="81" s="1"/>
  <c r="L64" i="81"/>
  <c r="M64" i="81" s="1"/>
  <c r="C80" i="81"/>
  <c r="E80" i="81" s="1"/>
  <c r="E81" i="81" s="1"/>
  <c r="M69" i="81" l="1"/>
  <c r="N69" i="81" s="1"/>
  <c r="C81" i="81"/>
  <c r="C96" i="81"/>
  <c r="E96" i="81" s="1"/>
  <c r="E97" i="81" s="1"/>
  <c r="C97" i="81" l="1"/>
  <c r="D58" i="81" s="1"/>
  <c r="D56" i="81" s="1"/>
  <c r="M54" i="81" s="1"/>
  <c r="N57" i="81" s="1"/>
  <c r="N58" i="81" s="1"/>
  <c r="P57" i="81" l="1"/>
  <c r="N59" i="81"/>
  <c r="N60" i="81" s="1"/>
  <c r="N61" i="81" l="1"/>
  <c r="X30" i="87" l="1"/>
  <c r="B6" i="74" l="1"/>
  <c r="F19" i="74"/>
  <c r="E19" i="74"/>
  <c r="B5" i="74"/>
  <c r="L13" i="87" l="1"/>
  <c r="L15" i="87" s="1"/>
  <c r="B1" i="74"/>
  <c r="E18" i="74"/>
  <c r="B31" i="74" l="1"/>
  <c r="C7" i="74"/>
  <c r="C8" i="74"/>
  <c r="C5" i="74"/>
  <c r="C6" i="74"/>
  <c r="M13" i="87"/>
  <c r="M15" i="87" s="1"/>
  <c r="B2" i="74"/>
  <c r="F18" i="74"/>
  <c r="D7" i="74" l="1"/>
  <c r="D8" i="74"/>
  <c r="D5" i="74"/>
  <c r="D6" i="74"/>
  <c r="N13" i="87" l="1"/>
  <c r="P15" i="87" l="1"/>
  <c r="P16" i="87" s="1"/>
  <c r="O13" i="87" l="1"/>
  <c r="R15" i="87" l="1"/>
  <c r="R16" i="87" s="1"/>
  <c r="N15" i="87"/>
  <c r="N16" i="87" s="1"/>
  <c r="P20"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C00-00000300000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F2" authorId="0" shapeId="0" xr:uid="{00000000-0006-0000-2000-000001000000}">
      <text>
        <r>
          <rPr>
            <b/>
            <sz val="9"/>
            <color indexed="81"/>
            <rFont val="宋体"/>
            <family val="3"/>
            <charset val="134"/>
          </rPr>
          <t>sony:</t>
        </r>
        <r>
          <rPr>
            <sz val="9"/>
            <color indexed="81"/>
            <rFont val="宋体"/>
            <family val="3"/>
            <charset val="134"/>
          </rPr>
          <t xml:space="preserve">
46576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B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D17" authorId="2" shapeId="0" xr:uid="{00000000-0006-0000-2C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C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C00-000005000000}">
      <text>
        <r>
          <rPr>
            <sz val="9"/>
            <color indexed="81"/>
            <rFont val="宋体"/>
            <family val="3"/>
            <charset val="134"/>
          </rPr>
          <t xml:space="preserve">需在此处填写剩余土地年限
</t>
        </r>
      </text>
    </comment>
    <comment ref="C99" authorId="0" shapeId="0" xr:uid="{00000000-0006-0000-2C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C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C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C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C00-000012000000}">
      <text>
        <r>
          <rPr>
            <b/>
            <sz val="9"/>
            <color indexed="81"/>
            <rFont val="宋体"/>
            <family val="3"/>
            <charset val="134"/>
          </rPr>
          <t xml:space="preserve">容积率
</t>
        </r>
      </text>
    </comment>
    <comment ref="D101" authorId="0" shapeId="0" xr:uid="{00000000-0006-0000-2C00-000013000000}">
      <text>
        <r>
          <rPr>
            <b/>
            <sz val="9"/>
            <color indexed="81"/>
            <rFont val="宋体"/>
            <family val="3"/>
            <charset val="134"/>
          </rPr>
          <t xml:space="preserve">容积率
</t>
        </r>
      </text>
    </comment>
    <comment ref="E101" authorId="0" shapeId="0" xr:uid="{00000000-0006-0000-2C00-000014000000}">
      <text>
        <r>
          <rPr>
            <b/>
            <sz val="9"/>
            <color indexed="81"/>
            <rFont val="宋体"/>
            <family val="3"/>
            <charset val="134"/>
          </rPr>
          <t xml:space="preserve">容积率
</t>
        </r>
      </text>
    </comment>
    <comment ref="F101" authorId="0" shapeId="0" xr:uid="{00000000-0006-0000-2C00-000015000000}">
      <text>
        <r>
          <rPr>
            <b/>
            <sz val="9"/>
            <color indexed="81"/>
            <rFont val="宋体"/>
            <family val="3"/>
            <charset val="134"/>
          </rPr>
          <t xml:space="preserve">容积率
</t>
        </r>
      </text>
    </comment>
    <comment ref="G101" authorId="0" shapeId="0" xr:uid="{00000000-0006-0000-2C00-000016000000}">
      <text>
        <r>
          <rPr>
            <b/>
            <sz val="9"/>
            <color indexed="81"/>
            <rFont val="宋体"/>
            <family val="3"/>
            <charset val="134"/>
          </rPr>
          <t xml:space="preserve">容积率
</t>
        </r>
      </text>
    </comment>
    <comment ref="H101" authorId="0" shapeId="0" xr:uid="{00000000-0006-0000-2C00-000017000000}">
      <text>
        <r>
          <rPr>
            <b/>
            <sz val="9"/>
            <color indexed="81"/>
            <rFont val="宋体"/>
            <family val="3"/>
            <charset val="134"/>
          </rPr>
          <t xml:space="preserve">容积率
</t>
        </r>
      </text>
    </comment>
    <comment ref="I101" authorId="0" shapeId="0" xr:uid="{00000000-0006-0000-2C00-000018000000}">
      <text>
        <r>
          <rPr>
            <b/>
            <sz val="9"/>
            <color indexed="81"/>
            <rFont val="宋体"/>
            <family val="3"/>
            <charset val="134"/>
          </rPr>
          <t xml:space="preserve">容积率
</t>
        </r>
      </text>
    </comment>
    <comment ref="J101" authorId="0" shapeId="0" xr:uid="{00000000-0006-0000-2C00-000019000000}">
      <text>
        <r>
          <rPr>
            <b/>
            <sz val="9"/>
            <color indexed="81"/>
            <rFont val="宋体"/>
            <family val="3"/>
            <charset val="134"/>
          </rPr>
          <t xml:space="preserve">容积率
</t>
        </r>
      </text>
    </comment>
    <comment ref="K101" authorId="0" shapeId="0" xr:uid="{00000000-0006-0000-2C00-00001A000000}">
      <text>
        <r>
          <rPr>
            <b/>
            <sz val="9"/>
            <color indexed="81"/>
            <rFont val="宋体"/>
            <family val="3"/>
            <charset val="134"/>
          </rPr>
          <t xml:space="preserve">容积率
</t>
        </r>
      </text>
    </comment>
    <comment ref="L101" authorId="0" shapeId="0" xr:uid="{00000000-0006-0000-2C00-00001B000000}">
      <text>
        <r>
          <rPr>
            <b/>
            <sz val="9"/>
            <color indexed="81"/>
            <rFont val="宋体"/>
            <family val="3"/>
            <charset val="134"/>
          </rPr>
          <t xml:space="preserve">容积率
</t>
        </r>
      </text>
    </comment>
    <comment ref="M101" authorId="0" shapeId="0" xr:uid="{00000000-0006-0000-2C00-00001C000000}">
      <text>
        <r>
          <rPr>
            <b/>
            <sz val="9"/>
            <color indexed="81"/>
            <rFont val="宋体"/>
            <family val="3"/>
            <charset val="134"/>
          </rPr>
          <t xml:space="preserve">容积率
</t>
        </r>
      </text>
    </comment>
    <comment ref="N101" authorId="0" shapeId="0" xr:uid="{00000000-0006-0000-2C00-00001D000000}">
      <text>
        <r>
          <rPr>
            <b/>
            <sz val="9"/>
            <color indexed="81"/>
            <rFont val="宋体"/>
            <family val="3"/>
            <charset val="134"/>
          </rPr>
          <t xml:space="preserve">容积率
</t>
        </r>
      </text>
    </comment>
    <comment ref="C108" authorId="0" shapeId="0" xr:uid="{00000000-0006-0000-2C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C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C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C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C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C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C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C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C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C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C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C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C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E88" authorId="0" shapeId="0" xr:uid="{00000000-0006-0000-0E00-000001000000}">
      <text>
        <r>
          <rPr>
            <b/>
            <sz val="9"/>
            <color indexed="81"/>
            <rFont val="宋体"/>
            <family val="3"/>
            <charset val="134"/>
          </rPr>
          <t>sony:</t>
        </r>
        <r>
          <rPr>
            <sz val="9"/>
            <color indexed="81"/>
            <rFont val="宋体"/>
            <family val="3"/>
            <charset val="134"/>
          </rPr>
          <t xml:space="preserve">
车库</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<sst xmlns="http://schemas.openxmlformats.org/spreadsheetml/2006/main" count="15269" uniqueCount="4554">
  <si>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</si>
  <si>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</si>
  <si>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</si>
  <si>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</si>
  <si>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</si>
  <si>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</si>
  <si>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</si>
  <si>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</si>
  <si>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</si>
  <si>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</si>
  <si>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</si>
  <si>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</si>
  <si>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</si>
  <si>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</si>
  <si>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</si>
  <si>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</si>
  <si>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</si>
  <si>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</si>
  <si>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</si>
  <si>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</si>
  <si>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</si>
  <si>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</si>
  <si>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</si>
  <si>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</si>
  <si>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</si>
  <si>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</si>
  <si>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</si>
  <si>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</si>
  <si>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</si>
  <si>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</si>
  <si>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</si>
  <si>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</si>
  <si>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</si>
  <si>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</si>
  <si>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</si>
  <si>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</si>
  <si>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</si>
  <si>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</si>
  <si>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</si>
  <si>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</si>
  <si>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</si>
  <si>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</si>
  <si>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</si>
  <si>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</si>
  <si>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</si>
  <si>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</si>
  <si>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</si>
  <si>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</si>
  <si>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</si>
  <si>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</si>
  <si>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</si>
  <si>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</si>
  <si>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</si>
  <si>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</si>
  <si>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</si>
  <si>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</si>
  <si>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</si>
  <si>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</si>
  <si>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</si>
  <si>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</si>
  <si>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</si>
  <si>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</si>
  <si>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</si>
  <si>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</si>
  <si>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</si>
  <si>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</si>
  <si>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</si>
  <si>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</si>
  <si>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</si>
  <si>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</si>
  <si>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</si>
  <si>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</si>
  <si>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</si>
  <si>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</si>
  <si>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</si>
  <si>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</si>
  <si>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</si>
  <si>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</si>
  <si>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</si>
  <si>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</si>
  <si>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</si>
  <si>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</si>
  <si>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</si>
  <si>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</si>
  <si>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</si>
  <si>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</si>
  <si>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</si>
  <si>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</si>
  <si>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</si>
  <si>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</si>
  <si>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</si>
  <si>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</si>
  <si>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</si>
  <si>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</si>
  <si>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</si>
  <si>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</si>
  <si>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</si>
  <si>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</si>
  <si>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</si>
  <si>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</si>
  <si>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</si>
  <si>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</si>
  <si>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</si>
  <si>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</si>
  <si>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</si>
  <si>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</si>
  <si>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</si>
  <si>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</si>
  <si>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</si>
  <si>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</si>
  <si>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</si>
  <si>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</si>
  <si>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</si>
  <si>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</si>
  <si>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</si>
  <si>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</si>
  <si>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</si>
  <si>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</si>
  <si>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</si>
  <si>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</si>
  <si>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</si>
  <si>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</si>
  <si>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</si>
  <si>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</si>
  <si>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</si>
  <si>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</si>
  <si>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</si>
  <si>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</si>
  <si>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</si>
  <si>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</si>
  <si>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</si>
  <si>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</si>
  <si>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</si>
  <si>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</si>
  <si>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</si>
  <si>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</si>
  <si>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</si>
  <si>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</si>
  <si>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</si>
  <si>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</si>
  <si>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</si>
  <si>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</si>
  <si>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</si>
  <si>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</si>
  <si>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</si>
  <si>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</si>
  <si>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</si>
  <si>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</si>
  <si>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</si>
  <si>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</si>
  <si>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</si>
  <si>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</si>
  <si>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</si>
  <si>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</si>
  <si>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</si>
  <si>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</si>
  <si>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</si>
  <si>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</si>
  <si>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</si>
  <si>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</si>
  <si>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</si>
  <si>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</si>
  <si>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</si>
  <si>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</si>
  <si>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</si>
  <si>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</si>
  <si>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</si>
  <si>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</si>
  <si>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</si>
  <si>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</si>
  <si>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</si>
  <si>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</si>
  <si>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</si>
  <si>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</si>
  <si>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</si>
  <si>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</si>
  <si>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</si>
  <si>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</si>
  <si>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</si>
  <si>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</si>
  <si>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</si>
  <si>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</si>
  <si>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</si>
  <si>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</si>
  <si>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</si>
  <si>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</si>
  <si>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</si>
  <si>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</si>
  <si>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</si>
  <si>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</si>
  <si>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</si>
  <si>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</si>
  <si>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</si>
  <si>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</si>
  <si>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</si>
  <si>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</si>
  <si>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</si>
  <si>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</si>
  <si>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</si>
  <si>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</si>
  <si>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</si>
  <si>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</si>
  <si>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</si>
  <si>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</si>
  <si>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</si>
  <si>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</si>
  <si>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</si>
  <si>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</si>
  <si>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</si>
  <si>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</si>
  <si>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</si>
  <si>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</si>
  <si>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</si>
  <si>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</si>
  <si>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</si>
  <si>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</si>
  <si>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</si>
  <si>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</si>
  <si>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</si>
  <si>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</si>
  <si>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</si>
  <si>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</si>
  <si>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</si>
  <si>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</si>
  <si>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</si>
  <si>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</si>
  <si>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</si>
  <si>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</si>
  <si>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</si>
  <si>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</si>
  <si>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</si>
  <si>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</si>
  <si>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</si>
  <si>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</si>
  <si>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</si>
  <si>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</si>
  <si>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</si>
  <si>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</si>
  <si>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</si>
  <si>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</si>
  <si>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</si>
  <si>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</si>
  <si>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</si>
  <si>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</si>
  <si>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</si>
  <si>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</si>
  <si>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</si>
  <si>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</si>
  <si>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</si>
  <si>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</si>
  <si>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</si>
  <si>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</si>
  <si>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</si>
  <si>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</si>
  <si>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</si>
  <si>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</si>
  <si>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</si>
  <si>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</si>
  <si>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</si>
  <si>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</si>
  <si>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</si>
  <si>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</si>
  <si>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</si>
  <si>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</si>
  <si>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</si>
  <si>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</si>
  <si>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</si>
  <si>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</si>
  <si>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</si>
  <si>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</si>
  <si>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</si>
  <si>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</si>
  <si>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</si>
  <si>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</si>
  <si>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</si>
  <si>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</si>
  <si>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</si>
  <si>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</si>
  <si>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</si>
  <si>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</si>
  <si>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</si>
  <si>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</si>
  <si>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</si>
  <si>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</si>
  <si>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</si>
  <si>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</si>
  <si>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</si>
  <si>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</si>
  <si>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</si>
  <si>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</si>
  <si>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</si>
  <si>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</si>
  <si>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</si>
  <si>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</si>
  <si>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</si>
  <si>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</si>
  <si>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</si>
  <si>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</si>
  <si>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</si>
  <si>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</si>
  <si>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</si>
  <si>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</si>
  <si>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</si>
  <si>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</si>
  <si>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</si>
  <si>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</si>
  <si>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</si>
  <si>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</si>
  <si>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</si>
  <si>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</si>
  <si>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</si>
  <si>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</si>
  <si>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</si>
  <si>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</si>
  <si>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</si>
  <si>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</si>
  <si>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</si>
  <si>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</si>
  <si>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</si>
  <si>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</si>
  <si>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</si>
  <si>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</si>
  <si>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</si>
  <si>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</si>
  <si>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</si>
  <si>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</si>
  <si>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</si>
  <si>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</si>
  <si>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</si>
  <si>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</si>
  <si>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</si>
  <si>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</si>
  <si>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</si>
  <si>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</si>
  <si>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</si>
  <si>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</si>
  <si>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</si>
  <si>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</si>
  <si>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</si>
  <si>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</si>
  <si>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</si>
  <si>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</si>
  <si>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</si>
  <si>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</si>
  <si>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</si>
  <si>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</si>
  <si>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</si>
  <si>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</si>
  <si>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</si>
  <si>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</si>
  <si>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</si>
  <si>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</si>
  <si>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</si>
  <si>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</si>
  <si>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</si>
  <si>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</si>
  <si>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</si>
  <si>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</si>
  <si>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</si>
  <si>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</si>
  <si>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</si>
  <si>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</si>
  <si>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</si>
  <si>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</si>
  <si>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</si>
  <si>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</si>
  <si>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</si>
  <si>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</si>
  <si>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</si>
  <si>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</si>
  <si>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</si>
  <si>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</si>
  <si>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</si>
  <si>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</si>
  <si>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</si>
  <si>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</si>
  <si>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</si>
  <si>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</si>
  <si>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</si>
  <si>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</si>
  <si>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</si>
  <si>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</si>
  <si>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</si>
  <si>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</si>
  <si>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</si>
  <si>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</si>
  <si>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</si>
  <si>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</si>
  <si>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</si>
  <si>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</si>
  <si>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</si>
  <si>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</si>
  <si>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</si>
  <si>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</si>
  <si>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</si>
  <si>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</si>
  <si>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</si>
  <si>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</si>
  <si>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</si>
  <si>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</si>
  <si>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</si>
  <si>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</si>
  <si>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</si>
  <si>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</si>
  <si>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</si>
  <si>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</si>
  <si>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</si>
  <si>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</si>
  <si>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</si>
  <si>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</si>
  <si>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</si>
  <si>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</si>
  <si>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</si>
  <si>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</si>
  <si>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</si>
  <si>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</si>
  <si>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</si>
  <si>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</si>
  <si>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</si>
  <si>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</si>
  <si>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</si>
  <si>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</si>
  <si>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</si>
  <si>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</si>
  <si>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</si>
  <si>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</si>
  <si>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</si>
  <si>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</si>
  <si>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</si>
  <si>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</si>
  <si>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</si>
  <si>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</si>
  <si>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</si>
  <si>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</si>
  <si>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</si>
  <si>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</si>
  <si>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</si>
  <si>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</si>
  <si>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</si>
  <si>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</si>
  <si>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</si>
  <si>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</si>
  <si>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</si>
  <si>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</si>
  <si>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</si>
  <si>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</si>
  <si>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</si>
  <si>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</si>
  <si>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</si>
  <si>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</si>
  <si>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</si>
  <si>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</si>
  <si>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</si>
  <si>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</si>
  <si>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</si>
  <si>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</si>
  <si>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</si>
  <si>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</si>
  <si>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</si>
  <si>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</si>
  <si>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</si>
  <si>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</si>
  <si>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</si>
  <si>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</si>
  <si>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</si>
  <si>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</si>
  <si>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</si>
  <si>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</si>
  <si>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</si>
  <si>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</si>
  <si>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</si>
  <si>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</si>
  <si>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</si>
  <si>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</si>
  <si>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</si>
  <si>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</si>
  <si>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</si>
  <si>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</si>
  <si>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</si>
  <si>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</si>
  <si>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</si>
  <si>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</si>
  <si>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</si>
  <si>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</si>
  <si>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</si>
  <si>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</si>
  <si>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</si>
  <si>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</si>
  <si>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</si>
  <si>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</si>
  <si>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</si>
  <si>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</si>
  <si>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</si>
  <si>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</si>
  <si>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</si>
  <si>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</si>
  <si>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</si>
  <si>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</si>
  <si>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</si>
  <si>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</si>
  <si>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</si>
  <si>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</si>
  <si>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</si>
  <si>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</si>
  <si>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</si>
  <si>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</si>
  <si>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</si>
  <si>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</si>
  <si>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</si>
  <si>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</si>
  <si>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</si>
  <si>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</si>
  <si>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</si>
  <si>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</si>
  <si>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</si>
  <si>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</si>
  <si>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</si>
  <si>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</si>
  <si>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</si>
  <si>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</si>
  <si>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</si>
  <si>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</si>
  <si>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</si>
  <si>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</si>
  <si>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</si>
  <si>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</si>
  <si>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</si>
  <si>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</si>
  <si>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</si>
  <si>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</si>
  <si>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</si>
  <si>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</si>
  <si>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</si>
  <si>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</si>
  <si>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</si>
  <si>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</si>
  <si>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</si>
  <si>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</si>
  <si>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</si>
  <si>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</si>
  <si>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</si>
  <si>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</si>
  <si>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</si>
  <si>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</si>
  <si>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</si>
  <si>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</si>
  <si>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</si>
  <si>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</si>
  <si>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</si>
  <si>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</si>
  <si>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</si>
  <si>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</si>
  <si>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</si>
  <si>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</si>
  <si>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</si>
  <si>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</si>
  <si>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</si>
  <si>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</si>
  <si>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</si>
  <si>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</si>
  <si>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</si>
  <si>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</si>
  <si>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</si>
  <si>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</si>
  <si>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</si>
  <si>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</si>
  <si>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</si>
  <si>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</si>
  <si>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</si>
  <si>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</si>
  <si>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</si>
  <si>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</si>
  <si>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</si>
  <si>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</si>
  <si>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</si>
  <si>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</si>
  <si>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</si>
  <si>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</si>
  <si>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</si>
  <si>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</si>
  <si>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</si>
  <si>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</si>
  <si>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</si>
  <si>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</si>
  <si>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</si>
  <si>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</si>
  <si>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</si>
  <si>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</si>
  <si>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</si>
  <si>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</si>
  <si>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</si>
  <si>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</si>
  <si>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</si>
  <si>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</si>
  <si>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</si>
  <si>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</si>
  <si>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</si>
  <si>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</si>
  <si>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</si>
  <si>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</si>
  <si>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</si>
  <si>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</si>
  <si>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</si>
  <si>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</si>
  <si>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</si>
  <si>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</si>
  <si>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</si>
  <si>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</si>
  <si>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</si>
  <si>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</si>
  <si>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</si>
  <si>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</si>
  <si>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</si>
  <si>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</si>
  <si>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</si>
  <si>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</si>
  <si>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</si>
  <si>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</si>
  <si>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</si>
  <si>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</si>
  <si>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</si>
  <si>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</si>
  <si>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</si>
  <si>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</si>
  <si>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</si>
  <si>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</si>
  <si>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</si>
  <si>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</si>
  <si>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</si>
  <si>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</si>
  <si>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</si>
  <si>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</si>
  <si>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</si>
  <si>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</si>
  <si>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</si>
  <si>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</si>
  <si>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</si>
  <si>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</si>
  <si>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</si>
  <si>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</si>
  <si>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</si>
  <si>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</si>
  <si>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</si>
  <si>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</si>
  <si>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</si>
  <si>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</si>
  <si>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</si>
  <si>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</si>
  <si>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</si>
  <si>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</si>
  <si>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</si>
  <si>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</si>
  <si>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</si>
  <si>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</si>
  <si>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</si>
  <si>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</si>
  <si>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</si>
  <si>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</si>
  <si>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</si>
  <si>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</si>
  <si>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</si>
  <si>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</si>
  <si>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</si>
  <si>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</si>
  <si>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</si>
  <si>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</si>
  <si>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</si>
  <si>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</si>
  <si>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</si>
  <si>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</si>
  <si>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</si>
  <si>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</si>
  <si>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</si>
  <si>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</si>
  <si>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</si>
  <si>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</si>
  <si>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</si>
  <si>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</si>
  <si>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</si>
  <si>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</si>
  <si>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</si>
  <si>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</si>
  <si>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</si>
  <si>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</si>
  <si>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</si>
  <si>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</si>
  <si>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</si>
  <si>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</si>
  <si>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</si>
  <si>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</si>
  <si>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</si>
  <si>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</si>
  <si>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</si>
  <si>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</si>
  <si>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</si>
  <si>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</si>
  <si>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</si>
  <si>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</si>
  <si>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</si>
  <si>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</si>
  <si>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</si>
  <si>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</si>
  <si>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</si>
  <si>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</si>
  <si>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</si>
  <si>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</si>
  <si>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</si>
  <si>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</si>
  <si>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</si>
  <si>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</si>
  <si>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</si>
  <si>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</si>
  <si>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</si>
  <si>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</si>
  <si>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</si>
  <si>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</si>
  <si>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</si>
  <si>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</si>
  <si>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</si>
  <si>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</si>
  <si>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</si>
  <si>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</si>
  <si>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</si>
  <si>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</si>
  <si>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</si>
  <si>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</si>
  <si>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</si>
  <si>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</si>
  <si>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</si>
  <si>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</si>
  <si>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</si>
  <si>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</si>
  <si>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</si>
  <si>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</si>
  <si>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</si>
  <si>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</si>
  <si>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</si>
  <si>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</si>
  <si>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</si>
  <si>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</si>
  <si>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</si>
  <si>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</si>
  <si>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</si>
  <si>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</si>
  <si>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</si>
  <si>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</si>
  <si>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</si>
  <si>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</si>
  <si>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</si>
  <si>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</si>
  <si>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</si>
  <si>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</si>
  <si>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</si>
  <si>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</si>
  <si>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</si>
  <si>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</si>
  <si>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</si>
  <si>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</si>
  <si>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</si>
  <si>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</si>
  <si>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</si>
  <si>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</si>
  <si>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</si>
  <si>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</si>
  <si>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</si>
  <si>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</si>
  <si>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</si>
  <si>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</si>
  <si>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</si>
  <si>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</si>
  <si>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</si>
  <si>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</si>
  <si>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</si>
  <si>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</si>
  <si>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</si>
  <si>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</si>
  <si>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</si>
  <si>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</si>
  <si>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</si>
  <si>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</si>
  <si>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</si>
  <si>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</si>
  <si>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</si>
  <si>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</si>
  <si>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</si>
  <si>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</si>
  <si>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</si>
  <si>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</si>
  <si>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</si>
  <si>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</si>
  <si>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</si>
  <si>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</si>
  <si>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</si>
  <si>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</si>
  <si>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</si>
  <si>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</si>
  <si>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</si>
  <si>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</si>
  <si>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</si>
  <si>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</si>
  <si>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</si>
  <si>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</si>
  <si>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</si>
  <si>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</si>
  <si>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</si>
  <si>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</si>
  <si>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</si>
  <si>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</si>
  <si>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</si>
  <si>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</si>
  <si>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</si>
  <si>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</si>
  <si>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</si>
  <si>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</si>
  <si>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</si>
  <si>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</si>
  <si>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</si>
  <si>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</si>
  <si>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</si>
  <si>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</si>
  <si>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</si>
  <si>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</si>
  <si>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</si>
  <si>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</si>
  <si>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</si>
  <si>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</si>
  <si>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</si>
  <si>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</si>
  <si>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</si>
  <si>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</si>
  <si>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</si>
  <si>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</si>
  <si>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</si>
  <si>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</si>
  <si>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</si>
  <si>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</si>
  <si>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</si>
  <si>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</si>
  <si>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</si>
  <si>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</si>
  <si>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</si>
  <si>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</si>
  <si>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</si>
  <si>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</si>
  <si>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</si>
  <si>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</si>
  <si>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</si>
  <si>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</si>
  <si>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</si>
  <si>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</si>
  <si>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</si>
  <si>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</si>
  <si>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</si>
  <si>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</si>
  <si>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</si>
  <si>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</si>
  <si>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</si>
  <si>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</si>
  <si>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</si>
  <si>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</si>
  <si>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</si>
  <si>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</si>
  <si>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</si>
  <si>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</si>
  <si>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</si>
  <si>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</si>
  <si>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</si>
  <si>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</si>
  <si>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</si>
  <si>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</si>
  <si>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</si>
  <si>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</si>
  <si>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</si>
  <si>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</si>
  <si>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</si>
  <si>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</si>
  <si>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</si>
  <si>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</si>
  <si>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</si>
  <si>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</si>
  <si>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</si>
  <si>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</si>
  <si>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</si>
  <si>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</si>
  <si>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</si>
  <si>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</si>
  <si>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</si>
  <si>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</si>
  <si>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</si>
  <si>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</si>
  <si>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</si>
  <si>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</si>
  <si>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</si>
  <si>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</si>
  <si>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</si>
  <si>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</si>
  <si>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</si>
  <si>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</si>
  <si>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</si>
  <si>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</si>
  <si>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</si>
  <si>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</si>
  <si>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</si>
  <si>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</si>
  <si>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</si>
  <si>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</si>
  <si>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</si>
  <si>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</si>
  <si>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</si>
  <si>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</si>
  <si>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</si>
  <si>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</si>
  <si>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</si>
  <si>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</si>
  <si>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</si>
  <si>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</si>
  <si>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</si>
  <si>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</si>
  <si>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</si>
  <si>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</si>
  <si>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</si>
  <si>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</si>
  <si>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</si>
  <si>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</si>
  <si>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</si>
  <si>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</si>
  <si>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</si>
  <si>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</si>
  <si>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</si>
  <si>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</si>
  <si>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</si>
  <si>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</si>
  <si>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</si>
  <si>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</si>
  <si>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</si>
  <si>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</si>
  <si>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</si>
  <si>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</si>
  <si>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</si>
  <si>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</si>
  <si>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</si>
  <si>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</si>
  <si>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</si>
  <si>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</si>
  <si>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</si>
  <si>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</si>
  <si>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</si>
  <si>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</si>
  <si>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</si>
  <si>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</si>
  <si>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</si>
  <si>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</si>
  <si>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</si>
  <si>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</si>
  <si>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</si>
  <si>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</si>
  <si>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</si>
  <si>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</si>
  <si>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</si>
  <si>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</si>
  <si>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</si>
  <si>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</si>
  <si>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</si>
  <si>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</si>
  <si>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</si>
  <si>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</si>
  <si>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</si>
  <si>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</si>
  <si>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</si>
  <si>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</si>
  <si>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</si>
  <si>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</si>
  <si>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</si>
  <si>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</si>
  <si>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</si>
  <si>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</si>
  <si>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</si>
  <si>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</si>
  <si>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</si>
  <si>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</si>
  <si>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</si>
  <si>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</si>
  <si>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</si>
  <si>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</si>
  <si>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</si>
  <si>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</si>
  <si>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</si>
  <si>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</si>
  <si>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</si>
  <si>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</si>
  <si>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</si>
  <si>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</si>
  <si>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</si>
  <si>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</si>
  <si>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</si>
  <si>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</si>
  <si>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</si>
  <si>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</si>
  <si>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</si>
  <si>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</si>
  <si>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</si>
  <si>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</si>
  <si>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</si>
  <si>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</si>
  <si>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</si>
  <si>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</si>
  <si>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</si>
  <si>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</si>
  <si>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</si>
  <si>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</si>
  <si>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</si>
  <si>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</si>
  <si>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</si>
  <si>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</si>
  <si>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</si>
  <si>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</si>
  <si>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</si>
  <si>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</si>
  <si>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</si>
  <si>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</si>
  <si>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</si>
  <si>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</si>
  <si>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</si>
  <si>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</si>
  <si>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</si>
  <si>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</si>
  <si>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</si>
  <si>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</si>
  <si>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</si>
  <si>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</si>
  <si>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</si>
  <si>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</si>
  <si>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</si>
  <si>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</si>
  <si>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</si>
  <si>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</si>
  <si>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</si>
  <si>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</si>
  <si>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</si>
  <si>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</si>
  <si>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</si>
  <si>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</si>
  <si>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</si>
  <si>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</si>
  <si>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</si>
  <si>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</si>
  <si>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</si>
  <si>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</si>
  <si>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</si>
  <si>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</si>
  <si>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</si>
  <si>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</si>
  <si>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</si>
  <si>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</si>
  <si>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</si>
  <si>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</si>
  <si>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</si>
  <si>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</si>
  <si>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</si>
  <si>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</si>
  <si>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</si>
  <si>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</si>
  <si>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</si>
  <si>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</si>
  <si>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</si>
  <si>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</si>
  <si>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</si>
  <si>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</si>
  <si>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</si>
  <si>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</si>
  <si>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</si>
  <si>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</si>
  <si>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</si>
  <si>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</si>
  <si>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</si>
  <si>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</si>
  <si>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</si>
  <si>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</si>
  <si>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</si>
  <si>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</si>
  <si>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</si>
  <si>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</si>
  <si>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</si>
  <si>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</si>
  <si>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</si>
  <si>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</si>
  <si>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</si>
  <si>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</si>
  <si>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</si>
  <si>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</si>
  <si>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</si>
  <si>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</si>
  <si>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</si>
  <si>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</si>
  <si>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</si>
  <si>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</si>
  <si>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</si>
  <si>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</si>
  <si>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</si>
  <si>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</si>
  <si>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</si>
  <si>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</si>
  <si>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</si>
  <si>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</si>
  <si>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</si>
  <si>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</si>
  <si>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</si>
  <si>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</si>
  <si>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</si>
  <si>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</si>
  <si>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</si>
  <si>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</si>
  <si>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</si>
  <si>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</si>
  <si>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</si>
  <si>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</si>
  <si>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</si>
  <si>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</si>
  <si>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</si>
  <si>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</si>
  <si>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</si>
  <si>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</si>
  <si>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</si>
  <si>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</si>
  <si>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</si>
  <si>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</si>
  <si>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</si>
  <si>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</si>
  <si>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</si>
  <si>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</si>
  <si>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</si>
  <si>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</si>
  <si>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</si>
  <si>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</si>
  <si>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</si>
  <si>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</si>
  <si>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</si>
  <si>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</si>
  <si>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</si>
  <si>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</si>
  <si>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</si>
  <si>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</si>
  <si>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</si>
  <si>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</si>
  <si>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</si>
  <si>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</si>
  <si>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</si>
  <si>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</si>
  <si>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</si>
  <si>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</si>
  <si>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</si>
  <si>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</si>
  <si>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</si>
  <si>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</si>
  <si>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</si>
  <si>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</si>
  <si>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</si>
  <si>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</si>
  <si>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</si>
  <si>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</si>
  <si>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</si>
  <si>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</si>
  <si>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</si>
  <si>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</si>
  <si>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</si>
  <si>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</si>
  <si>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</si>
  <si>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</si>
  <si>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</si>
  <si>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</si>
  <si>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</si>
  <si>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</si>
  <si>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</si>
  <si>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</si>
  <si>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</si>
  <si>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</si>
  <si>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</si>
  <si>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</si>
  <si>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</si>
  <si>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</si>
  <si>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</si>
  <si>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</si>
  <si>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</si>
  <si>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</si>
  <si>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</si>
  <si>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</si>
  <si>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</si>
  <si>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</si>
  <si>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</si>
  <si>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</si>
  <si>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</si>
  <si>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</si>
  <si>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</si>
  <si>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</si>
  <si>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</si>
  <si>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</si>
  <si>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</si>
  <si>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</si>
  <si>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</si>
  <si>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</si>
  <si>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</si>
  <si>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</si>
  <si>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</si>
  <si>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</si>
  <si>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</si>
  <si>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</si>
  <si>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</si>
  <si>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</si>
  <si>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</si>
  <si>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</si>
  <si>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</si>
  <si>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</si>
  <si>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</si>
  <si>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</si>
  <si>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</si>
  <si>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</si>
  <si>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</si>
  <si>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</si>
  <si>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</si>
  <si>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</si>
  <si>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</si>
  <si>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</si>
  <si>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</si>
  <si>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</si>
  <si>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</si>
  <si>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</si>
  <si>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</si>
  <si>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</si>
  <si>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</si>
  <si>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</si>
  <si>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</si>
  <si>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</si>
  <si>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</si>
  <si>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</si>
  <si>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</si>
  <si>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</si>
  <si>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</si>
  <si>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</si>
  <si>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</si>
  <si>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</si>
  <si>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</si>
  <si>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</si>
  <si>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</si>
  <si>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</si>
  <si>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</si>
  <si>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</si>
  <si>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</si>
  <si>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</si>
  <si>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</si>
  <si>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</si>
  <si>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</si>
  <si>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</si>
  <si>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</si>
  <si>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</si>
  <si>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</si>
  <si>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</si>
  <si>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</si>
  <si>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</si>
  <si>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</si>
  <si>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</si>
  <si>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</si>
  <si>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</si>
  <si>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</si>
  <si>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</si>
  <si>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</si>
  <si>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</si>
  <si>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</si>
  <si>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</si>
  <si>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</si>
  <si>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</si>
  <si>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</si>
  <si>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</si>
  <si>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</si>
  <si>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</si>
  <si>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</si>
  <si>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</si>
  <si>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</si>
  <si>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</si>
  <si>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</si>
  <si>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</si>
  <si>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</si>
  <si>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</si>
  <si>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</si>
  <si>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</si>
  <si>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</si>
  <si>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</si>
  <si>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</si>
  <si>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</si>
  <si>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</si>
  <si>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</si>
  <si>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</si>
  <si>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</si>
  <si>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</si>
  <si>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</si>
  <si>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</si>
  <si>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</si>
  <si>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</si>
  <si>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</si>
  <si>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</si>
  <si>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</si>
  <si>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</si>
  <si>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</si>
  <si>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</si>
  <si>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</si>
  <si>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</si>
  <si>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</si>
  <si>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</si>
  <si>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</si>
  <si>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</si>
  <si>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</si>
  <si>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</si>
  <si>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</si>
  <si>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</si>
  <si>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</si>
  <si>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</si>
  <si>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</si>
  <si>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</si>
  <si>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</si>
  <si>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</si>
  <si>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</si>
  <si>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</si>
  <si>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</si>
  <si>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</si>
  <si>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</si>
  <si>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</si>
  <si>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</si>
  <si>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</si>
  <si>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</si>
  <si>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</si>
  <si>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</si>
  <si>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</si>
  <si>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</si>
  <si>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</si>
  <si>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</si>
  <si>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</si>
  <si>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</si>
  <si>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</si>
  <si>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</si>
  <si>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</si>
  <si>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</si>
  <si>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</si>
  <si>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</si>
  <si>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</si>
  <si>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</si>
  <si>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</si>
  <si>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</si>
  <si>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</si>
  <si>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</si>
  <si>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</si>
  <si>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</si>
  <si>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</si>
  <si>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</si>
  <si>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</si>
  <si>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</si>
  <si>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</si>
  <si>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</si>
  <si>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</si>
  <si>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</si>
  <si>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</si>
  <si>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</si>
  <si>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</si>
  <si>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</si>
  <si>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</si>
  <si>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</si>
  <si>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</si>
  <si>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</si>
  <si>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</si>
  <si>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</si>
  <si>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</si>
  <si>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</si>
  <si>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</si>
  <si>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</si>
  <si>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</si>
  <si>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</si>
  <si>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</si>
  <si>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</si>
  <si>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</si>
  <si>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</si>
  <si>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</si>
  <si>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</si>
  <si>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</si>
  <si>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</si>
  <si>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</si>
  <si>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</si>
  <si>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</si>
  <si>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</si>
  <si>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</si>
  <si>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</si>
  <si>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</si>
  <si>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</si>
  <si>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</si>
  <si>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</si>
  <si>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</si>
  <si>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</si>
  <si>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</si>
  <si>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</si>
  <si>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</si>
  <si>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</si>
  <si>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</si>
  <si>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</si>
  <si>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</si>
  <si>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</si>
  <si>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</si>
  <si>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</si>
  <si>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</si>
  <si>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</si>
  <si>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</si>
  <si>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</si>
  <si>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</si>
  <si>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</si>
  <si>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</si>
  <si>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</si>
  <si>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</si>
  <si>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</si>
  <si>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</si>
  <si>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</si>
  <si>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</si>
  <si>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</si>
  <si>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</si>
  <si>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</si>
  <si>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</si>
  <si>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</si>
  <si>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</si>
  <si>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</si>
  <si>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</si>
  <si>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</si>
  <si>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</si>
  <si>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</si>
  <si>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</si>
  <si>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</si>
  <si>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</si>
  <si>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</si>
  <si>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</si>
  <si>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</si>
  <si>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</si>
  <si>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</si>
  <si>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</si>
  <si>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</si>
  <si>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</si>
  <si>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</si>
  <si>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</si>
  <si>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</si>
  <si>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</si>
  <si>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</si>
  <si>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</si>
  <si>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</si>
  <si>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</si>
  <si>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</si>
  <si>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</si>
  <si>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</si>
  <si>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</si>
  <si>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</si>
  <si>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</si>
  <si>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</si>
  <si>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</si>
  <si>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</si>
  <si>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</si>
  <si>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</si>
  <si>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</si>
  <si>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</si>
  <si>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</si>
  <si>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</si>
  <si>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</si>
  <si>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</si>
  <si>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</si>
  <si>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</si>
  <si>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</si>
  <si>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</si>
  <si>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</si>
  <si>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</si>
  <si>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</si>
  <si>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</si>
  <si>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</si>
  <si>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</si>
  <si>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</si>
  <si>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</si>
  <si>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</si>
  <si>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</si>
  <si>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</si>
  <si>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</si>
  <si>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</si>
  <si>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</si>
  <si>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</si>
  <si>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</si>
  <si>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</si>
  <si>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</si>
  <si>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</si>
  <si>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</si>
  <si>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</si>
  <si>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</si>
  <si>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</si>
  <si>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</si>
  <si>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</si>
  <si>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</si>
  <si>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</si>
  <si>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</si>
  <si>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</si>
  <si>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</si>
  <si>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</si>
  <si>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</si>
  <si>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</si>
  <si>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</si>
  <si>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</si>
  <si>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</si>
  <si>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</si>
  <si>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</si>
  <si>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</si>
  <si>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</si>
  <si>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</si>
  <si>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</si>
  <si>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</si>
  <si>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</si>
  <si>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</si>
  <si>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</si>
  <si>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</si>
  <si>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</si>
  <si>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</si>
  <si>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</si>
  <si>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</si>
  <si>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</si>
  <si>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</si>
  <si>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</si>
  <si>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</si>
  <si>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</si>
  <si>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</si>
  <si>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</si>
  <si>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</si>
  <si>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</si>
  <si>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</si>
  <si>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</si>
  <si>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</si>
  <si>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</si>
  <si>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</si>
  <si>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</si>
  <si>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</si>
  <si>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</si>
  <si>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</si>
  <si>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</si>
  <si>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</si>
  <si>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</si>
  <si>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</si>
  <si>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</si>
  <si>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</si>
  <si>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</si>
  <si>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</si>
  <si>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</si>
  <si>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</si>
  <si>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</si>
  <si>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</si>
  <si>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</si>
  <si>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</si>
  <si>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</si>
  <si>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</si>
  <si>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</si>
  <si>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</si>
  <si>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</si>
  <si>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</si>
  <si>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</si>
  <si>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</si>
  <si>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</si>
  <si>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</si>
  <si>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</si>
  <si>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</si>
  <si>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</si>
  <si>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</si>
  <si>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</si>
  <si>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</si>
  <si>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</si>
  <si>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</si>
  <si>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</si>
  <si>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</si>
  <si>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</si>
  <si>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</si>
  <si>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</si>
  <si>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</si>
  <si>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</si>
  <si>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</si>
  <si>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</si>
  <si>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</si>
  <si>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</si>
  <si>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</si>
  <si>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</si>
  <si>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</si>
  <si>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</si>
  <si>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</si>
  <si>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</si>
  <si>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</si>
  <si>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</si>
  <si>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</si>
  <si>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</si>
  <si>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</si>
  <si>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</si>
  <si>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</si>
  <si>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</si>
  <si>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</si>
  <si>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</si>
  <si>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</si>
  <si>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</si>
  <si>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</si>
  <si>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</si>
  <si>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</si>
  <si>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</si>
  <si>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</si>
  <si>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</si>
  <si>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</si>
  <si>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</si>
  <si>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</si>
  <si>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</si>
  <si>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</si>
  <si>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</si>
  <si>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</si>
  <si>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</si>
  <si>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</si>
  <si>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</si>
  <si>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</si>
  <si>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</si>
  <si>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</si>
  <si>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</si>
  <si>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</si>
  <si>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</si>
  <si>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</si>
  <si>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</si>
  <si>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</si>
  <si>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</si>
  <si>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</si>
  <si>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</si>
  <si>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</si>
  <si>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</si>
  <si>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</si>
  <si>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</si>
  <si>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</si>
  <si>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</si>
  <si>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</si>
  <si>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</si>
  <si>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</si>
  <si>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</si>
  <si>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</si>
  <si>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</si>
  <si>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</si>
  <si>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</si>
  <si>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</si>
  <si>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</si>
  <si>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</si>
  <si>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</si>
  <si>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</si>
  <si>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</si>
  <si>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</si>
  <si>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</si>
  <si>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</si>
  <si>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</si>
  <si>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</si>
  <si>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</si>
  <si>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</si>
  <si>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</si>
  <si>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</si>
  <si>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</si>
  <si>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</si>
  <si>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</si>
  <si>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</si>
  <si>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</si>
  <si>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</si>
  <si>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</si>
  <si>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</si>
  <si>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</si>
  <si>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</si>
  <si>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</si>
  <si>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</si>
  <si>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</si>
  <si>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</si>
  <si>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</si>
  <si>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</si>
  <si>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</si>
  <si>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</si>
  <si>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</si>
  <si>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</si>
  <si>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</si>
  <si>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</si>
  <si>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</si>
  <si>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</si>
  <si>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</si>
  <si>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</si>
  <si>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</si>
  <si>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</si>
  <si>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</si>
  <si>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</si>
  <si>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</si>
  <si>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</si>
  <si>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</si>
  <si>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</si>
  <si>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</si>
  <si>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</si>
  <si>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</si>
  <si>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</si>
  <si>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</si>
  <si>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</si>
  <si>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</si>
  <si>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</si>
  <si>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</si>
  <si>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</si>
  <si>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</si>
  <si>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</si>
  <si>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</si>
  <si>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</si>
  <si>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</si>
  <si>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</si>
  <si>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</si>
  <si>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</si>
  <si>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</si>
  <si>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</si>
  <si>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</si>
  <si>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</si>
  <si>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</si>
  <si>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</si>
  <si>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</si>
  <si>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</si>
  <si>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</si>
  <si>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</si>
  <si>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</si>
  <si>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</si>
  <si>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</si>
  <si>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</si>
  <si>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</si>
  <si>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</si>
  <si>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</si>
  <si>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</si>
  <si>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</si>
  <si>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</si>
  <si>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</si>
  <si>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</si>
  <si>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</si>
  <si>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</si>
  <si>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</si>
  <si>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</si>
  <si>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</si>
  <si>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</si>
  <si>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</si>
  <si>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</si>
  <si>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</si>
  <si>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</si>
  <si>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</si>
  <si>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</si>
  <si>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</si>
  <si>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</si>
  <si>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</si>
  <si>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</si>
  <si>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</si>
  <si>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</si>
  <si>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</si>
  <si>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</si>
  <si>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</si>
  <si>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</si>
  <si>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</si>
  <si>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</si>
  <si>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</si>
  <si>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</si>
  <si>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</si>
  <si>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</si>
  <si>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</si>
  <si>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</si>
  <si>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</si>
  <si>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</si>
  <si>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</si>
  <si>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</si>
  <si>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</si>
  <si>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</si>
  <si>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</si>
  <si>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</si>
  <si>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</si>
  <si>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</si>
  <si>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</si>
  <si>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</si>
  <si>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</si>
  <si>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</si>
  <si>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</si>
  <si>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</si>
  <si>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</si>
  <si>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</si>
  <si>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</si>
  <si>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</si>
  <si>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</si>
  <si>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</si>
  <si>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</si>
  <si>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</si>
  <si>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</si>
  <si>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</si>
  <si>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</si>
  <si>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</si>
  <si>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</si>
  <si>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</si>
  <si>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</si>
  <si>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</si>
  <si>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</si>
  <si>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</si>
  <si>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</si>
  <si>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</si>
  <si>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</si>
  <si>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</si>
  <si>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</si>
  <si>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</si>
  <si>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</si>
  <si>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</si>
  <si>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</si>
  <si>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</si>
  <si>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</si>
  <si>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</si>
  <si>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</si>
  <si>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</si>
  <si>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</si>
  <si>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</si>
  <si>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</si>
  <si>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</si>
  <si>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</si>
  <si>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</si>
  <si>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</si>
  <si>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</si>
  <si>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</si>
  <si>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</si>
  <si>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</si>
  <si>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</si>
  <si>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</si>
  <si>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</si>
  <si>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</si>
  <si>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</si>
  <si>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</si>
  <si>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</si>
  <si>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</si>
  <si>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</si>
  <si>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</si>
  <si>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</si>
  <si>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</si>
  <si>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</si>
  <si>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</si>
  <si>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</si>
  <si>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</si>
  <si>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</si>
  <si>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</si>
  <si>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</si>
  <si>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</si>
  <si>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</si>
  <si>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</si>
  <si>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</si>
  <si>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</si>
  <si>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</si>
  <si>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</si>
  <si>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</si>
  <si>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</si>
  <si>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</si>
  <si>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</si>
  <si>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</si>
  <si>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</si>
  <si>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</si>
  <si>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</si>
  <si>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</si>
  <si>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</si>
  <si>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</si>
  <si>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</si>
  <si>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</si>
  <si>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</si>
  <si>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</si>
  <si>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</si>
  <si>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</si>
  <si>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</si>
  <si>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</si>
  <si>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</si>
  <si>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</si>
  <si>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</si>
  <si>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</si>
  <si>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</si>
  <si>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</si>
  <si>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</si>
  <si>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</si>
  <si>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</si>
  <si>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</si>
  <si>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</si>
  <si>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</si>
  <si>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</si>
  <si>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</si>
  <si>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</si>
  <si>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</si>
  <si>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</si>
  <si>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</si>
  <si>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</si>
  <si>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</si>
  <si>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</si>
  <si>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</si>
  <si>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</si>
  <si>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</si>
  <si>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</si>
  <si>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</si>
  <si>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</si>
  <si>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</si>
  <si>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</si>
  <si>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</si>
  <si>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</si>
  <si>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</si>
  <si>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</si>
  <si>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</si>
  <si>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</si>
  <si>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</si>
  <si>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</si>
  <si>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</si>
  <si>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</si>
  <si>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</si>
  <si>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</si>
  <si>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</si>
  <si>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</si>
  <si>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</si>
  <si>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</si>
  <si>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</si>
  <si>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</si>
  <si>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</si>
  <si>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</si>
  <si>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</si>
  <si>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</si>
  <si>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</si>
  <si>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</si>
  <si>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</si>
  <si>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</si>
  <si>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</si>
  <si>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</si>
  <si>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</si>
  <si>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</si>
  <si>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</si>
  <si>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</si>
  <si>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</si>
  <si>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</si>
  <si>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</si>
  <si>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</si>
  <si>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</si>
  <si>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</si>
  <si>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</si>
  <si>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</si>
  <si>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</si>
  <si>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</si>
  <si>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</si>
  <si>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</si>
  <si>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</si>
  <si>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</si>
  <si>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</si>
  <si>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</si>
  <si>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</si>
  <si>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</si>
  <si>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</si>
  <si>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</si>
  <si>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</si>
  <si>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</si>
  <si>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</si>
  <si>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</si>
  <si>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</si>
  <si>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</si>
  <si>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</si>
  <si>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</si>
  <si>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</si>
  <si>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</si>
  <si>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</si>
  <si>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</si>
  <si>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</si>
  <si>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</si>
  <si>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</si>
  <si>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</si>
  <si>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</si>
  <si>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</si>
  <si>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</si>
  <si>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</si>
  <si>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</si>
  <si>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</si>
  <si>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</si>
  <si>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</si>
  <si>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</si>
  <si>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</si>
  <si>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</si>
  <si>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</si>
  <si>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</si>
  <si>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</si>
  <si>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</si>
  <si>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</si>
  <si>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</si>
  <si>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</si>
  <si>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</si>
  <si>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</si>
  <si>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</si>
  <si>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</si>
  <si>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</si>
  <si>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</si>
  <si>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</si>
  <si>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</si>
  <si>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</si>
  <si>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</si>
  <si>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</si>
  <si>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</si>
  <si>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</si>
  <si>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</si>
  <si>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</si>
  <si>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</si>
  <si>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</si>
  <si>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</si>
  <si>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</si>
  <si>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</si>
  <si>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</si>
  <si>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</si>
  <si>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</si>
  <si>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</si>
  <si>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</si>
  <si>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</si>
  <si>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</si>
  <si>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</si>
  <si>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</si>
  <si>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</si>
  <si>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</si>
  <si>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</si>
  <si>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</si>
  <si>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</si>
  <si>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</si>
  <si>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</si>
  <si>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</si>
  <si>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</si>
  <si>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</si>
  <si>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</si>
  <si>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</si>
  <si>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</si>
  <si>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</si>
  <si>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</si>
  <si>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</si>
  <si>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</si>
  <si>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</si>
  <si>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</si>
  <si>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</si>
  <si>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</si>
  <si>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</si>
  <si>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</si>
  <si>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</si>
  <si>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</si>
  <si>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</si>
  <si>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</si>
  <si>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</si>
  <si>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</si>
  <si>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</si>
  <si>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</si>
  <si>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</si>
  <si>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</si>
  <si>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</si>
  <si>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</si>
  <si>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</si>
  <si>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</si>
  <si>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</si>
  <si>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</si>
  <si>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</si>
  <si>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</si>
  <si>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</si>
  <si>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</si>
  <si>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</si>
  <si>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</si>
  <si>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</si>
  <si>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</si>
  <si>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</si>
  <si>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</si>
  <si>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</si>
  <si>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</si>
  <si>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</si>
  <si>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</si>
  <si>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</si>
  <si>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</si>
  <si>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</si>
  <si>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</si>
  <si>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</si>
  <si>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</si>
  <si>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</si>
  <si>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</si>
  <si>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</si>
  <si>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</si>
  <si>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</si>
  <si>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</si>
  <si>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</si>
  <si>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</si>
  <si>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</si>
  <si>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</si>
  <si>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</si>
  <si>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</si>
  <si>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</si>
  <si>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</si>
  <si>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</si>
  <si>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</si>
  <si>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</si>
  <si>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</si>
  <si>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</si>
  <si>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</si>
  <si>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</si>
  <si>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</si>
  <si>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</si>
  <si>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</si>
  <si>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</si>
  <si>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</si>
  <si>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</si>
  <si>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</si>
  <si>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</si>
  <si>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</si>
  <si>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</si>
  <si>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</si>
  <si>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</si>
  <si>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</si>
  <si>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</si>
  <si>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</si>
  <si>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</si>
  <si>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</si>
  <si>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</si>
  <si>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</si>
  <si>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</si>
  <si>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</si>
  <si>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</si>
  <si>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</si>
  <si>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</si>
  <si>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</si>
  <si>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</si>
  <si>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</si>
  <si>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</si>
  <si>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</si>
  <si>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</si>
  <si>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</si>
  <si>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</si>
  <si>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</si>
  <si>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</si>
  <si>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</si>
  <si>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</si>
  <si>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</si>
  <si>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</si>
  <si>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</si>
  <si>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</si>
  <si>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</si>
  <si>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</si>
  <si>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</si>
  <si>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</si>
  <si>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</si>
  <si>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</si>
  <si>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</si>
  <si>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</si>
  <si>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</si>
  <si>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</si>
  <si>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</si>
  <si>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</si>
  <si>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</si>
  <si>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</si>
  <si>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</si>
  <si>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</si>
  <si>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</si>
  <si>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</si>
  <si>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</si>
  <si>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</si>
  <si>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</si>
  <si>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</si>
  <si>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</si>
  <si>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</si>
  <si>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</si>
  <si>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</si>
  <si>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</si>
  <si>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</si>
  <si>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</si>
  <si>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</si>
  <si>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</si>
  <si>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</si>
  <si>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</si>
  <si>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</si>
  <si>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</si>
  <si>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</si>
  <si>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</si>
  <si>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</si>
  <si>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</si>
  <si>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</si>
  <si>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</si>
  <si>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</si>
  <si>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</si>
  <si>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</si>
  <si>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</si>
  <si>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</si>
  <si>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</si>
  <si>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</si>
  <si>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</si>
  <si>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</si>
  <si>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</si>
  <si>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</si>
  <si>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</si>
  <si>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</si>
  <si>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</si>
  <si>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</si>
  <si>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</si>
  <si>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</si>
  <si>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</si>
  <si>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</si>
  <si>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</si>
  <si>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</si>
  <si>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</si>
  <si>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</si>
  <si>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</si>
  <si>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</si>
  <si>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</si>
  <si>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</si>
  <si>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</si>
  <si>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</si>
  <si>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</si>
  <si>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</si>
  <si>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</si>
  <si>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</si>
  <si>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</si>
  <si>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</si>
  <si>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</si>
  <si>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</si>
  <si>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</si>
  <si>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</si>
  <si>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</si>
  <si>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</si>
  <si>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</si>
  <si>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</si>
  <si>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</si>
  <si>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</si>
  <si>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</si>
  <si>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</si>
  <si>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</si>
  <si>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</si>
  <si>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</si>
  <si>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</si>
  <si>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</si>
  <si>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</si>
  <si>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</si>
  <si>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</si>
  <si>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</si>
  <si>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</si>
  <si>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</si>
  <si>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</si>
  <si>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</si>
  <si>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</si>
  <si>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</si>
  <si>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</si>
  <si>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</si>
  <si>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</si>
  <si>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</si>
  <si>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</si>
  <si>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</si>
  <si>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</si>
  <si>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</si>
  <si>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</si>
  <si>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</si>
  <si>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</si>
  <si>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</si>
  <si>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</si>
  <si>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</si>
  <si>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</si>
  <si>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</si>
  <si>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</si>
  <si>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</si>
  <si>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</si>
  <si>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</si>
  <si>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</si>
  <si>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</si>
  <si>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</si>
  <si>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</si>
  <si>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</si>
  <si>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</si>
  <si>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</si>
  <si>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</si>
  <si>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</si>
  <si>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</si>
  <si>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</si>
  <si>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</si>
  <si>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</si>
  <si>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</si>
  <si>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</si>
  <si>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</si>
  <si>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</si>
  <si>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</si>
  <si>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</si>
  <si>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</si>
  <si>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</si>
  <si>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</si>
  <si>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</si>
  <si>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</si>
  <si>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</si>
  <si>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</si>
  <si>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</si>
  <si>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</si>
  <si>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</si>
  <si>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</si>
  <si>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</si>
  <si>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</si>
  <si>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</si>
  <si>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</si>
  <si>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</si>
  <si>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</si>
  <si>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</si>
  <si>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</si>
  <si>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</si>
  <si>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</si>
  <si>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</si>
  <si>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</si>
  <si>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</si>
  <si>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</si>
  <si>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</si>
  <si>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</si>
  <si>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</si>
  <si>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</si>
  <si>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</si>
  <si>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</si>
  <si>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</si>
  <si>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</si>
  <si>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</si>
  <si>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</si>
  <si>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</si>
  <si>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</si>
  <si>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</si>
  <si>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</si>
  <si>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</si>
  <si>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</si>
  <si>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</si>
  <si>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</si>
  <si>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</si>
  <si>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</si>
  <si>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</si>
  <si>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</si>
  <si>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</si>
  <si>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</si>
  <si>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</si>
  <si>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</si>
  <si>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</si>
  <si>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</si>
  <si>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</si>
  <si>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</si>
  <si>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</si>
  <si>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</si>
  <si>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</si>
  <si>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</si>
  <si>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</si>
  <si>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</si>
  <si>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</si>
  <si>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</si>
  <si>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</si>
  <si>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</si>
  <si>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</si>
  <si>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</si>
  <si>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</si>
  <si>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</si>
  <si>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</si>
  <si>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</si>
  <si>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</si>
  <si>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</si>
  <si>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</si>
  <si>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</si>
  <si>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</si>
  <si>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</si>
  <si>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</si>
  <si>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</si>
  <si>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</si>
  <si>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</si>
  <si>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</si>
  <si>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</si>
  <si>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</si>
  <si>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</si>
  <si>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</si>
  <si>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</si>
  <si>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</si>
  <si>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</si>
  <si>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</si>
  <si>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</si>
  <si>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</si>
  <si>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</si>
  <si>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</si>
  <si>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</si>
  <si>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</si>
  <si>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</si>
  <si>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</si>
  <si>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</si>
  <si>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</si>
  <si>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</si>
  <si>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</si>
  <si>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</si>
  <si>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</si>
  <si>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</si>
  <si>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</si>
  <si>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</si>
  <si>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</si>
  <si>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</si>
  <si>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</si>
  <si>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</si>
  <si>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</si>
  <si>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</si>
  <si>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</si>
  <si>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</si>
  <si>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</si>
  <si>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</si>
  <si>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</si>
  <si>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</si>
  <si>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</si>
  <si>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</si>
  <si>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</si>
  <si>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</si>
  <si>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</si>
  <si>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</si>
  <si>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</si>
  <si>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</si>
  <si>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</si>
  <si>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</si>
  <si>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</si>
  <si>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</si>
  <si>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</si>
  <si>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</si>
  <si>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</si>
  <si>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</si>
  <si>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</si>
  <si>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</si>
  <si>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</si>
  <si>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</si>
  <si>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</si>
  <si>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</si>
  <si>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</si>
  <si>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</si>
  <si>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</si>
  <si>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</si>
  <si>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</si>
  <si>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</si>
  <si>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</si>
  <si>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</si>
  <si>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</si>
  <si>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</si>
  <si>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</si>
  <si>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</si>
  <si>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</si>
  <si>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</si>
  <si>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</si>
  <si>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</si>
  <si>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</si>
  <si>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</si>
  <si>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</si>
  <si>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</si>
  <si>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</si>
  <si>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</si>
  <si>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</si>
  <si>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</si>
  <si>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</si>
  <si>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</si>
  <si>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</si>
  <si>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</si>
  <si>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</si>
  <si>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</si>
  <si>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</si>
  <si>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</si>
  <si>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</si>
  <si>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</si>
  <si>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</si>
  <si>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</si>
  <si>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</si>
  <si>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</si>
  <si>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</si>
  <si>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</si>
  <si>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</si>
  <si>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</si>
  <si>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</si>
  <si>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</si>
  <si>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</si>
  <si>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</si>
  <si>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</si>
  <si>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</si>
  <si>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</si>
  <si>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</si>
  <si>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</si>
  <si>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</si>
  <si>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</si>
  <si>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</si>
  <si>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</si>
  <si>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</si>
  <si>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</si>
  <si>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</si>
  <si>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</si>
  <si>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</si>
  <si>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</si>
  <si>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</si>
  <si>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</si>
  <si>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</si>
  <si>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</si>
  <si>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</si>
  <si>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</si>
  <si>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</si>
  <si>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</si>
  <si>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</si>
  <si>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</si>
  <si>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</si>
  <si>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</si>
  <si>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</si>
  <si>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</si>
  <si>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</si>
  <si>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</si>
  <si>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</si>
  <si>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</si>
  <si>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</si>
  <si>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</si>
  <si>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</si>
  <si>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</si>
  <si>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</si>
  <si>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</si>
  <si>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</si>
  <si>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</si>
  <si>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</si>
  <si>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</si>
  <si>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</si>
  <si>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</si>
  <si>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</si>
  <si>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</si>
  <si>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</si>
  <si>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</si>
  <si>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</si>
  <si>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</si>
  <si>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</si>
  <si>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</si>
  <si>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</si>
  <si>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</si>
  <si>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</si>
  <si>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</si>
  <si>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</si>
  <si>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</si>
  <si>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</si>
  <si>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</si>
  <si>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</si>
  <si>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</si>
  <si>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</si>
  <si>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</si>
  <si>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</si>
  <si>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</si>
  <si>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</si>
  <si>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</si>
  <si>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</si>
  <si>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</si>
  <si>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</si>
  <si>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</si>
  <si>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</si>
  <si>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</si>
  <si>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</si>
  <si>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</si>
  <si>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</si>
  <si>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</si>
  <si>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</si>
  <si>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</si>
  <si>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</si>
  <si>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</si>
  <si>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</si>
  <si>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</si>
  <si>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</si>
  <si>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</si>
  <si>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</si>
  <si>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</si>
  <si>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</si>
  <si>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</si>
  <si>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</si>
  <si>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</si>
  <si>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</si>
  <si>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</si>
  <si>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</si>
  <si>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</si>
  <si>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</si>
  <si>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</si>
  <si>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</si>
  <si>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</si>
  <si>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</si>
  <si>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</si>
  <si>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</si>
  <si>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</si>
  <si>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</si>
  <si>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</si>
  <si>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</si>
  <si>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</si>
  <si>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</si>
  <si>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</si>
  <si>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</si>
  <si>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</si>
  <si>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</si>
  <si>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</si>
  <si>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</si>
  <si>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</si>
  <si>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</si>
  <si>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</si>
  <si>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</si>
  <si>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</si>
  <si>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</si>
  <si>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</si>
  <si>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</si>
  <si>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</si>
  <si>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</si>
  <si>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</si>
  <si>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</si>
  <si>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</si>
  <si>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</si>
  <si>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</si>
  <si>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</si>
  <si>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</si>
  <si>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</si>
  <si>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</si>
  <si>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</si>
  <si>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</si>
  <si>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</si>
  <si>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</si>
  <si>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</si>
  <si>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</si>
  <si>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</si>
  <si>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</si>
  <si>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</si>
  <si>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</si>
  <si>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</si>
  <si>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</si>
  <si>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</si>
  <si>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</si>
  <si>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</si>
  <si>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</si>
  <si>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</si>
  <si>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</si>
  <si>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</si>
  <si>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</si>
  <si>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</si>
  <si>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</si>
  <si>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</si>
  <si>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</si>
  <si>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</si>
  <si>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</si>
  <si>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</si>
  <si>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</si>
  <si>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</si>
  <si>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</si>
  <si>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</si>
  <si>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</si>
  <si>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</si>
  <si>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</si>
  <si>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</si>
  <si>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</si>
  <si>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</si>
  <si>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</si>
  <si>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</si>
  <si>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</si>
  <si>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</si>
  <si>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</si>
  <si>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</si>
  <si>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</si>
  <si>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</si>
  <si>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</si>
  <si>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</si>
  <si>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</si>
  <si>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</si>
  <si>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</si>
  <si>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</si>
  <si>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</si>
  <si>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</si>
  <si>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</si>
  <si>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</si>
  <si>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</si>
  <si>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</si>
  <si>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</si>
  <si>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</si>
  <si>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</si>
  <si>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</si>
  <si>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</si>
  <si>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</si>
  <si>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</si>
  <si>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</si>
  <si>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</si>
  <si>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</si>
  <si>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</si>
  <si>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</si>
  <si>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</si>
  <si>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</si>
  <si>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</si>
  <si>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</si>
  <si>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</si>
  <si>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</si>
  <si>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</si>
  <si>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</si>
  <si>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</si>
  <si>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</si>
  <si>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</si>
  <si>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</si>
  <si>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</si>
  <si>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</si>
  <si>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</si>
  <si>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</si>
  <si>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</si>
  <si>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</si>
  <si>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</si>
  <si>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</si>
  <si>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</si>
  <si>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</si>
  <si>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</si>
  <si>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</si>
  <si>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</si>
  <si>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</si>
  <si>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</si>
  <si>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</si>
  <si>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</si>
  <si>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</si>
  <si>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</si>
  <si>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</si>
  <si>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</si>
  <si>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</si>
  <si>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</si>
  <si>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</si>
  <si>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</si>
  <si>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</si>
  <si>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</si>
  <si>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</si>
  <si>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</si>
  <si>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</si>
  <si>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</si>
  <si>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</si>
  <si>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</si>
  <si>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</si>
  <si>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</si>
  <si>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</si>
  <si>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</si>
  <si>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</si>
  <si>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</si>
  <si>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</si>
  <si>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</si>
  <si>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</si>
  <si>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</si>
  <si>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</si>
  <si>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</si>
  <si>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</si>
  <si>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</si>
  <si>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</si>
  <si>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</si>
  <si>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</si>
  <si>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</si>
  <si>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</si>
  <si>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</si>
  <si>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</si>
  <si>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</si>
  <si>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</si>
  <si>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</si>
  <si>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</si>
  <si>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</si>
  <si>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</si>
  <si>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</si>
  <si>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</si>
  <si>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</si>
  <si>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</si>
  <si>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</si>
  <si>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</si>
  <si>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</si>
  <si>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</si>
  <si>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</si>
  <si>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</si>
  <si>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</si>
  <si>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</si>
  <si>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</si>
  <si>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</si>
  <si>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</si>
  <si>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</si>
  <si>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</si>
  <si>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</si>
  <si>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</si>
  <si>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</si>
  <si>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</si>
  <si>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</si>
  <si>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</si>
  <si>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</si>
  <si>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</si>
  <si>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</si>
  <si>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</si>
  <si>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</si>
  <si>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</si>
  <si>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</si>
  <si>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</si>
  <si>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</si>
  <si>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</si>
  <si>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</si>
  <si>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</si>
  <si>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</si>
  <si>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</si>
  <si>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</si>
  <si>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</si>
  <si>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</si>
  <si>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</si>
  <si>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</si>
  <si>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</si>
  <si>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</si>
  <si>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</si>
  <si>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</si>
  <si>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</si>
  <si>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</si>
  <si>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</si>
  <si>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</si>
  <si>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</si>
  <si>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</si>
  <si>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</si>
  <si>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</si>
  <si>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</si>
  <si>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</si>
  <si>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</si>
  <si>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</si>
  <si>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</si>
  <si>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</si>
  <si>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</si>
  <si>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</si>
  <si>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</si>
  <si>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</si>
  <si>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</si>
  <si>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</si>
  <si>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</si>
  <si>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</si>
  <si>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</si>
  <si>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</si>
  <si>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</si>
  <si>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</si>
  <si>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</si>
  <si>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</si>
  <si>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</si>
  <si>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</si>
  <si>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</si>
  <si>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</si>
  <si>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</si>
  <si>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</si>
  <si>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</si>
  <si>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</si>
  <si>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</si>
  <si>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</si>
  <si>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</si>
  <si>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</si>
  <si>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</si>
  <si>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</si>
  <si>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</si>
  <si>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</si>
  <si>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</si>
  <si>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</si>
  <si>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</si>
  <si>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</si>
  <si>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</si>
  <si>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</si>
  <si>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</si>
  <si>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</si>
  <si>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</si>
  <si>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</si>
  <si>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</si>
  <si>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</si>
  <si>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</si>
  <si>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</si>
  <si>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</si>
  <si>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</si>
  <si>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</si>
  <si>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</si>
  <si>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</si>
  <si>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</si>
  <si>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</si>
  <si>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</si>
  <si>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</si>
  <si>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</si>
  <si>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</si>
  <si>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</si>
  <si>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</si>
  <si>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</si>
  <si>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</si>
  <si>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</si>
  <si>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</si>
  <si>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</si>
  <si>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</si>
  <si>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</si>
  <si>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</si>
  <si>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</si>
  <si>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</si>
  <si>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</si>
  <si>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</si>
  <si>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</si>
  <si>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</si>
  <si>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</si>
  <si>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</si>
  <si>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</si>
  <si>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</si>
  <si>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</si>
  <si>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</si>
  <si>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</si>
  <si>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</si>
  <si>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</si>
  <si>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</si>
  <si>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</si>
  <si>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</si>
  <si>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</si>
  <si>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</si>
  <si>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</si>
  <si>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</si>
  <si>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</si>
  <si>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</si>
  <si>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</si>
  <si>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</si>
  <si>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</si>
  <si>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</si>
  <si>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</si>
  <si>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</si>
  <si>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</si>
  <si>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</si>
  <si>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</si>
  <si>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</si>
  <si>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</si>
  <si>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</si>
  <si>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</si>
  <si>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</si>
  <si>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</si>
  <si>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</si>
  <si>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</si>
  <si>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</si>
  <si>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</si>
  <si>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</si>
  <si>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</si>
  <si>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</si>
  <si>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</si>
  <si>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</si>
  <si>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</si>
  <si>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</si>
  <si>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</si>
  <si>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</si>
  <si>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</si>
  <si>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</si>
  <si>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</si>
  <si>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</si>
  <si>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</si>
  <si>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</si>
  <si>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</si>
  <si>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</si>
  <si>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</si>
  <si>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</si>
  <si>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</si>
  <si>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</si>
  <si>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</si>
  <si>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</si>
  <si>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</si>
  <si>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</si>
  <si>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</si>
  <si>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</si>
  <si>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</si>
  <si>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</si>
  <si>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</si>
  <si>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</si>
  <si>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</si>
  <si>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</si>
  <si>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</si>
  <si>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</si>
  <si>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</si>
  <si>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</si>
  <si>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</si>
  <si>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</si>
  <si>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</si>
  <si>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</si>
  <si>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</si>
  <si>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</si>
  <si>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</si>
  <si>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</si>
  <si>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</si>
  <si>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</si>
  <si>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</si>
  <si>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</si>
  <si>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</si>
  <si>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</si>
  <si>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</si>
  <si>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</si>
  <si>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</si>
  <si>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</si>
  <si>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</si>
  <si>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</si>
  <si>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</si>
  <si>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</si>
  <si>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</si>
  <si>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</si>
  <si>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</si>
  <si>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</si>
  <si>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</si>
  <si>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</si>
  <si>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</si>
  <si>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</si>
  <si>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</si>
  <si>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</si>
  <si>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</si>
  <si>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</si>
  <si>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</si>
  <si>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</si>
  <si>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</si>
  <si>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</si>
  <si>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</si>
  <si>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</si>
  <si>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</si>
  <si>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</si>
  <si>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</si>
  <si>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</si>
  <si>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</si>
  <si>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</si>
  <si>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</si>
  <si>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</si>
  <si>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</si>
  <si>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</si>
  <si>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</si>
  <si>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</si>
  <si>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</si>
  <si>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</si>
  <si>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</si>
  <si>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</si>
  <si>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</si>
  <si>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</si>
  <si>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</si>
  <si>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</si>
  <si>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</si>
  <si>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</si>
  <si>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</si>
  <si>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</si>
  <si>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</si>
  <si>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</si>
  <si>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</si>
  <si>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</si>
  <si>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</si>
  <si>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</si>
  <si>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</si>
  <si>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</si>
  <si>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</si>
  <si>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</si>
  <si>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</si>
  <si>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</si>
  <si>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</si>
  <si>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</si>
  <si>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</si>
  <si>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</si>
  <si>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</si>
  <si>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</si>
  <si>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</si>
  <si>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</si>
  <si>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</si>
  <si>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</si>
  <si>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</si>
  <si>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</si>
  <si>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</si>
  <si>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</si>
  <si>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</si>
  <si>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</si>
  <si>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</si>
  <si>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</si>
  <si>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</si>
  <si>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</si>
  <si>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</si>
  <si>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</si>
  <si>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</si>
  <si>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</si>
  <si>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</si>
  <si>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</si>
  <si>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</si>
  <si>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</si>
  <si>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</si>
  <si>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</si>
  <si>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</si>
  <si>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</si>
  <si>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</si>
  <si>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</si>
  <si>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</si>
  <si>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</si>
  <si>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</si>
  <si>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</si>
  <si>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</si>
  <si>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</si>
  <si>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</si>
  <si>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</si>
  <si>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</si>
  <si>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</si>
  <si>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</si>
  <si>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规证一</t>
  </si>
  <si>
    <t>地上</t>
  </si>
  <si>
    <t>地下</t>
  </si>
  <si>
    <t>住宅</t>
  </si>
  <si>
    <t>其他</t>
  </si>
  <si>
    <t>库房</t>
  </si>
  <si>
    <t>设备</t>
  </si>
  <si>
    <t>地上楼层</t>
  </si>
  <si>
    <t>地下楼层</t>
  </si>
  <si>
    <t>栋数</t>
  </si>
  <si>
    <t>户数</t>
  </si>
  <si>
    <t>工程进度</t>
    <phoneticPr fontId="140" type="noConversion"/>
  </si>
  <si>
    <t>封顶</t>
    <phoneticPr fontId="140" type="noConversion"/>
  </si>
  <si>
    <t>测绘报告</t>
    <phoneticPr fontId="140" type="noConversion"/>
  </si>
  <si>
    <t>1-1#</t>
  </si>
  <si>
    <t>住宅楼</t>
  </si>
  <si>
    <t>1层</t>
    <phoneticPr fontId="140" type="noConversion"/>
  </si>
  <si>
    <t>1-2#</t>
  </si>
  <si>
    <t>地下1层</t>
    <phoneticPr fontId="140" type="noConversion"/>
  </si>
  <si>
    <t>1-3#</t>
  </si>
  <si>
    <t>地下2层</t>
    <phoneticPr fontId="140" type="noConversion"/>
  </si>
  <si>
    <t>1-4#</t>
  </si>
  <si>
    <t>地下3层</t>
    <phoneticPr fontId="140" type="noConversion"/>
  </si>
  <si>
    <t>1-5#</t>
  </si>
  <si>
    <t>坑基</t>
    <phoneticPr fontId="140" type="noConversion"/>
  </si>
  <si>
    <t>1-6#</t>
  </si>
  <si>
    <t>未动工</t>
    <phoneticPr fontId="140" type="noConversion"/>
  </si>
  <si>
    <t>1-7#</t>
  </si>
  <si>
    <t>外装、设备二次机构等</t>
    <phoneticPr fontId="140" type="noConversion"/>
  </si>
  <si>
    <t>1-8#</t>
  </si>
  <si>
    <t>内装</t>
    <phoneticPr fontId="140"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</si>
  <si>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</si>
  <si>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</si>
  <si>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</si>
  <si>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</si>
  <si>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</si>
  <si>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</si>
  <si>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</si>
  <si>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</si>
  <si>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</si>
  <si>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</si>
  <si>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</si>
  <si>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</si>
  <si>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</si>
  <si>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</si>
  <si>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</si>
  <si>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</si>
  <si>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</si>
  <si>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</si>
  <si>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</si>
  <si>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</si>
  <si>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</si>
  <si>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</si>
  <si>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</si>
  <si>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</si>
  <si>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</si>
  <si>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</si>
  <si>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</si>
  <si>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</si>
  <si>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</si>
  <si>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</si>
  <si>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</si>
  <si>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</si>
  <si>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</si>
  <si>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</si>
  <si>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</si>
  <si>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</si>
  <si>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</si>
  <si>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</si>
  <si>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</si>
  <si>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</si>
  <si>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</si>
  <si>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</si>
  <si>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</si>
  <si>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</si>
  <si>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</si>
  <si>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</si>
  <si>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</si>
  <si>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</si>
  <si>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</si>
  <si>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</si>
  <si>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</si>
  <si>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</si>
  <si>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</si>
  <si>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</si>
  <si>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</si>
  <si>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</si>
  <si>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</si>
  <si>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</si>
  <si>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</si>
  <si>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</si>
  <si>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</si>
  <si>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</si>
  <si>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</si>
  <si>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</si>
  <si>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</si>
  <si>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</si>
  <si>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</si>
  <si>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</si>
  <si>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</si>
  <si>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</si>
  <si>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</si>
  <si>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</si>
  <si>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</si>
  <si>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</si>
  <si>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</si>
  <si>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0" type="noConversion"/>
  </si>
  <si>
    <t>P-2#</t>
    <phoneticPr fontId="140" type="noConversion"/>
  </si>
  <si>
    <t>开闭站</t>
  </si>
  <si>
    <t>车库</t>
    <phoneticPr fontId="140" type="noConversion"/>
  </si>
  <si>
    <t>1-84#</t>
  </si>
  <si>
    <t>地上4层</t>
    <phoneticPr fontId="140" type="noConversion"/>
  </si>
  <si>
    <t>1-85#</t>
  </si>
  <si>
    <t>1-86#</t>
  </si>
  <si>
    <t>地上5层</t>
  </si>
  <si>
    <t>1-87#</t>
  </si>
  <si>
    <t>地上6层</t>
    <phoneticPr fontId="140" type="noConversion"/>
  </si>
  <si>
    <t>1-88#</t>
  </si>
  <si>
    <t>1-89#</t>
  </si>
  <si>
    <t>1-90#</t>
  </si>
  <si>
    <t>地上2层</t>
    <phoneticPr fontId="140" type="noConversion"/>
  </si>
  <si>
    <t>1-91#</t>
  </si>
  <si>
    <t>p-1#</t>
  </si>
  <si>
    <t>托老所</t>
  </si>
  <si>
    <t>未建</t>
    <phoneticPr fontId="140" type="noConversion"/>
  </si>
  <si>
    <t>地下总</t>
    <phoneticPr fontId="140" type="noConversion"/>
  </si>
  <si>
    <t>地下设备</t>
    <phoneticPr fontId="140" type="noConversion"/>
  </si>
  <si>
    <t>配套用房</t>
  </si>
  <si>
    <t>车库</t>
  </si>
  <si>
    <t>人防</t>
  </si>
  <si>
    <t>汽车</t>
    <phoneticPr fontId="140" type="noConversion"/>
  </si>
  <si>
    <t>住宅</t>
    <phoneticPr fontId="140" type="noConversion"/>
  </si>
  <si>
    <t>库房</t>
    <phoneticPr fontId="140" type="noConversion"/>
  </si>
  <si>
    <t>规证二</t>
  </si>
  <si>
    <t>自持</t>
  </si>
  <si>
    <t>21地块</t>
  </si>
  <si>
    <t>31地块</t>
  </si>
  <si>
    <t>自持住宅</t>
  </si>
  <si>
    <t>配套</t>
  </si>
  <si>
    <t>684个</t>
  </si>
  <si>
    <t>实测楼栋</t>
  </si>
  <si>
    <t>房号</t>
  </si>
  <si>
    <t>合并房号</t>
  </si>
  <si>
    <t>合并房号最终</t>
    <phoneticPr fontId="140" type="noConversion"/>
  </si>
  <si>
    <t>实测建筑面积</t>
  </si>
  <si>
    <t>标准总价</t>
    <phoneticPr fontId="140" type="noConversion"/>
  </si>
  <si>
    <t>楼面单价</t>
    <phoneticPr fontId="140" type="noConversion"/>
  </si>
  <si>
    <t>对应预测楼号</t>
    <phoneticPr fontId="140" type="noConversion"/>
  </si>
  <si>
    <t>总套数</t>
    <phoneticPr fontId="140" type="noConversion"/>
  </si>
  <si>
    <t>抵押套数</t>
    <phoneticPr fontId="140" type="noConversion"/>
  </si>
  <si>
    <t>用途</t>
    <phoneticPr fontId="140" type="noConversion"/>
  </si>
  <si>
    <t>大证住宅</t>
  </si>
  <si>
    <t>五区24号楼</t>
  </si>
  <si>
    <t>4</t>
  </si>
  <si>
    <t>五区24号楼-4</t>
  </si>
  <si>
    <t>五区24号楼-4-住宅</t>
  </si>
  <si>
    <t>((4-戊类储藏))</t>
  </si>
  <si>
    <t>五区24号楼-((4-戊类储藏))</t>
  </si>
  <si>
    <t>-4</t>
  </si>
  <si>
    <t>五区24号楼--4</t>
  </si>
  <si>
    <t>车位</t>
  </si>
  <si>
    <t>92幢</t>
  </si>
  <si>
    <t>0018</t>
  </si>
  <si>
    <t>92幢-0018</t>
  </si>
  <si>
    <t>0017</t>
  </si>
  <si>
    <t>92幢-0017</t>
  </si>
  <si>
    <t>2</t>
  </si>
  <si>
    <t>五区24号楼-2</t>
  </si>
  <si>
    <t>五区24号楼-2-住宅</t>
  </si>
  <si>
    <t>((2-戊类储藏))</t>
  </si>
  <si>
    <t>五区24号楼-((2-戊类储藏))</t>
  </si>
  <si>
    <t>-2</t>
  </si>
  <si>
    <t>五区24号楼--2</t>
  </si>
  <si>
    <t>0015</t>
  </si>
  <si>
    <t>92幢-0015</t>
  </si>
  <si>
    <t>0016</t>
  </si>
  <si>
    <t>92幢-0016</t>
  </si>
  <si>
    <t>3</t>
  </si>
  <si>
    <t>五区24号楼-3</t>
  </si>
  <si>
    <t>五区24号楼-3-住宅</t>
  </si>
  <si>
    <t>((3-戊类储藏))</t>
  </si>
  <si>
    <t>五区24号楼-((3-戊类储藏))</t>
  </si>
  <si>
    <t>-3</t>
  </si>
  <si>
    <t>五区24号楼--3</t>
  </si>
  <si>
    <t>0019</t>
  </si>
  <si>
    <t>92幢-0019</t>
  </si>
  <si>
    <t>0020</t>
  </si>
  <si>
    <t>92幢-0020</t>
  </si>
  <si>
    <t>五区23号楼</t>
  </si>
  <si>
    <t>1</t>
  </si>
  <si>
    <t>五区23号楼-1</t>
  </si>
  <si>
    <t>五区23号楼-1-住宅</t>
  </si>
  <si>
    <t>((1-戊类储藏))</t>
    <phoneticPr fontId="140" type="noConversion"/>
  </si>
  <si>
    <t>五区23号楼-((1-戊类储藏))</t>
  </si>
  <si>
    <t>-1</t>
  </si>
  <si>
    <t>五区23号楼--1</t>
  </si>
  <si>
    <t>0027</t>
  </si>
  <si>
    <t>92幢-0027</t>
  </si>
  <si>
    <t>0028</t>
  </si>
  <si>
    <t>92幢-0028</t>
  </si>
  <si>
    <t>五区17号楼</t>
  </si>
  <si>
    <t>五区17号楼-1</t>
  </si>
  <si>
    <t>五区17号楼-1-住宅</t>
  </si>
  <si>
    <t>五区17号楼-((1-戊类储藏))</t>
  </si>
  <si>
    <t>五区17号楼--1</t>
  </si>
  <si>
    <t>0087</t>
  </si>
  <si>
    <t>92幢-0087</t>
  </si>
  <si>
    <t>0088</t>
  </si>
  <si>
    <t>92幢-0088</t>
  </si>
  <si>
    <t>五区16号楼</t>
  </si>
  <si>
    <t>五区16号楼-4</t>
  </si>
  <si>
    <t>五区16号楼-4-住宅</t>
  </si>
  <si>
    <t>五区16号楼-((4-戊类储藏))</t>
  </si>
  <si>
    <t>五区16号楼--4</t>
  </si>
  <si>
    <t>0095</t>
  </si>
  <si>
    <t>92幢-0095</t>
  </si>
  <si>
    <t>0096</t>
  </si>
  <si>
    <t>92幢-0096</t>
  </si>
  <si>
    <t>五区16号楼-2</t>
  </si>
  <si>
    <t>五区16号楼-2-住宅</t>
  </si>
  <si>
    <t>五区16号楼-((2-戊类储藏))</t>
  </si>
  <si>
    <t>五区16号楼--2</t>
  </si>
  <si>
    <t>0093</t>
  </si>
  <si>
    <t>92幢-0093</t>
  </si>
  <si>
    <t>0094</t>
  </si>
  <si>
    <t>92幢-0094</t>
  </si>
  <si>
    <t>五区16号楼-1</t>
  </si>
  <si>
    <t>五区16号楼-1-住宅</t>
  </si>
  <si>
    <t>五区16号楼-((1-戊类储藏))</t>
  </si>
  <si>
    <t>五区16号楼--1</t>
  </si>
  <si>
    <t>0103</t>
  </si>
  <si>
    <t>92幢-0103</t>
  </si>
  <si>
    <t>0104</t>
  </si>
  <si>
    <t>92幢-0104</t>
  </si>
  <si>
    <t>五区14号楼</t>
  </si>
  <si>
    <t>五区14号楼-1</t>
  </si>
  <si>
    <t>五区14号楼-1-住宅</t>
  </si>
  <si>
    <t>五区14号楼-((1-戊类储藏))</t>
  </si>
  <si>
    <t>五区14号楼--1</t>
  </si>
  <si>
    <t>0122</t>
  </si>
  <si>
    <t>92幢-0122</t>
  </si>
  <si>
    <t>0121</t>
  </si>
  <si>
    <t>92幢-0121</t>
  </si>
  <si>
    <t>五区12号楼</t>
  </si>
  <si>
    <t>五区12号楼-1</t>
  </si>
  <si>
    <t>五区12号楼-1-住宅</t>
  </si>
  <si>
    <t>五区12号楼-((1-戊类储藏))</t>
  </si>
  <si>
    <t>五区12号楼--1</t>
  </si>
  <si>
    <t>0135</t>
  </si>
  <si>
    <t>92幢-0135</t>
  </si>
  <si>
    <t>0136</t>
  </si>
  <si>
    <t>92幢-0136</t>
  </si>
  <si>
    <t>五区7号楼</t>
  </si>
  <si>
    <t>五区7号楼-2</t>
  </si>
  <si>
    <t>五区7号楼-2-住宅</t>
  </si>
  <si>
    <t>五区7号楼-((2-戊类储藏))</t>
  </si>
  <si>
    <t>五区7号楼--2</t>
  </si>
  <si>
    <t>0167</t>
  </si>
  <si>
    <t>92幢-0167</t>
  </si>
  <si>
    <t>0168</t>
  </si>
  <si>
    <t>92幢-0168</t>
  </si>
  <si>
    <t>五区7号楼-1</t>
  </si>
  <si>
    <t>五区7号楼-1-住宅</t>
  </si>
  <si>
    <t>五区7号楼-((1-戊类储藏))</t>
  </si>
  <si>
    <t>五区7号楼--1</t>
  </si>
  <si>
    <t>0169</t>
  </si>
  <si>
    <t>92幢-0169</t>
  </si>
  <si>
    <t>0170</t>
  </si>
  <si>
    <t>92幢-0170</t>
  </si>
  <si>
    <t>五区5号楼</t>
  </si>
  <si>
    <t>五区5号楼-4</t>
  </si>
  <si>
    <t>五区5号楼-4-住宅</t>
  </si>
  <si>
    <t>五区5号楼-((4-戊类储藏))</t>
  </si>
  <si>
    <t>五区5号楼--4</t>
  </si>
  <si>
    <t>0185</t>
  </si>
  <si>
    <t>92幢-0185</t>
  </si>
  <si>
    <t>0186</t>
  </si>
  <si>
    <t>92幢-0186</t>
  </si>
  <si>
    <t>五区6号楼</t>
  </si>
  <si>
    <t>五区6号楼-4</t>
  </si>
  <si>
    <t>五区6号楼-4-住宅</t>
  </si>
  <si>
    <t>五区6号楼-((4-戊类储藏))</t>
  </si>
  <si>
    <t>五区6号楼--4</t>
  </si>
  <si>
    <t>0181</t>
  </si>
  <si>
    <t>92幢-0181</t>
  </si>
  <si>
    <t>0182</t>
  </si>
  <si>
    <t>92幢-0182</t>
  </si>
  <si>
    <t>五区6号楼-3</t>
  </si>
  <si>
    <t>五区6号楼-3-住宅</t>
  </si>
  <si>
    <t>五区6号楼-((3-戊类储藏))</t>
  </si>
  <si>
    <t>五区6号楼--3</t>
  </si>
  <si>
    <t>0195</t>
  </si>
  <si>
    <t>92幢-0195</t>
  </si>
  <si>
    <t>0196</t>
  </si>
  <si>
    <t>92幢-0196</t>
  </si>
  <si>
    <t>五区6号楼-1</t>
  </si>
  <si>
    <t>五区6号楼-1-住宅</t>
  </si>
  <si>
    <t>五区6号楼-((1-戊类储藏))</t>
  </si>
  <si>
    <t>五区6号楼--1</t>
  </si>
  <si>
    <t>0193</t>
  </si>
  <si>
    <t>92幢-0193</t>
  </si>
  <si>
    <t>0194</t>
  </si>
  <si>
    <t>92幢-0194</t>
  </si>
  <si>
    <t>五区4号楼</t>
  </si>
  <si>
    <t>五区4号楼-4</t>
  </si>
  <si>
    <t>五区4号楼-4-住宅</t>
  </si>
  <si>
    <t>五区4号楼-((4-戊类储藏))</t>
  </si>
  <si>
    <t>五区4号楼--4</t>
  </si>
  <si>
    <t>0201</t>
  </si>
  <si>
    <t>92幢-0201</t>
  </si>
  <si>
    <t>0202</t>
  </si>
  <si>
    <t>92幢-0202</t>
  </si>
  <si>
    <t>五区4号楼-1</t>
  </si>
  <si>
    <t>五区4号楼-1-住宅</t>
  </si>
  <si>
    <t>五区4号楼-((1-戊类储藏))</t>
  </si>
  <si>
    <t>五区4号楼--1</t>
  </si>
  <si>
    <t>0213</t>
  </si>
  <si>
    <t>92幢-0213</t>
  </si>
  <si>
    <t>0214</t>
  </si>
  <si>
    <t>92幢-0214</t>
  </si>
  <si>
    <t>五区3号楼</t>
  </si>
  <si>
    <t>五区3号楼-1</t>
  </si>
  <si>
    <t>五区3号楼-1-住宅</t>
  </si>
  <si>
    <t>五区3号楼-((1-戊类储藏))</t>
  </si>
  <si>
    <t>五区3号楼--1</t>
  </si>
  <si>
    <t>0209</t>
  </si>
  <si>
    <t>92幢-0209</t>
  </si>
  <si>
    <t>0210</t>
  </si>
  <si>
    <t>92幢-0210</t>
  </si>
  <si>
    <t>二区9号楼</t>
  </si>
  <si>
    <t>5</t>
  </si>
  <si>
    <t>二区9号楼-5</t>
  </si>
  <si>
    <t>二区9号楼-5-住宅</t>
  </si>
  <si>
    <t>((5-戊类储藏))</t>
  </si>
  <si>
    <t>二区9号楼-((5-戊类储藏))</t>
  </si>
  <si>
    <t>-5</t>
  </si>
  <si>
    <t>二区9号楼--5</t>
  </si>
  <si>
    <t>0235</t>
  </si>
  <si>
    <t>92幢-0235</t>
  </si>
  <si>
    <t>0236</t>
  </si>
  <si>
    <t>92幢-0236</t>
  </si>
  <si>
    <t>二区9号楼-1</t>
  </si>
  <si>
    <t>二区9号楼-1-住宅</t>
  </si>
  <si>
    <t>二区9号楼-((1-戊类储藏))</t>
  </si>
  <si>
    <t>二区9号楼--1</t>
  </si>
  <si>
    <t>0231</t>
  </si>
  <si>
    <t>92幢-0231</t>
  </si>
  <si>
    <t>0232</t>
  </si>
  <si>
    <t>92幢-0232</t>
  </si>
  <si>
    <t>二区10号楼</t>
  </si>
  <si>
    <t>二区10号楼-2</t>
  </si>
  <si>
    <t>二区10号楼-2-住宅</t>
  </si>
  <si>
    <t>二区10号楼-((2-戊类储藏))</t>
  </si>
  <si>
    <t>二区10号楼--2</t>
  </si>
  <si>
    <t>0247</t>
  </si>
  <si>
    <t>92幢-0247</t>
  </si>
  <si>
    <t>0248</t>
  </si>
  <si>
    <t>92幢-0248</t>
  </si>
  <si>
    <t>三区6号楼</t>
  </si>
  <si>
    <t>三区6号楼-1</t>
  </si>
  <si>
    <t>三区6号楼-1-住宅</t>
  </si>
  <si>
    <t>三区6号楼-((1-戊类储藏))</t>
  </si>
  <si>
    <t>三区6号楼--1</t>
  </si>
  <si>
    <t>0261</t>
  </si>
  <si>
    <t>92幢-0261</t>
  </si>
  <si>
    <t>0262</t>
  </si>
  <si>
    <t>92幢-0262</t>
  </si>
  <si>
    <t>三区11号楼</t>
  </si>
  <si>
    <t>6</t>
  </si>
  <si>
    <t>三区11号楼-6</t>
  </si>
  <si>
    <t>三区11号楼-6-住宅</t>
  </si>
  <si>
    <t>((6-戊类储藏))</t>
  </si>
  <si>
    <t>三区11号楼-((6-戊类储藏))</t>
  </si>
  <si>
    <t>-6</t>
  </si>
  <si>
    <t>三区11号楼--6</t>
  </si>
  <si>
    <t>0283</t>
  </si>
  <si>
    <t>92幢-0283</t>
  </si>
  <si>
    <t>0284</t>
  </si>
  <si>
    <t>92幢-0284</t>
  </si>
  <si>
    <t>三区11号楼-2</t>
  </si>
  <si>
    <t>三区11号楼-2-住宅</t>
  </si>
  <si>
    <t>三区11号楼-((2-戊类储藏))</t>
  </si>
  <si>
    <t>三区11号楼--2</t>
  </si>
  <si>
    <t>0279</t>
  </si>
  <si>
    <t>92幢-0279</t>
  </si>
  <si>
    <t>0280</t>
  </si>
  <si>
    <t>92幢-0280</t>
  </si>
  <si>
    <t>三区24号楼</t>
  </si>
  <si>
    <t>三区24号楼-6</t>
  </si>
  <si>
    <t>三区24号楼-6-住宅</t>
  </si>
  <si>
    <t>三区24号楼-((6-戊类储藏))</t>
  </si>
  <si>
    <t>三区24号楼--6</t>
  </si>
  <si>
    <t>0333</t>
  </si>
  <si>
    <t>92幢-0333</t>
  </si>
  <si>
    <t>0334</t>
  </si>
  <si>
    <t>92幢-0334</t>
  </si>
  <si>
    <t>三区24号楼-5</t>
  </si>
  <si>
    <t>三区24号楼-5-住宅</t>
  </si>
  <si>
    <t>三区24号楼-((5-戊类储藏))</t>
  </si>
  <si>
    <t>三区24号楼--5</t>
  </si>
  <si>
    <t>0313</t>
  </si>
  <si>
    <t>92幢-0313</t>
  </si>
  <si>
    <t>0314</t>
  </si>
  <si>
    <t>92幢-0314</t>
  </si>
  <si>
    <t>四区6号楼</t>
  </si>
  <si>
    <t>四区6号楼-6</t>
  </si>
  <si>
    <t>四区6号楼-6-住宅</t>
  </si>
  <si>
    <t>四区6号楼-((6-戊类储藏))</t>
  </si>
  <si>
    <t>四区6号楼--6</t>
  </si>
  <si>
    <t>0357</t>
  </si>
  <si>
    <t>92幢-0357</t>
  </si>
  <si>
    <t>0358</t>
  </si>
  <si>
    <t>92幢-0358</t>
  </si>
  <si>
    <t>四区12号楼</t>
  </si>
  <si>
    <t>四区12号楼-5</t>
  </si>
  <si>
    <t>四区12号楼-5-住宅</t>
  </si>
  <si>
    <t>四区12号楼-((5-戊类储藏))</t>
  </si>
  <si>
    <t>四区12号楼--5</t>
  </si>
  <si>
    <t>0359</t>
  </si>
  <si>
    <t>92幢-0359</t>
  </si>
  <si>
    <t>0360</t>
  </si>
  <si>
    <t>92幢-0360</t>
  </si>
  <si>
    <t>四区12号楼-3</t>
  </si>
  <si>
    <t>四区12号楼-3-住宅</t>
  </si>
  <si>
    <t>四区12号楼-((3-戊类储藏))</t>
  </si>
  <si>
    <t>四区12号楼--3</t>
  </si>
  <si>
    <t>0361</t>
  </si>
  <si>
    <t>92幢-0361</t>
  </si>
  <si>
    <t>0362</t>
  </si>
  <si>
    <t>92幢-0362</t>
  </si>
  <si>
    <t>四区17号楼</t>
  </si>
  <si>
    <t>四区17号楼-4</t>
  </si>
  <si>
    <t>四区17号楼-4-住宅</t>
  </si>
  <si>
    <t>四区17号楼-((4-戊类储藏))</t>
  </si>
  <si>
    <t>四区17号楼--4</t>
  </si>
  <si>
    <t>0395</t>
  </si>
  <si>
    <t>92幢-0395</t>
  </si>
  <si>
    <t>0396</t>
  </si>
  <si>
    <t>92幢-0396</t>
  </si>
  <si>
    <t>四区17号楼-2</t>
  </si>
  <si>
    <t>四区17号楼-2-住宅</t>
  </si>
  <si>
    <t>四区17号楼-((2-戊类储藏))</t>
  </si>
  <si>
    <t>四区17号楼--2</t>
  </si>
  <si>
    <t>0393</t>
  </si>
  <si>
    <t>92幢-0393</t>
  </si>
  <si>
    <t>0394</t>
  </si>
  <si>
    <t>92幢-0394</t>
  </si>
  <si>
    <t>四区21号楼</t>
  </si>
  <si>
    <t>四区21号楼-2</t>
  </si>
  <si>
    <t>四区21号楼-2-住宅</t>
  </si>
  <si>
    <t>四区21号楼-((2-戊类储藏))</t>
  </si>
  <si>
    <t>四区21号楼--2</t>
  </si>
  <si>
    <t>0417</t>
  </si>
  <si>
    <t>92幢-0417</t>
  </si>
  <si>
    <t>0418</t>
  </si>
  <si>
    <t>92幢-0418</t>
  </si>
  <si>
    <t>四区21号楼-3</t>
  </si>
  <si>
    <t>四区21号楼-3-住宅</t>
  </si>
  <si>
    <t>四区21号楼-((3-戊类储藏))</t>
  </si>
  <si>
    <t>四区21号楼--3</t>
  </si>
  <si>
    <t>0413</t>
  </si>
  <si>
    <t>92幢-0413</t>
  </si>
  <si>
    <t>0414</t>
  </si>
  <si>
    <t>92幢-0414</t>
  </si>
  <si>
    <t>四区24号楼</t>
  </si>
  <si>
    <t>四区24号楼-2</t>
  </si>
  <si>
    <t>四区24号楼-2-住宅</t>
  </si>
  <si>
    <t>四区24号楼-((2-戊类储藏))</t>
  </si>
  <si>
    <t>四区24号楼--2</t>
  </si>
  <si>
    <t>0435</t>
  </si>
  <si>
    <t>92幢-0435</t>
  </si>
  <si>
    <t>0436</t>
  </si>
  <si>
    <t>92幢-0436</t>
  </si>
  <si>
    <t>四区23号楼</t>
  </si>
  <si>
    <t>四区23号楼-3</t>
  </si>
  <si>
    <t>四区23号楼-3-住宅</t>
  </si>
  <si>
    <t>四区23号楼-((3-戊类储藏))</t>
  </si>
  <si>
    <t>四区23号楼--3</t>
  </si>
  <si>
    <t>0439</t>
  </si>
  <si>
    <t>92幢-0439</t>
  </si>
  <si>
    <t>0440</t>
  </si>
  <si>
    <t>92幢-0440</t>
  </si>
  <si>
    <t>四区23号楼-2</t>
  </si>
  <si>
    <t>四区23号楼-2-住宅</t>
  </si>
  <si>
    <t>四区23号楼-((2-戊类储藏))</t>
  </si>
  <si>
    <t>四区23号楼--2</t>
  </si>
  <si>
    <t>0441</t>
  </si>
  <si>
    <t>92幢-0441</t>
  </si>
  <si>
    <t>0442</t>
  </si>
  <si>
    <t>92幢-0442</t>
  </si>
  <si>
    <t>四区23号楼-1</t>
  </si>
  <si>
    <t>四区23号楼-1-住宅</t>
  </si>
  <si>
    <t>四区23号楼-((1-戊类储藏))</t>
  </si>
  <si>
    <t>四区23号楼--1</t>
  </si>
  <si>
    <t>0443</t>
  </si>
  <si>
    <t>92幢-0443</t>
  </si>
  <si>
    <t>0444</t>
  </si>
  <si>
    <t>92幢-0444</t>
  </si>
  <si>
    <t>四区20号楼</t>
  </si>
  <si>
    <t>四区20号楼-6</t>
  </si>
  <si>
    <t>四区20号楼-6-住宅</t>
  </si>
  <si>
    <t>四区20号楼-((6-戊类储藏))</t>
  </si>
  <si>
    <t>四区20号楼--6</t>
  </si>
  <si>
    <t>0449</t>
  </si>
  <si>
    <t>92幢-0449</t>
  </si>
  <si>
    <t>0450</t>
  </si>
  <si>
    <t>92幢-0450</t>
  </si>
  <si>
    <t>四区20号楼-2</t>
  </si>
  <si>
    <t>四区20号楼-2-住宅</t>
  </si>
  <si>
    <t>四区20号楼-((2-戊类储藏))</t>
  </si>
  <si>
    <t>四区20号楼--2</t>
  </si>
  <si>
    <t>92幢-445</t>
  </si>
  <si>
    <t>92幢-446</t>
  </si>
  <si>
    <t>四区20号楼-5</t>
  </si>
  <si>
    <t>四区20号楼-5-住宅</t>
  </si>
  <si>
    <t>四区20号楼-((5-戊类储藏))</t>
  </si>
  <si>
    <t>四区20号楼--5</t>
  </si>
  <si>
    <t>0451</t>
  </si>
  <si>
    <t>92幢-0451</t>
  </si>
  <si>
    <t>0452</t>
  </si>
  <si>
    <t>92幢-0452</t>
  </si>
  <si>
    <t>四区20号楼-1</t>
  </si>
  <si>
    <t>四区20号楼-1-住宅</t>
  </si>
  <si>
    <t>四区20号楼-((1-戊类储藏))</t>
  </si>
  <si>
    <t>四区20号楼--1</t>
  </si>
  <si>
    <t>0455</t>
  </si>
  <si>
    <t>92幢-0455</t>
  </si>
  <si>
    <t>0456</t>
  </si>
  <si>
    <t>92幢-0456</t>
  </si>
  <si>
    <t>四区19号楼</t>
  </si>
  <si>
    <t>四区19号楼-4</t>
  </si>
  <si>
    <t>四区19号楼-4-住宅</t>
  </si>
  <si>
    <t>四区19号楼-((4-戊类储藏))</t>
  </si>
  <si>
    <t>四区19号楼--4</t>
  </si>
  <si>
    <t>0457</t>
  </si>
  <si>
    <t>92幢-0457</t>
  </si>
  <si>
    <t>0458</t>
  </si>
  <si>
    <t>92幢-0458</t>
  </si>
  <si>
    <t>四区19号楼-3</t>
  </si>
  <si>
    <t>四区19号楼-3-住宅</t>
  </si>
  <si>
    <t>四区19号楼-((3-戊类储藏))</t>
  </si>
  <si>
    <t>四区19号楼--3</t>
  </si>
  <si>
    <t>0459</t>
  </si>
  <si>
    <t>92幢-0459</t>
  </si>
  <si>
    <t>0460</t>
  </si>
  <si>
    <t>92幢-0460</t>
  </si>
  <si>
    <t>四区19号楼-2</t>
  </si>
  <si>
    <t>四区19号楼-2-住宅</t>
  </si>
  <si>
    <t>四区19号楼-((2-戊类储藏))</t>
  </si>
  <si>
    <t>四区19号楼--2</t>
  </si>
  <si>
    <t>0461</t>
  </si>
  <si>
    <t>92幢-0461</t>
  </si>
  <si>
    <t>0462</t>
  </si>
  <si>
    <t>92幢-0462</t>
  </si>
  <si>
    <t>四区15号楼</t>
  </si>
  <si>
    <t>四区15号楼-5</t>
  </si>
  <si>
    <t>四区15号楼-5-住宅</t>
  </si>
  <si>
    <t>四区15号楼-((5-戊类储藏))</t>
  </si>
  <si>
    <t>四区15号楼--5</t>
  </si>
  <si>
    <t>0487</t>
  </si>
  <si>
    <t>92幢-0487</t>
  </si>
  <si>
    <t>0488</t>
  </si>
  <si>
    <t>92幢-0488</t>
  </si>
  <si>
    <t>四区16号楼</t>
  </si>
  <si>
    <t>四区16号楼-2</t>
  </si>
  <si>
    <t>四区16号楼-2-住宅</t>
  </si>
  <si>
    <t>四区16号楼-((2-戊类储藏))</t>
  </si>
  <si>
    <t>四区16号楼--2</t>
  </si>
  <si>
    <t>0473</t>
  </si>
  <si>
    <t>92幢-0473</t>
  </si>
  <si>
    <t>0474</t>
  </si>
  <si>
    <t>92幢-0474</t>
  </si>
  <si>
    <t>四区9号楼</t>
  </si>
  <si>
    <t>四区9号楼-6</t>
  </si>
  <si>
    <t>四区9号楼-6-住宅</t>
  </si>
  <si>
    <t>四区9号楼-((6-戊类储藏))</t>
  </si>
  <si>
    <t>四区9号楼--6</t>
  </si>
  <si>
    <t>0497</t>
  </si>
  <si>
    <t>92幢-0497</t>
  </si>
  <si>
    <t>0498</t>
  </si>
  <si>
    <t>92幢-0498</t>
  </si>
  <si>
    <t>四区9号楼-4</t>
  </si>
  <si>
    <t>四区9号楼-4-住宅</t>
  </si>
  <si>
    <t>四区9号楼-((4-戊类储藏))</t>
  </si>
  <si>
    <t>四区9号楼--4</t>
  </si>
  <si>
    <t>0495</t>
  </si>
  <si>
    <t>92幢-0495</t>
  </si>
  <si>
    <t>0496</t>
  </si>
  <si>
    <t>92幢-0496</t>
  </si>
  <si>
    <t>四区3号楼</t>
  </si>
  <si>
    <t>7</t>
  </si>
  <si>
    <t>四区3号楼-7</t>
  </si>
  <si>
    <t>四区3号楼-7-住宅</t>
  </si>
  <si>
    <t>((7-戊类储藏))</t>
    <phoneticPr fontId="140" type="noConversion"/>
  </si>
  <si>
    <t>四区3号楼-((7-戊类储藏))</t>
  </si>
  <si>
    <t>-7</t>
  </si>
  <si>
    <t>四区3号楼--7</t>
  </si>
  <si>
    <t>0533</t>
  </si>
  <si>
    <t>92幢-0533</t>
  </si>
  <si>
    <t>0534</t>
  </si>
  <si>
    <t>92幢-0534</t>
  </si>
  <si>
    <t>四区3号楼-3</t>
  </si>
  <si>
    <t>四区3号楼-3-住宅</t>
  </si>
  <si>
    <t>四区3号楼-((3-戊类储藏))</t>
  </si>
  <si>
    <t>四区3号楼--3</t>
  </si>
  <si>
    <t>0537</t>
  </si>
  <si>
    <t>92幢-0537</t>
  </si>
  <si>
    <t>0538</t>
  </si>
  <si>
    <t>92幢-0538</t>
  </si>
  <si>
    <t>三区21号楼</t>
  </si>
  <si>
    <t>三区21号楼-5</t>
  </si>
  <si>
    <t>三区21号楼-5-住宅</t>
  </si>
  <si>
    <t>三区21号楼-((5-戊类储藏))</t>
  </si>
  <si>
    <t>三区21号楼--5</t>
  </si>
  <si>
    <t>0555</t>
  </si>
  <si>
    <t>92幢-0555</t>
  </si>
  <si>
    <t>0556</t>
  </si>
  <si>
    <t>92幢-0556</t>
  </si>
  <si>
    <t>三区16号楼</t>
  </si>
  <si>
    <t>三区16号楼-6</t>
  </si>
  <si>
    <t>三区16号楼-6-住宅</t>
  </si>
  <si>
    <t>三区16号楼-((6-戊类储藏))</t>
  </si>
  <si>
    <t>三区16号楼--6</t>
  </si>
  <si>
    <t>0573</t>
  </si>
  <si>
    <t>92幢-0573</t>
  </si>
  <si>
    <t>0574</t>
  </si>
  <si>
    <t>92幢-0574</t>
  </si>
  <si>
    <t>三区16号楼-1</t>
  </si>
  <si>
    <t>三区16号楼-1-住宅</t>
  </si>
  <si>
    <t>三区16号楼-((1-戊类储藏))</t>
  </si>
  <si>
    <t>三区16号楼--1</t>
  </si>
  <si>
    <t>0579</t>
  </si>
  <si>
    <t>92幢-0579</t>
  </si>
  <si>
    <t>0580</t>
  </si>
  <si>
    <t>92幢-0580</t>
  </si>
  <si>
    <t>三区9号楼</t>
  </si>
  <si>
    <t>三区9号楼-5</t>
  </si>
  <si>
    <t>三区9号楼-5-住宅</t>
  </si>
  <si>
    <t>三区9号楼-((5-戊类储藏))</t>
  </si>
  <si>
    <t>三区9号楼--5</t>
  </si>
  <si>
    <t>0611</t>
  </si>
  <si>
    <t>92幢-0611</t>
  </si>
  <si>
    <t>0612</t>
  </si>
  <si>
    <t>92幢-0612</t>
  </si>
  <si>
    <t>三区3号楼</t>
  </si>
  <si>
    <t>三区3号楼-2</t>
  </si>
  <si>
    <t>三区3号楼-2-住宅</t>
  </si>
  <si>
    <t>三区3号楼-((2-戊类储藏))</t>
  </si>
  <si>
    <t>三区3号楼--2</t>
  </si>
  <si>
    <t>0619</t>
  </si>
  <si>
    <t>92幢-0619</t>
  </si>
  <si>
    <t>0620</t>
  </si>
  <si>
    <t>92幢-0620</t>
  </si>
  <si>
    <t>二区8号楼</t>
  </si>
  <si>
    <t>二区8号楼-4</t>
  </si>
  <si>
    <t>二区8号楼-4-住宅</t>
  </si>
  <si>
    <t>二区8号楼-((4-戊类储藏))</t>
  </si>
  <si>
    <t>二区8号楼--4</t>
  </si>
  <si>
    <t>0633</t>
  </si>
  <si>
    <t>92幢-0633</t>
  </si>
  <si>
    <t>0634</t>
  </si>
  <si>
    <t>92幢-0634</t>
  </si>
  <si>
    <t>二区8号楼-2</t>
  </si>
  <si>
    <t>二区8号楼-2-住宅</t>
  </si>
  <si>
    <t>二区8号楼-((2-戊类储藏))</t>
  </si>
  <si>
    <t>二区8号楼--2</t>
  </si>
  <si>
    <t>0635</t>
  </si>
  <si>
    <t>92幢-0635</t>
  </si>
  <si>
    <t>0636</t>
  </si>
  <si>
    <t>92幢-0636</t>
  </si>
  <si>
    <t>二区7号楼</t>
  </si>
  <si>
    <t>二区7号楼-6</t>
  </si>
  <si>
    <t>二区7号楼-6-住宅</t>
  </si>
  <si>
    <t>二区7号楼-((6-戊类储藏))</t>
  </si>
  <si>
    <t>二区7号楼--6</t>
  </si>
  <si>
    <t>0639</t>
  </si>
  <si>
    <t>92幢-0639</t>
  </si>
  <si>
    <t>0640</t>
  </si>
  <si>
    <t>92幢-0640</t>
  </si>
  <si>
    <t>二区7号楼-4</t>
  </si>
  <si>
    <t>二区7号楼-4-住宅</t>
  </si>
  <si>
    <t>二区7号楼-((4-戊类储藏))</t>
  </si>
  <si>
    <t>二区7号楼--4</t>
  </si>
  <si>
    <t>0641</t>
  </si>
  <si>
    <t>92幢-0641</t>
  </si>
  <si>
    <t>0642</t>
  </si>
  <si>
    <t>92幢-0642</t>
  </si>
  <si>
    <t>二区7号楼-2</t>
  </si>
  <si>
    <t>二区7号楼-2-住宅</t>
  </si>
  <si>
    <t>二区7号楼-((2-戊类储藏))</t>
  </si>
  <si>
    <t>二区7号楼--2</t>
  </si>
  <si>
    <t>0643</t>
  </si>
  <si>
    <t>92幢-0643</t>
  </si>
  <si>
    <t>0644</t>
  </si>
  <si>
    <t>92幢-0644</t>
  </si>
  <si>
    <t>二区7号楼-7</t>
  </si>
  <si>
    <t>二区7号楼-7-住宅</t>
  </si>
  <si>
    <t>二区7号楼-((7-戊类储藏))</t>
  </si>
  <si>
    <t>二区7号楼--7</t>
  </si>
  <si>
    <t>0651</t>
  </si>
  <si>
    <t>92幢-0651</t>
  </si>
  <si>
    <t>0652</t>
  </si>
  <si>
    <t>92幢-0652</t>
  </si>
  <si>
    <t>二区7号楼-5</t>
  </si>
  <si>
    <t>二区7号楼-5-住宅</t>
  </si>
  <si>
    <t>二区7号楼-((5-戊类储藏))</t>
  </si>
  <si>
    <t>二区7号楼--5</t>
  </si>
  <si>
    <t>0649</t>
  </si>
  <si>
    <t>92幢-0649</t>
  </si>
  <si>
    <t>0650</t>
  </si>
  <si>
    <t>92幢-0650</t>
  </si>
  <si>
    <t>二区7号楼-3</t>
  </si>
  <si>
    <t>二区7号楼-3-住宅</t>
  </si>
  <si>
    <t>二区7号楼-((3-戊类储藏))</t>
  </si>
  <si>
    <t>二区7号楼--3</t>
  </si>
  <si>
    <t>0647</t>
  </si>
  <si>
    <t>92幢-0647</t>
  </si>
  <si>
    <t>0648</t>
  </si>
  <si>
    <t>92幢-0648</t>
  </si>
  <si>
    <t>二区5号楼</t>
  </si>
  <si>
    <t>二区5号楼-6</t>
  </si>
  <si>
    <t>二区5号楼-6-住宅</t>
  </si>
  <si>
    <t>二区5号楼-((6-戊类储藏))</t>
  </si>
  <si>
    <t>二区5号楼--6</t>
  </si>
  <si>
    <t>0695</t>
  </si>
  <si>
    <t>92幢-0695</t>
  </si>
  <si>
    <t>0696</t>
  </si>
  <si>
    <t>92幢-0696</t>
  </si>
  <si>
    <t>二区5号楼-4</t>
  </si>
  <si>
    <t>二区5号楼-4-住宅</t>
  </si>
  <si>
    <t>二区5号楼-((4-戊类储藏))</t>
  </si>
  <si>
    <t>二区5号楼--4</t>
  </si>
  <si>
    <t>0697</t>
  </si>
  <si>
    <t>92幢-0697</t>
  </si>
  <si>
    <t>0698</t>
  </si>
  <si>
    <t>92幢-0698</t>
  </si>
  <si>
    <t>二区5号楼-2</t>
  </si>
  <si>
    <t>二区5号楼-2-住宅</t>
  </si>
  <si>
    <t>二区5号楼-((2-戊类储藏))</t>
  </si>
  <si>
    <t>二区5号楼--2</t>
  </si>
  <si>
    <t>0699</t>
  </si>
  <si>
    <t>92幢-0699</t>
  </si>
  <si>
    <t>0700</t>
  </si>
  <si>
    <t>92幢-0700</t>
  </si>
  <si>
    <t>二区5号楼-5</t>
  </si>
  <si>
    <t>二区5号楼-5-住宅</t>
  </si>
  <si>
    <t>二区5号楼-((5-戊类储藏))</t>
  </si>
  <si>
    <t>二区5号楼--5</t>
  </si>
  <si>
    <t>0685</t>
  </si>
  <si>
    <t>92幢-0685</t>
  </si>
  <si>
    <t>0686</t>
  </si>
  <si>
    <t>92幢-0686</t>
  </si>
  <si>
    <t>二区5号楼-3</t>
  </si>
  <si>
    <t>二区5号楼-3-住宅</t>
  </si>
  <si>
    <t>二区5号楼-((3-戊类储藏))</t>
  </si>
  <si>
    <t>二区5号楼--3</t>
  </si>
  <si>
    <t>0683</t>
  </si>
  <si>
    <t>92幢-0683</t>
  </si>
  <si>
    <t>0684</t>
  </si>
  <si>
    <t>92幢-0684</t>
  </si>
  <si>
    <t>二区5号楼-1</t>
  </si>
  <si>
    <t>二区5号楼-1-住宅</t>
  </si>
  <si>
    <t>二区5号楼-((1-戊类储藏))</t>
  </si>
  <si>
    <t>二区5号楼--1</t>
  </si>
  <si>
    <t>0681</t>
  </si>
  <si>
    <t>92幢-0681</t>
  </si>
  <si>
    <t>0682</t>
  </si>
  <si>
    <t>92幢-0682</t>
  </si>
  <si>
    <t>二区6号楼</t>
  </si>
  <si>
    <t>二区6号楼-4</t>
  </si>
  <si>
    <t>二区6号楼-4-住宅</t>
  </si>
  <si>
    <t>二区6号楼-((4-戊类储藏))</t>
  </si>
  <si>
    <t>二区6号楼--4</t>
  </si>
  <si>
    <t>0691</t>
  </si>
  <si>
    <t>92幢-0691</t>
  </si>
  <si>
    <t>0692</t>
  </si>
  <si>
    <t>92幢-0692</t>
  </si>
  <si>
    <t>二区6号楼-2</t>
  </si>
  <si>
    <t>二区6号楼-2-住宅</t>
  </si>
  <si>
    <t>二区6号楼-((2-戊类储藏))</t>
  </si>
  <si>
    <t>二区6号楼--2</t>
  </si>
  <si>
    <t>0693</t>
  </si>
  <si>
    <t>92幢-0693</t>
  </si>
  <si>
    <t>0694</t>
  </si>
  <si>
    <t>92幢-0694</t>
  </si>
  <si>
    <t>三区1号楼</t>
  </si>
  <si>
    <t>三区1号楼-2</t>
  </si>
  <si>
    <t>三区1号楼-2-住宅</t>
  </si>
  <si>
    <t>三区1号楼-((2-戊类储藏))</t>
  </si>
  <si>
    <t>三区1号楼--2</t>
  </si>
  <si>
    <t>0719</t>
  </si>
  <si>
    <t>92幢-0719</t>
  </si>
  <si>
    <t>0720</t>
  </si>
  <si>
    <t>92幢-0720</t>
  </si>
  <si>
    <t>三区1号楼-5</t>
  </si>
  <si>
    <t>三区1号楼-5-住宅</t>
  </si>
  <si>
    <t>三区1号楼-((5-戊类储藏))</t>
  </si>
  <si>
    <t>三区1号楼--5</t>
  </si>
  <si>
    <t>0705</t>
  </si>
  <si>
    <t>92幢-0705</t>
  </si>
  <si>
    <t>0706</t>
  </si>
  <si>
    <t>92幢-0706</t>
  </si>
  <si>
    <t>三区1号楼-3</t>
  </si>
  <si>
    <t>三区1号楼-3-住宅</t>
  </si>
  <si>
    <t>三区1号楼-((3-戊类储藏))</t>
  </si>
  <si>
    <t>三区1号楼--3</t>
  </si>
  <si>
    <t>0703</t>
  </si>
  <si>
    <t>92幢-0703</t>
  </si>
  <si>
    <t>0704</t>
  </si>
  <si>
    <t>92幢-0704</t>
  </si>
  <si>
    <t>三区1号楼-1</t>
  </si>
  <si>
    <t>三区1号楼-1-住宅</t>
  </si>
  <si>
    <t>三区1号楼-((1-戊类储藏))</t>
  </si>
  <si>
    <t>三区1号楼--1</t>
  </si>
  <si>
    <t>0701</t>
  </si>
  <si>
    <t>92幢-0701</t>
  </si>
  <si>
    <t>0702</t>
  </si>
  <si>
    <t>92幢-0702</t>
  </si>
  <si>
    <t>三区7号楼</t>
  </si>
  <si>
    <t>三区7号楼-6</t>
  </si>
  <si>
    <t>三区7号楼-6-住宅</t>
  </si>
  <si>
    <t>三区7号楼-((6-戊类储藏))</t>
  </si>
  <si>
    <t>三区7号楼--6</t>
  </si>
  <si>
    <t>0735</t>
  </si>
  <si>
    <t>92幢-0735</t>
  </si>
  <si>
    <t>0736</t>
  </si>
  <si>
    <t>92幢-0736</t>
  </si>
  <si>
    <t>三区7号楼-4</t>
  </si>
  <si>
    <t>三区7号楼-4-住宅</t>
  </si>
  <si>
    <t>三区7号楼-((4-戊类储藏))</t>
  </si>
  <si>
    <t>三区7号楼--4</t>
  </si>
  <si>
    <t>0737</t>
  </si>
  <si>
    <t>92幢-0737</t>
  </si>
  <si>
    <t>0738</t>
  </si>
  <si>
    <t>92幢-0738</t>
  </si>
  <si>
    <t>三区7号楼-2</t>
  </si>
  <si>
    <t>三区7号楼-2-住宅</t>
  </si>
  <si>
    <t>三区7号楼-((2-戊类储藏))</t>
  </si>
  <si>
    <t>三区7号楼--2</t>
  </si>
  <si>
    <t>0739</t>
  </si>
  <si>
    <t>92幢-0739</t>
  </si>
  <si>
    <t>0740</t>
  </si>
  <si>
    <t>92幢-0740</t>
  </si>
  <si>
    <t>三区7号楼-5</t>
  </si>
  <si>
    <t>三区7号楼-5-住宅</t>
  </si>
  <si>
    <t>三区7号楼-((5-戊类储藏))</t>
  </si>
  <si>
    <t>三区7号楼--5</t>
  </si>
  <si>
    <t>0725</t>
  </si>
  <si>
    <t>92幢-0725</t>
  </si>
  <si>
    <t>0726</t>
  </si>
  <si>
    <t>92幢-0726</t>
  </si>
  <si>
    <t>三区7号楼-3</t>
  </si>
  <si>
    <t>三区7号楼-3-住宅</t>
  </si>
  <si>
    <t>三区7号楼-((3-戊类储藏))</t>
  </si>
  <si>
    <t>三区7号楼--3</t>
  </si>
  <si>
    <t>0723</t>
  </si>
  <si>
    <t>92幢-0723</t>
  </si>
  <si>
    <t>0724</t>
  </si>
  <si>
    <t>92幢-0724</t>
  </si>
  <si>
    <t>三区7号楼-1</t>
  </si>
  <si>
    <t>三区7号楼-1-住宅</t>
  </si>
  <si>
    <t>三区7号楼-((1-戊类储藏))</t>
  </si>
  <si>
    <t>三区7号楼--1</t>
  </si>
  <si>
    <t>0721</t>
  </si>
  <si>
    <t>92幢-0721</t>
  </si>
  <si>
    <t>0722</t>
  </si>
  <si>
    <t>92幢-0722</t>
  </si>
  <si>
    <t>三区8号楼</t>
  </si>
  <si>
    <t>三区8号楼-3</t>
  </si>
  <si>
    <t>三区8号楼-3-住宅</t>
  </si>
  <si>
    <t>三区8号楼-((3-戊类储藏))</t>
  </si>
  <si>
    <t>三区8号楼--3</t>
  </si>
  <si>
    <t>0729</t>
  </si>
  <si>
    <t>92幢-0729</t>
  </si>
  <si>
    <t>0730</t>
  </si>
  <si>
    <t>92幢-0730</t>
  </si>
  <si>
    <t>三区14号楼</t>
  </si>
  <si>
    <t>三区14号楼-4</t>
  </si>
  <si>
    <t>三区14号楼-4-住宅</t>
  </si>
  <si>
    <t>三区14号楼-((4-戊类储藏))</t>
  </si>
  <si>
    <t>三区14号楼--4</t>
  </si>
  <si>
    <t>0753</t>
  </si>
  <si>
    <t>92幢-0753</t>
  </si>
  <si>
    <t>0754</t>
  </si>
  <si>
    <t>92幢-0754</t>
  </si>
  <si>
    <t>三区14号楼-2</t>
  </si>
  <si>
    <t>三区14号楼-2-住宅</t>
  </si>
  <si>
    <t>三区14号楼-((2-戊类储藏))</t>
  </si>
  <si>
    <t>三区14号楼--2</t>
  </si>
  <si>
    <t>0755</t>
  </si>
  <si>
    <t>92幢-0755</t>
  </si>
  <si>
    <t>0756</t>
  </si>
  <si>
    <t>92幢-0756</t>
  </si>
  <si>
    <t>三区14号楼-5</t>
  </si>
  <si>
    <t>三区14号楼-5-住宅</t>
  </si>
  <si>
    <t>三区14号楼-((5-戊类储藏))</t>
  </si>
  <si>
    <t>2527684.45</t>
  </si>
  <si>
    <t>三区14号楼--5</t>
  </si>
  <si>
    <t>0749</t>
  </si>
  <si>
    <t>92幢-0749</t>
  </si>
  <si>
    <t>0750</t>
  </si>
  <si>
    <t>92幢-0750</t>
  </si>
  <si>
    <t>三区14号楼-3</t>
  </si>
  <si>
    <t>三区14号楼-3-住宅</t>
  </si>
  <si>
    <t>三区14号楼-((3-戊类储藏))</t>
  </si>
  <si>
    <t>三区14号楼--3</t>
  </si>
  <si>
    <t>0747</t>
  </si>
  <si>
    <t>92幢-0747</t>
  </si>
  <si>
    <t>0748</t>
  </si>
  <si>
    <t>92幢-0748</t>
  </si>
  <si>
    <t>三区13号楼</t>
  </si>
  <si>
    <t>三区13号楼-2</t>
  </si>
  <si>
    <t>三区13号楼-2-住宅</t>
  </si>
  <si>
    <t>三区13号楼-((2-戊类储藏))</t>
  </si>
  <si>
    <t>三区13号楼--2</t>
  </si>
  <si>
    <t>0759</t>
  </si>
  <si>
    <t>92幢-0759</t>
  </si>
  <si>
    <t>0760</t>
  </si>
  <si>
    <t>92幢-0760</t>
  </si>
  <si>
    <t>三区13号楼-1</t>
  </si>
  <si>
    <t>三区13号楼-1-住宅</t>
  </si>
  <si>
    <t>三区13号楼-((1-戊类储藏))</t>
  </si>
  <si>
    <t>三区13号楼--1</t>
  </si>
  <si>
    <t>0741</t>
  </si>
  <si>
    <t>92幢-0741</t>
  </si>
  <si>
    <t>0742</t>
  </si>
  <si>
    <t>92幢-0742</t>
  </si>
  <si>
    <t>三区19号楼</t>
  </si>
  <si>
    <t>三区19号楼-4</t>
  </si>
  <si>
    <t>三区19号楼-4-住宅</t>
  </si>
  <si>
    <t>三区19号楼-((4-戊类储藏))</t>
  </si>
  <si>
    <t>三区19号楼--4</t>
  </si>
  <si>
    <t>0777</t>
  </si>
  <si>
    <t>92幢-0777</t>
  </si>
  <si>
    <t>0778</t>
  </si>
  <si>
    <t>92幢-0778</t>
  </si>
  <si>
    <t>三区19号楼-2</t>
  </si>
  <si>
    <t>三区19号楼-2-住宅</t>
  </si>
  <si>
    <t>三区19号楼-((2-戊类储藏))</t>
  </si>
  <si>
    <t>三区19号楼--2</t>
  </si>
  <si>
    <t>0779</t>
  </si>
  <si>
    <t>92幢-0779</t>
  </si>
  <si>
    <t>0780</t>
  </si>
  <si>
    <t>92幢-0780</t>
  </si>
  <si>
    <t>三区19号楼-3</t>
  </si>
  <si>
    <t>三区19号楼-3-住宅</t>
  </si>
  <si>
    <t>三区19号楼-((3-戊类储藏))</t>
  </si>
  <si>
    <t>三区19号楼--3</t>
  </si>
  <si>
    <t>0763</t>
  </si>
  <si>
    <t>92幢-0763</t>
  </si>
  <si>
    <t>0764</t>
  </si>
  <si>
    <t>92幢-0764</t>
  </si>
  <si>
    <t>三区19号楼-1</t>
  </si>
  <si>
    <t>三区19号楼-1-住宅</t>
  </si>
  <si>
    <t>三区19号楼-((1-戊类储藏))</t>
  </si>
  <si>
    <t>三区19号楼--1</t>
  </si>
  <si>
    <t>0761</t>
  </si>
  <si>
    <t>92幢-0761</t>
  </si>
  <si>
    <t>0762</t>
  </si>
  <si>
    <t>92幢-0762</t>
  </si>
  <si>
    <t>四区1号楼</t>
  </si>
  <si>
    <t>四区1号楼-6</t>
  </si>
  <si>
    <t>四区1号楼-6-住宅</t>
  </si>
  <si>
    <t>四区1号楼-((6-戊类储藏))</t>
  </si>
  <si>
    <t>四区1号楼--6</t>
  </si>
  <si>
    <t>0795</t>
  </si>
  <si>
    <t>92幢-0795</t>
  </si>
  <si>
    <t>0796</t>
  </si>
  <si>
    <t>92幢-0796</t>
  </si>
  <si>
    <t>四区1号楼-4</t>
  </si>
  <si>
    <t>四区1号楼-4-住宅</t>
  </si>
  <si>
    <t>四区1号楼-((4-戊类储藏))</t>
  </si>
  <si>
    <t>四区1号楼--4</t>
  </si>
  <si>
    <t>0797</t>
  </si>
  <si>
    <t>92幢-0797</t>
  </si>
  <si>
    <t>0798</t>
  </si>
  <si>
    <t>92幢-0798</t>
  </si>
  <si>
    <t>四区1号楼-2</t>
  </si>
  <si>
    <t>四区1号楼-2-住宅</t>
  </si>
  <si>
    <t>四区1号楼-((2-戊类储藏))</t>
  </si>
  <si>
    <t>四区1号楼--2</t>
  </si>
  <si>
    <t>0799</t>
  </si>
  <si>
    <t>92幢-0799</t>
  </si>
  <si>
    <t>0800</t>
  </si>
  <si>
    <t>92幢-0800</t>
  </si>
  <si>
    <t>四区1号楼-3</t>
  </si>
  <si>
    <t>四区1号楼-3-住宅</t>
  </si>
  <si>
    <t>四区1号楼-((3-戊类储藏))</t>
  </si>
  <si>
    <t>四区1号楼--3</t>
  </si>
  <si>
    <t>0783</t>
  </si>
  <si>
    <t>92幢-0783</t>
  </si>
  <si>
    <t>0784</t>
  </si>
  <si>
    <t>92幢-0784</t>
  </si>
  <si>
    <t>四区1号楼-1</t>
  </si>
  <si>
    <t>四区1号楼-1-住宅</t>
  </si>
  <si>
    <t>四区1号楼-((1-戊类储藏))</t>
  </si>
  <si>
    <t>四区1号楼--1</t>
  </si>
  <si>
    <t>0781</t>
  </si>
  <si>
    <t>92幢-0781</t>
  </si>
  <si>
    <t>0782</t>
  </si>
  <si>
    <t>92幢-0782</t>
  </si>
  <si>
    <t>四区7号楼</t>
  </si>
  <si>
    <t>四区7号楼-4</t>
  </si>
  <si>
    <t>四区7号楼-4-住宅</t>
  </si>
  <si>
    <t>四区7号楼-((4-戊类储藏))</t>
  </si>
  <si>
    <t>四区7号楼--4</t>
  </si>
  <si>
    <t>0817</t>
  </si>
  <si>
    <t>92幢-0817</t>
  </si>
  <si>
    <t>0818</t>
  </si>
  <si>
    <t>92幢-0818</t>
  </si>
  <si>
    <t>四区7号楼-2</t>
  </si>
  <si>
    <t>四区7号楼-2-住宅</t>
  </si>
  <si>
    <t>四区7号楼-((2-戊类储藏))</t>
  </si>
  <si>
    <t>四区7号楼--2</t>
  </si>
  <si>
    <t>0819</t>
  </si>
  <si>
    <t>92幢-0819</t>
  </si>
  <si>
    <t>0820</t>
  </si>
  <si>
    <t>92幢-0820</t>
  </si>
  <si>
    <t>四区7号楼-5</t>
  </si>
  <si>
    <t>四区7号楼-5-住宅</t>
  </si>
  <si>
    <t>四区7号楼-((5-戊类储藏))</t>
  </si>
  <si>
    <t>四区7号楼--5</t>
  </si>
  <si>
    <t>0805</t>
  </si>
  <si>
    <t>92幢-0805</t>
  </si>
  <si>
    <t>0806</t>
  </si>
  <si>
    <t>92幢-0806</t>
  </si>
  <si>
    <t>四区7号楼-3</t>
  </si>
  <si>
    <t>四区7号楼-3-住宅</t>
  </si>
  <si>
    <t>四区7号楼-((3-戊类储藏))</t>
  </si>
  <si>
    <t>四区7号楼--3</t>
  </si>
  <si>
    <t>0803</t>
  </si>
  <si>
    <t>92幢-0803</t>
  </si>
  <si>
    <t>0804</t>
  </si>
  <si>
    <t>92幢-0804</t>
  </si>
  <si>
    <t>四区7号楼-1</t>
  </si>
  <si>
    <t>四区7号楼-1-住宅</t>
  </si>
  <si>
    <t>四区7号楼-((1-戊类储藏))</t>
  </si>
  <si>
    <t>四区7号楼--1</t>
  </si>
  <si>
    <t>0801</t>
  </si>
  <si>
    <t>92幢-0801</t>
  </si>
  <si>
    <t>0802</t>
  </si>
  <si>
    <t>92幢-0802</t>
  </si>
  <si>
    <t>四区8号楼</t>
  </si>
  <si>
    <t>四区8号楼-4</t>
  </si>
  <si>
    <t>四区8号楼-4-住宅</t>
  </si>
  <si>
    <t>四区8号楼-((4-戊类储藏))</t>
  </si>
  <si>
    <t>四区8号楼--4</t>
  </si>
  <si>
    <t>0811</t>
  </si>
  <si>
    <t>92幢-0811</t>
  </si>
  <si>
    <t>0812</t>
  </si>
  <si>
    <t>92幢-0812</t>
  </si>
  <si>
    <t>四区8号楼-2</t>
  </si>
  <si>
    <t>四区8号楼-2-住宅</t>
  </si>
  <si>
    <t>四区8号楼-((2-戊类储藏))</t>
  </si>
  <si>
    <t>四区8号楼--2</t>
  </si>
  <si>
    <t>0813</t>
  </si>
  <si>
    <t>92幢-0813</t>
  </si>
  <si>
    <t>0814</t>
  </si>
  <si>
    <t>92幢-0814</t>
  </si>
  <si>
    <t>四区14号楼</t>
  </si>
  <si>
    <t>四区14号楼-2</t>
  </si>
  <si>
    <t>四区14号楼-2-住宅</t>
  </si>
  <si>
    <t>四区14号楼-((2-戊类储藏))</t>
  </si>
  <si>
    <t>四区14号楼--2</t>
  </si>
  <si>
    <t>0833</t>
  </si>
  <si>
    <t>92幢-0833</t>
  </si>
  <si>
    <t>0834</t>
  </si>
  <si>
    <t>92幢-0834</t>
  </si>
  <si>
    <t>四区14号楼-3</t>
  </si>
  <si>
    <t>四区14号楼-3-住宅</t>
  </si>
  <si>
    <t>四区14号楼-((3-戊类储藏))</t>
  </si>
  <si>
    <t>四区14号楼--3</t>
  </si>
  <si>
    <t>0829</t>
  </si>
  <si>
    <t>92幢-0829</t>
  </si>
  <si>
    <t>0830</t>
  </si>
  <si>
    <t>92幢-0830</t>
  </si>
  <si>
    <t>四区13号楼</t>
  </si>
  <si>
    <t>四区13号楼-6</t>
  </si>
  <si>
    <t>四区13号楼-6-住宅</t>
  </si>
  <si>
    <t>四区13号楼-((6-戊类储藏))</t>
  </si>
  <si>
    <t>四区13号楼--6</t>
  </si>
  <si>
    <t>0835</t>
  </si>
  <si>
    <t>92幢-0835</t>
  </si>
  <si>
    <t>0836</t>
  </si>
  <si>
    <t>92幢-0836</t>
  </si>
  <si>
    <t>四区13号楼-2</t>
  </si>
  <si>
    <t>四区13号楼-2-住宅</t>
  </si>
  <si>
    <t>四区13号楼-((2-戊类储藏))</t>
  </si>
  <si>
    <t>四区13号楼--2</t>
  </si>
  <si>
    <t>0839</t>
  </si>
  <si>
    <t>92幢-0839</t>
  </si>
  <si>
    <t>0840</t>
  </si>
  <si>
    <t>92幢-0840</t>
  </si>
  <si>
    <t>四区13号楼-5</t>
  </si>
  <si>
    <t>四区13号楼-5-住宅</t>
  </si>
  <si>
    <t>四区13号楼-((5-戊类储藏))</t>
  </si>
  <si>
    <t>四区13号楼--5</t>
  </si>
  <si>
    <t>0825</t>
  </si>
  <si>
    <t>92幢-0825</t>
  </si>
  <si>
    <t>0826</t>
  </si>
  <si>
    <t>92幢-0826</t>
  </si>
  <si>
    <t>四区13号楼-3</t>
  </si>
  <si>
    <t>四区13号楼-3-住宅</t>
  </si>
  <si>
    <t>四区13号楼-((3-戊类储藏))</t>
  </si>
  <si>
    <t>四区13号楼--3</t>
  </si>
  <si>
    <t>0823</t>
  </si>
  <si>
    <t>92幢-0823</t>
  </si>
  <si>
    <t>0824</t>
  </si>
  <si>
    <t>92幢-0824</t>
  </si>
  <si>
    <t>四区13号楼-1</t>
  </si>
  <si>
    <t>四区13号楼-1-住宅</t>
  </si>
  <si>
    <t>四区13号楼-((1-戊类储藏))</t>
  </si>
  <si>
    <t>四区13号楼--1</t>
  </si>
  <si>
    <t>92幢-821</t>
  </si>
  <si>
    <t>0822</t>
  </si>
  <si>
    <t>92幢-0822</t>
  </si>
  <si>
    <t>抵押</t>
  </si>
  <si>
    <t>房地产抵押价值</t>
  </si>
  <si>
    <t>北京市</t>
  </si>
  <si>
    <t>企业</t>
  </si>
  <si>
    <r>
      <t>0331</t>
    </r>
    <r>
      <rPr>
        <sz val="10"/>
        <rFont val="宋体"/>
        <family val="3"/>
        <charset val="134"/>
      </rPr>
      <t>地块部分现房</t>
    </r>
    <phoneticPr fontId="6" type="noConversion"/>
  </si>
  <si>
    <t>是</t>
  </si>
  <si>
    <t>仓储</t>
  </si>
  <si>
    <t>戊类库房</t>
  </si>
  <si>
    <t>合院住宅</t>
  </si>
  <si>
    <t>合院住宅</t>
    <phoneticPr fontId="7" type="noConversion"/>
  </si>
  <si>
    <t>地下仓储</t>
  </si>
  <si>
    <t>地下车库</t>
    <phoneticPr fontId="7" type="noConversion"/>
  </si>
  <si>
    <t>备案总价</t>
  </si>
  <si>
    <t>备案面积</t>
  </si>
  <si>
    <t>备案单价</t>
  </si>
  <si>
    <t>序号</t>
    <phoneticPr fontId="140" type="noConversion"/>
  </si>
  <si>
    <t>五区</t>
    <phoneticPr fontId="140" type="noConversion"/>
  </si>
  <si>
    <t>二区</t>
    <phoneticPr fontId="140" type="noConversion"/>
  </si>
  <si>
    <t>三区</t>
    <phoneticPr fontId="140" type="noConversion"/>
  </si>
  <si>
    <t>四区</t>
    <phoneticPr fontId="140" type="noConversion"/>
  </si>
  <si>
    <t>评估单价</t>
    <phoneticPr fontId="140" type="noConversion"/>
  </si>
  <si>
    <t>评估总价</t>
    <phoneticPr fontId="140" type="noConversion"/>
  </si>
  <si>
    <t>成新度</t>
  </si>
  <si>
    <t>利息：取LPR加浮动点数</t>
  </si>
  <si>
    <t>一般</t>
    <phoneticPr fontId="3" type="noConversion"/>
  </si>
  <si>
    <t>较差</t>
    <phoneticPr fontId="3" type="noConversion"/>
  </si>
  <si>
    <t>七通</t>
    <phoneticPr fontId="3" type="noConversion"/>
  </si>
  <si>
    <t>支路</t>
    <phoneticPr fontId="3" type="noConversion"/>
  </si>
  <si>
    <t>结果表 (地下仓储)</t>
    <phoneticPr fontId="16" type="noConversion"/>
  </si>
  <si>
    <t>结果表 (车位)</t>
    <phoneticPr fontId="16" type="noConversion"/>
  </si>
  <si>
    <t>成本法</t>
  </si>
  <si>
    <t>成本法</t>
    <phoneticPr fontId="16" type="noConversion"/>
  </si>
  <si>
    <t>现房</t>
  </si>
  <si>
    <t>项目局部</t>
  </si>
  <si>
    <t>比较法-住宅</t>
  </si>
  <si>
    <t>成本比率</t>
  </si>
  <si>
    <t>总价</t>
  </si>
  <si>
    <t>比较法-仓储</t>
  </si>
  <si>
    <t>比较法-车位</t>
  </si>
  <si>
    <t>已包含在土地取得成本中</t>
  </si>
  <si>
    <t>售价</t>
  </si>
  <si>
    <t>正常</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</si>
  <si>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</si>
  <si>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</si>
  <si>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</si>
  <si>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</si>
  <si>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</si>
  <si>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</si>
  <si>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</si>
  <si>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</si>
  <si>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</si>
  <si>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</si>
  <si>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</si>
  <si>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</si>
  <si>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</si>
  <si>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</si>
  <si>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</si>
  <si>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</si>
  <si>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</si>
  <si>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北京市顺义新城第23街区新国展三期项目(原22街区南部)22-02-007-1、22-02-007-2地块R2二类居住用地</t>
  </si>
  <si>
    <t>住宅用地</t>
  </si>
  <si>
    <t>≤2.5</t>
  </si>
  <si>
    <t>挂牌</t>
  </si>
  <si>
    <t>R2二类居住用地</t>
  </si>
  <si>
    <t>2021-02-02</t>
  </si>
  <si>
    <t>北京润置商业运营管理有限公司、保利(北京)房地产开发有限公司</t>
  </si>
  <si>
    <t>4星</t>
  </si>
  <si>
    <t>北京市顺义区顺义新城第13街区SY00-0013-6055、6056地块二类居住用地</t>
  </si>
  <si>
    <t>≤1.6</t>
  </si>
  <si>
    <t>二类居住用地</t>
  </si>
  <si>
    <t>2021-01-26</t>
  </si>
  <si>
    <t>北京宏远泰业科技有限公司、保利(北京)房地产开发有限公司联合体</t>
  </si>
  <si>
    <t>北京市顺义区顺义新城第13街区SY00-0013-6060、6066、6067地块二类居住用地、6058地块商业用地、6063地块综合性商业金融服务业用地、6065地块托幼用地</t>
  </si>
  <si>
    <t>综合用地(含住宅)</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</si>
  <si>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</si>
  <si>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</si>
  <si>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</si>
  <si>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</si>
  <si>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</si>
  <si>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</si>
  <si>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</si>
  <si>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</si>
  <si>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3星</t>
  </si>
  <si>
    <t>北京市顺义区仁和镇临河村棚户区改造土地开发B片区SY00-0007-6080、6081、6082、6084、6086地块二类居住用地、商业用地</t>
  </si>
  <si>
    <t>r2≤1.6,商业≤2.5</t>
  </si>
  <si>
    <t>二类居住用地、商业用地</t>
  </si>
  <si>
    <t>深圳市创欣志企业管理有限公司</t>
  </si>
  <si>
    <t>2星</t>
  </si>
  <si>
    <t>北京市顺义区仁和镇临河村棚户区改造土地开发B片区SY00-0007-6072、6073、6075、6076、6078地块二类居住用地、托幼用地</t>
  </si>
  <si>
    <t>r2≤1.6,幼托≤0.8</t>
  </si>
  <si>
    <t>二类居住用地、托幼用地</t>
  </si>
  <si>
    <t>北京路劲隽御房地产开发有限公司</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</si>
  <si>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</si>
  <si>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</si>
  <si>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</si>
  <si>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</si>
  <si>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</si>
  <si>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</si>
  <si>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</si>
  <si>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</si>
  <si>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</si>
  <si>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北京市顺义区北小营镇顺义新城第30街区30-01-02地块R2二类居住用地、30-01-04地块A33基础教育用地</t>
  </si>
  <si>
    <t>r2≤2,a33≤0.8</t>
  </si>
  <si>
    <t>R2二类居住用地、A33基础教育用地</t>
  </si>
  <si>
    <t>2019-08-29</t>
  </si>
  <si>
    <t>天津北方彤茂企业管理有限公司、北京城建投资发展股份有限公司联合体</t>
  </si>
  <si>
    <t>北京市顺义区高丽营镇SY02-0102-6001、SY02-0102-6002地块R2二类居住用地</t>
  </si>
  <si>
    <t>≤1.5</t>
  </si>
  <si>
    <t>2019-06-27</t>
  </si>
  <si>
    <t>北京首都开发股份有限公司、富力瑞康有限公司联合体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</si>
  <si>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</si>
  <si>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</si>
  <si>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</si>
  <si>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</si>
  <si>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</si>
  <si>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</si>
  <si>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</si>
  <si>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</si>
  <si>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</si>
  <si>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</si>
  <si>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</si>
  <si>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</si>
  <si>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</si>
  <si>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</si>
  <si>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</si>
  <si>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</si>
  <si>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</si>
  <si>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</si>
  <si>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计算容积率</t>
    <phoneticPr fontId="140" type="noConversion"/>
  </si>
  <si>
    <t>剥离后楼面单价</t>
    <phoneticPr fontId="140" type="noConversion"/>
  </si>
  <si>
    <t>配建面积</t>
    <phoneticPr fontId="140" type="noConversion"/>
  </si>
  <si>
    <t>异地建设</t>
    <phoneticPr fontId="140" type="noConversion"/>
  </si>
  <si>
    <t>自持</t>
    <phoneticPr fontId="31" type="noConversion"/>
  </si>
  <si>
    <t>自持</t>
    <phoneticPr fontId="140" type="noConversion"/>
  </si>
  <si>
    <t>无限价</t>
    <phoneticPr fontId="140" type="noConversion"/>
  </si>
  <si>
    <t>限价</t>
    <phoneticPr fontId="140" type="noConversion"/>
  </si>
  <si>
    <t>限价区间</t>
    <phoneticPr fontId="31" type="noConversion"/>
  </si>
  <si>
    <t>规则</t>
  </si>
  <si>
    <t>规则</t>
    <phoneticPr fontId="31" type="noConversion"/>
  </si>
  <si>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</si>
  <si>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</si>
  <si>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</si>
  <si>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</si>
  <si>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</si>
  <si>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</si>
  <si>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</si>
  <si>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</si>
  <si>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</si>
  <si>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</si>
  <si>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</si>
  <si>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快速路及高速路</t>
    <phoneticPr fontId="31" type="noConversion"/>
  </si>
  <si>
    <t>主干道</t>
    <phoneticPr fontId="31" type="noConversion"/>
  </si>
  <si>
    <t>次干道</t>
  </si>
  <si>
    <t>次干道</t>
    <phoneticPr fontId="31" type="noConversion"/>
  </si>
  <si>
    <t>支路</t>
  </si>
  <si>
    <t>支路</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</si>
  <si>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</si>
  <si>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</si>
  <si>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</si>
  <si>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</si>
  <si>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</si>
  <si>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住宅</t>
    <phoneticPr fontId="31" type="noConversion"/>
  </si>
  <si>
    <t>综合（含住宅）</t>
    <phoneticPr fontId="31" type="noConversion"/>
  </si>
  <si>
    <t>否</t>
    <phoneticPr fontId="31" type="noConversion"/>
  </si>
  <si>
    <t>是</t>
    <phoneticPr fontId="31" type="noConversion"/>
  </si>
  <si>
    <t>0-10%（含）</t>
  </si>
  <si>
    <t>10%-20%（含）</t>
  </si>
  <si>
    <t>20%-30%（含）</t>
  </si>
  <si>
    <r>
      <t>6</t>
    </r>
    <r>
      <rPr>
        <sz val="11"/>
        <color indexed="8"/>
        <rFont val="宋体"/>
        <family val="3"/>
        <charset val="134"/>
      </rPr>
      <t>万以上</t>
    </r>
    <phoneticPr fontId="31"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</si>
  <si>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31"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</si>
  <si>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31" type="noConversion"/>
  </si>
  <si>
    <r>
      <rPr>
        <sz val="11"/>
        <rFont val="宋体"/>
        <family val="3"/>
        <charset val="134"/>
      </rPr>
      <t>估价对象名称</t>
    </r>
    <phoneticPr fontId="3" type="noConversion"/>
  </si>
  <si>
    <t>出让</t>
  </si>
  <si>
    <r>
      <t>30%</t>
    </r>
    <r>
      <rPr>
        <sz val="11"/>
        <color indexed="8"/>
        <rFont val="宋体"/>
        <family val="3"/>
        <charset val="134"/>
      </rPr>
      <t>（含）以上</t>
    </r>
    <phoneticPr fontId="31" type="noConversion"/>
  </si>
  <si>
    <r>
      <t>30%</t>
    </r>
    <r>
      <rPr>
        <sz val="11"/>
        <rFont val="宋体"/>
        <family val="3"/>
        <charset val="134"/>
      </rPr>
      <t>（含）以上</t>
    </r>
    <phoneticPr fontId="31" type="noConversion"/>
  </si>
  <si>
    <r>
      <t>6</t>
    </r>
    <r>
      <rPr>
        <sz val="11"/>
        <rFont val="宋体"/>
        <family val="3"/>
        <charset val="134"/>
      </rPr>
      <t>万以上</t>
    </r>
    <phoneticPr fontId="31" type="noConversion"/>
  </si>
  <si>
    <t>一般</t>
  </si>
  <si>
    <t>较好</t>
  </si>
  <si>
    <t>车库面积</t>
  </si>
  <si>
    <t>㎡</t>
  </si>
  <si>
    <t>车库单价</t>
  </si>
  <si>
    <t>元/㎡</t>
  </si>
  <si>
    <t>车库总价</t>
  </si>
  <si>
    <t>万元/套</t>
  </si>
  <si>
    <t>龙湖·云河玉陛</t>
    <phoneticPr fontId="140" type="noConversion"/>
  </si>
  <si>
    <t>元</t>
  </si>
  <si>
    <t>公园十七区</t>
  </si>
  <si>
    <t>祥云赋</t>
  </si>
  <si>
    <r>
      <t>5.5</t>
    </r>
    <r>
      <rPr>
        <sz val="11"/>
        <rFont val="宋体"/>
        <family val="3"/>
        <charset val="134"/>
      </rPr>
      <t>（含）</t>
    </r>
    <r>
      <rPr>
        <sz val="11"/>
        <rFont val="Arial"/>
        <family val="2"/>
      </rPr>
      <t>-6</t>
    </r>
    <r>
      <rPr>
        <sz val="11"/>
        <rFont val="宋体"/>
        <family val="3"/>
        <charset val="134"/>
      </rPr>
      <t>万</t>
    </r>
    <phoneticPr fontId="31" type="noConversion"/>
  </si>
  <si>
    <r>
      <t>20%-30%</t>
    </r>
    <r>
      <rPr>
        <sz val="11"/>
        <rFont val="宋体"/>
        <family val="3"/>
        <charset val="134"/>
      </rPr>
      <t>（含）</t>
    </r>
    <phoneticPr fontId="31" type="noConversion"/>
  </si>
  <si>
    <t>北京市顺义区后沙峪镇马头庄村SY00-0019-6007地块R2二类居住用地</t>
  </si>
  <si>
    <t>限地价,限房价,90/70</t>
  </si>
  <si>
    <t>2018-07-04</t>
  </si>
  <si>
    <t>北京建工地产有限责任公司</t>
    <phoneticPr fontId="140" type="noConversion"/>
  </si>
  <si>
    <t>R2二类居住用地、A33基础教育用地</t>
    <phoneticPr fontId="140" type="noConversion"/>
  </si>
  <si>
    <t>R2二类居住用地</t>
    <phoneticPr fontId="140" type="noConversion"/>
  </si>
  <si>
    <t>挂牌</t>
    <phoneticPr fontId="140" type="noConversion"/>
  </si>
  <si>
    <t>4星</t>
    <phoneticPr fontId="140" type="noConversion"/>
  </si>
  <si>
    <t>临时三通</t>
  </si>
  <si>
    <t>临时三通</t>
    <phoneticPr fontId="31" type="noConversion"/>
  </si>
  <si>
    <t>按证分区</t>
    <phoneticPr fontId="140" type="noConversion"/>
  </si>
  <si>
    <t>成本法 (车位)</t>
  </si>
  <si>
    <t>成本法 (车位)</t>
    <phoneticPr fontId="16" type="noConversion"/>
  </si>
  <si>
    <t>成本法 (地下仓储)</t>
  </si>
  <si>
    <t>成本法 (地下仓储)</t>
    <phoneticPr fontId="16" type="noConversion"/>
  </si>
  <si>
    <t>40-50（含）</t>
  </si>
  <si>
    <t>地下车库</t>
    <phoneticPr fontId="32" type="noConversion"/>
  </si>
  <si>
    <t>专业</t>
  </si>
  <si>
    <t>专业</t>
    <phoneticPr fontId="32" type="noConversion"/>
  </si>
  <si>
    <t>普通</t>
    <phoneticPr fontId="32" type="noConversion"/>
  </si>
  <si>
    <t>立体</t>
    <phoneticPr fontId="32" type="noConversion"/>
  </si>
  <si>
    <t>平面</t>
  </si>
  <si>
    <t>平面</t>
    <phoneticPr fontId="32" type="noConversion"/>
  </si>
  <si>
    <t>是</t>
    <phoneticPr fontId="32" type="noConversion"/>
  </si>
  <si>
    <t>否</t>
  </si>
  <si>
    <t>否</t>
    <phoneticPr fontId="32" type="noConversion"/>
  </si>
  <si>
    <t>1:2</t>
    <phoneticPr fontId="32" type="noConversion"/>
  </si>
  <si>
    <t>1:1.2</t>
  </si>
  <si>
    <t>1:1.2</t>
    <phoneticPr fontId="32" type="noConversion"/>
  </si>
  <si>
    <t>1:1.5</t>
  </si>
  <si>
    <t>1:1.5</t>
    <phoneticPr fontId="32" type="noConversion"/>
  </si>
  <si>
    <t>1:1.7</t>
  </si>
  <si>
    <t>1:1.6</t>
  </si>
  <si>
    <t>1:1.4</t>
  </si>
  <si>
    <t>1:1.3</t>
  </si>
  <si>
    <t>精装修</t>
  </si>
  <si>
    <t>精装修</t>
    <phoneticPr fontId="32" type="noConversion"/>
  </si>
  <si>
    <t>普通装修</t>
    <phoneticPr fontId="32" type="noConversion"/>
  </si>
  <si>
    <t>简单装修</t>
    <phoneticPr fontId="32" type="noConversion"/>
  </si>
  <si>
    <t>毛坯</t>
  </si>
  <si>
    <t>毛坯</t>
    <phoneticPr fontId="32" type="noConversion"/>
  </si>
  <si>
    <t>1:1.8</t>
    <phoneticPr fontId="32" type="noConversion"/>
  </si>
  <si>
    <t>1:1.9</t>
    <phoneticPr fontId="32" type="noConversion"/>
  </si>
  <si>
    <t>价格</t>
    <phoneticPr fontId="3" type="noConversion"/>
  </si>
  <si>
    <t>时间</t>
    <phoneticPr fontId="3" type="noConversion"/>
  </si>
  <si>
    <t>时间</t>
    <phoneticPr fontId="140" type="noConversion"/>
  </si>
  <si>
    <t>土地成交楼面单价</t>
    <phoneticPr fontId="3" type="noConversion"/>
  </si>
  <si>
    <t>成交日期</t>
    <phoneticPr fontId="3" type="noConversion"/>
  </si>
  <si>
    <t>限售均价</t>
    <phoneticPr fontId="3" type="noConversion"/>
  </si>
  <si>
    <t>祥云赋</t>
    <phoneticPr fontId="3" type="noConversion"/>
  </si>
  <si>
    <t>带装修</t>
    <phoneticPr fontId="3" type="noConversion"/>
  </si>
  <si>
    <t>公园十七区</t>
    <phoneticPr fontId="140" type="noConversion"/>
  </si>
  <si>
    <t>观承望溪</t>
    <phoneticPr fontId="3" type="noConversion"/>
  </si>
  <si>
    <t>带装修</t>
    <phoneticPr fontId="140" type="noConversion"/>
  </si>
  <si>
    <t>建邦顺颐府</t>
    <phoneticPr fontId="3" type="noConversion"/>
  </si>
  <si>
    <t>毛坯</t>
    <phoneticPr fontId="3" type="noConversion"/>
  </si>
  <si>
    <t>龙湾别墅·棠尚</t>
    <phoneticPr fontId="3" type="noConversion"/>
  </si>
  <si>
    <t>住宅</t>
    <phoneticPr fontId="25" type="noConversion"/>
  </si>
  <si>
    <t>60-70（含）</t>
  </si>
  <si>
    <t>钢混结构</t>
  </si>
  <si>
    <t>钢混结构</t>
    <phoneticPr fontId="25" type="noConversion"/>
  </si>
  <si>
    <t>高品质</t>
  </si>
  <si>
    <t>高品质</t>
    <phoneticPr fontId="25" type="noConversion"/>
  </si>
  <si>
    <t>中品质</t>
    <phoneticPr fontId="25" type="noConversion"/>
  </si>
  <si>
    <t>低品质</t>
    <phoneticPr fontId="25" type="noConversion"/>
  </si>
  <si>
    <t>专业</t>
    <phoneticPr fontId="25" type="noConversion"/>
  </si>
  <si>
    <t>是否为限价房</t>
    <phoneticPr fontId="25" type="noConversion"/>
  </si>
  <si>
    <t>最近时点价</t>
    <phoneticPr fontId="140" type="noConversion"/>
  </si>
  <si>
    <t>项目均价</t>
    <phoneticPr fontId="140" type="noConversion"/>
  </si>
  <si>
    <t>富力首开金禧璞瑅</t>
    <phoneticPr fontId="3" type="noConversion"/>
  </si>
  <si>
    <t>城建北京合院</t>
    <phoneticPr fontId="3" type="noConversion"/>
  </si>
  <si>
    <t>禧瑞春秋</t>
    <phoneticPr fontId="3" type="noConversion"/>
  </si>
  <si>
    <t>毛坯</t>
    <phoneticPr fontId="140" type="noConversion"/>
  </si>
  <si>
    <t>天瑞宸章</t>
    <phoneticPr fontId="3" type="noConversion"/>
  </si>
  <si>
    <t>首开琅樾</t>
    <phoneticPr fontId="3" type="noConversion"/>
  </si>
  <si>
    <r>
      <t>优山美地</t>
    </r>
    <r>
      <rPr>
        <b/>
        <sz val="9"/>
        <color theme="1"/>
        <rFont val="Arial"/>
        <family val="2"/>
      </rPr>
      <t>D</t>
    </r>
    <r>
      <rPr>
        <b/>
        <sz val="9"/>
        <color theme="1"/>
        <rFont val="华文细黑"/>
        <family val="3"/>
        <charset val="134"/>
      </rPr>
      <t>区</t>
    </r>
    <phoneticPr fontId="140" type="noConversion"/>
  </si>
  <si>
    <t>建邦·顺颐府</t>
    <phoneticPr fontId="140" type="noConversion"/>
  </si>
  <si>
    <t>小高层</t>
    <phoneticPr fontId="25" type="noConversion"/>
  </si>
  <si>
    <t>诺德阅墅</t>
    <phoneticPr fontId="140" type="noConversion"/>
  </si>
  <si>
    <t>低密度</t>
  </si>
  <si>
    <t>低密度</t>
    <phoneticPr fontId="25" type="noConversion"/>
  </si>
  <si>
    <t>洋房</t>
  </si>
  <si>
    <t>洋房</t>
    <phoneticPr fontId="25" type="noConversion"/>
  </si>
  <si>
    <t>诺德阅墅</t>
    <phoneticPr fontId="3" type="noConversion"/>
  </si>
  <si>
    <t>龙湖·云河玉陛</t>
    <phoneticPr fontId="3" type="noConversion"/>
  </si>
  <si>
    <t>所属分区</t>
    <phoneticPr fontId="140" type="noConversion"/>
  </si>
  <si>
    <t>合并房号最终</t>
  </si>
  <si>
    <t>标准总价</t>
  </si>
  <si>
    <t>楼面单价</t>
  </si>
  <si>
    <t>二区小计</t>
    <phoneticPr fontId="140" type="noConversion"/>
  </si>
  <si>
    <t>三区小计</t>
    <phoneticPr fontId="140" type="noConversion"/>
  </si>
  <si>
    <t>四区小计</t>
    <phoneticPr fontId="140" type="noConversion"/>
  </si>
  <si>
    <t>五区小计</t>
    <phoneticPr fontId="140" type="noConversion"/>
  </si>
  <si>
    <t>92幢-0445</t>
    <phoneticPr fontId="140" type="noConversion"/>
  </si>
  <si>
    <t>92幢-0446</t>
    <phoneticPr fontId="140" type="noConversion"/>
  </si>
  <si>
    <t>92幢-0821</t>
    <phoneticPr fontId="140" type="noConversion"/>
  </si>
  <si>
    <t>车位小计</t>
    <phoneticPr fontId="140" type="noConversion"/>
  </si>
  <si>
    <t>0331地块清单总计</t>
    <phoneticPr fontId="140" type="noConversion"/>
  </si>
  <si>
    <t>评估结果</t>
    <phoneticPr fontId="140" type="noConversion"/>
  </si>
  <si>
    <t>类别</t>
  </si>
  <si>
    <t>项目类型</t>
  </si>
  <si>
    <t>经营性</t>
  </si>
  <si>
    <t>低密度（合院）住宅</t>
  </si>
  <si>
    <t>评估总价</t>
    <phoneticPr fontId="140" type="noConversion"/>
  </si>
  <si>
    <t>评估单价</t>
    <phoneticPr fontId="140" type="noConversion"/>
  </si>
  <si>
    <t>建筑物总价</t>
    <phoneticPr fontId="140" type="noConversion"/>
  </si>
  <si>
    <t>建筑物单价</t>
    <phoneticPr fontId="140" type="noConversion"/>
  </si>
  <si>
    <t>土地使用权总价</t>
    <phoneticPr fontId="140" type="noConversion"/>
  </si>
  <si>
    <t>土地使用权单价</t>
    <phoneticPr fontId="140" type="noConversion"/>
  </si>
  <si>
    <t>结果表</t>
    <phoneticPr fontId="140" type="noConversion"/>
  </si>
  <si>
    <t>面积表</t>
    <phoneticPr fontId="140" type="noConversion"/>
  </si>
  <si>
    <t>项目名称</t>
    <phoneticPr fontId="140" type="noConversion"/>
  </si>
  <si>
    <t>北京市顺义区榆观街2号院三区6号楼等31套住宅、地下仓储用房房地产</t>
    <phoneticPr fontId="140" type="noConversion"/>
  </si>
  <si>
    <t>北京市顺义区榆观街2号院五区24号楼等19套住宅、地下仓储用房房地产</t>
    <phoneticPr fontId="140" type="noConversion"/>
  </si>
  <si>
    <t>合计</t>
    <phoneticPr fontId="140" type="noConversion"/>
  </si>
  <si>
    <t>建筑面积</t>
    <phoneticPr fontId="140" type="noConversion"/>
  </si>
  <si>
    <t>《不动产权证书》证号</t>
    <phoneticPr fontId="140" type="noConversion"/>
  </si>
  <si>
    <t>京（2021）顺不动产权第0007168号</t>
    <phoneticPr fontId="140" type="noConversion"/>
  </si>
  <si>
    <t>京（2021）顺不动产权第0007884号</t>
    <phoneticPr fontId="140" type="noConversion"/>
  </si>
  <si>
    <t>京（2021）顺不动产权第0007879号</t>
    <phoneticPr fontId="140" type="noConversion"/>
  </si>
  <si>
    <t>京（2021）顺不动产权第0007876号</t>
    <phoneticPr fontId="140" type="noConversion"/>
  </si>
  <si>
    <t>京（2021）顺不动产权第0007888号</t>
    <phoneticPr fontId="140" type="noConversion"/>
  </si>
  <si>
    <t>合院</t>
  </si>
  <si>
    <t>合院</t>
    <phoneticPr fontId="16" type="noConversion"/>
  </si>
  <si>
    <t>地下仓储（配套）</t>
  </si>
  <si>
    <t>地下仓储（配套）</t>
    <phoneticPr fontId="7" type="noConversion"/>
  </si>
  <si>
    <t>二区1号楼</t>
    <phoneticPr fontId="140" type="noConversion"/>
  </si>
  <si>
    <t>二区1号楼-1-住宅</t>
    <phoneticPr fontId="140" type="noConversion"/>
  </si>
  <si>
    <t>二区1号楼-((1-戊类储藏))</t>
    <phoneticPr fontId="140" type="noConversion"/>
  </si>
  <si>
    <t>二区1号楼--1</t>
    <phoneticPr fontId="140" type="noConversion"/>
  </si>
  <si>
    <t>二区1号楼</t>
  </si>
  <si>
    <t>二区1号楼-2-住宅</t>
  </si>
  <si>
    <t>二区1号楼-((2-戊类储藏))</t>
  </si>
  <si>
    <t>二区1号楼--2</t>
  </si>
  <si>
    <t>二区1号楼-3-住宅</t>
  </si>
  <si>
    <t>二区1号楼-((3-戊类储藏))</t>
  </si>
  <si>
    <t>二区1号楼--3</t>
  </si>
  <si>
    <t>仓储</t>
    <phoneticPr fontId="140" type="noConversion"/>
  </si>
  <si>
    <t>二区</t>
    <phoneticPr fontId="140" type="noConversion"/>
  </si>
  <si>
    <t>946个</t>
    <phoneticPr fontId="140" type="noConversion"/>
  </si>
  <si>
    <t>小证仓储</t>
    <phoneticPr fontId="140" type="noConversion"/>
  </si>
  <si>
    <t>四区13号楼--4</t>
    <phoneticPr fontId="140" type="noConversion"/>
  </si>
  <si>
    <t>四区13号楼--4</t>
  </si>
  <si>
    <t>二区6号楼</t>
    <phoneticPr fontId="140" type="noConversion"/>
  </si>
  <si>
    <t>二区6号楼--3</t>
    <phoneticPr fontId="140" type="noConversion"/>
  </si>
  <si>
    <t>二区6号楼--3</t>
  </si>
  <si>
    <r>
      <t>二区1</t>
    </r>
    <r>
      <rPr>
        <sz val="11"/>
        <color theme="1"/>
        <rFont val="宋体"/>
        <family val="3"/>
        <charset val="134"/>
        <scheme val="minor"/>
      </rPr>
      <t>-3号楼</t>
    </r>
    <phoneticPr fontId="140" type="noConversion"/>
  </si>
  <si>
    <t>二区1-3号楼地下仓储</t>
    <phoneticPr fontId="140" type="noConversion"/>
  </si>
  <si>
    <t>不含二区1号楼及独立地下仓储</t>
    <phoneticPr fontId="140" type="noConversion"/>
  </si>
  <si>
    <t>评估总价</t>
    <phoneticPr fontId="140" type="noConversion"/>
  </si>
  <si>
    <t>二区</t>
  </si>
  <si>
    <t>二区</t>
    <phoneticPr fontId="140" type="noConversion"/>
  </si>
  <si>
    <t>仓储</t>
    <phoneticPr fontId="140" type="noConversion"/>
  </si>
  <si>
    <t>二区6号楼</t>
    <phoneticPr fontId="140" type="noConversion"/>
  </si>
  <si>
    <t>二区6号楼--3</t>
    <phoneticPr fontId="140" type="noConversion"/>
  </si>
  <si>
    <t>四区13号楼--4</t>
    <phoneticPr fontId="140" type="noConversion"/>
  </si>
  <si>
    <t>四区</t>
  </si>
  <si>
    <t>92幢-0531</t>
  </si>
  <si>
    <t>92幢-0532</t>
  </si>
  <si>
    <t>92幢-0689</t>
  </si>
  <si>
    <t>92幢-0690</t>
  </si>
  <si>
    <t>92幢-0837</t>
  </si>
  <si>
    <t>92幢-0838</t>
  </si>
  <si>
    <t>92幢-0675</t>
  </si>
  <si>
    <t>92幢-0676</t>
  </si>
  <si>
    <t>92幢-0677</t>
  </si>
  <si>
    <t>92幢-0678</t>
  </si>
  <si>
    <t>92幢-0679</t>
  </si>
  <si>
    <t>92幢-0680</t>
  </si>
  <si>
    <t>二区7号楼</t>
    <phoneticPr fontId="140" type="noConversion"/>
  </si>
  <si>
    <t>仓储</t>
    <phoneticPr fontId="140" type="noConversion"/>
  </si>
  <si>
    <t>建面</t>
    <phoneticPr fontId="140" type="noConversion"/>
  </si>
  <si>
    <t>土地面积</t>
    <phoneticPr fontId="140" type="noConversion"/>
  </si>
  <si>
    <t>北京市顺义区榆观街2号院92幢-3层0018号等236个地下车位用房房地产</t>
    <phoneticPr fontId="140" type="noConversion"/>
  </si>
  <si>
    <t>北京市顺义区榆观街2号院二区9号楼等23套住宅、地下仓储用房房地产</t>
    <phoneticPr fontId="140" type="noConversion"/>
  </si>
  <si>
    <t>北京市顺义区榆观街2号院四区6号楼等44套住宅、地下仓储用房房地产</t>
    <phoneticPr fontId="140" type="noConversion"/>
  </si>
  <si>
    <t>所属地块及项目类型</t>
  </si>
  <si>
    <r>
      <t>（规划）建筑面积（</t>
    </r>
    <r>
      <rPr>
        <sz val="9"/>
        <color rgb="FF000000"/>
        <rFont val="Arial"/>
        <family val="2"/>
      </rPr>
      <t>m</t>
    </r>
    <r>
      <rPr>
        <vertAlign val="superscript"/>
        <sz val="9"/>
        <color rgb="FF000000"/>
        <rFont val="Arial"/>
        <family val="2"/>
      </rPr>
      <t>2</t>
    </r>
    <r>
      <rPr>
        <sz val="9"/>
        <color rgb="FF000000"/>
        <rFont val="华文细黑"/>
        <family val="3"/>
        <charset val="134"/>
      </rPr>
      <t>）　</t>
    </r>
  </si>
  <si>
    <r>
      <t>0331</t>
    </r>
    <r>
      <rPr>
        <sz val="9"/>
        <color rgb="FF000000"/>
        <rFont val="华文细黑"/>
        <family val="3"/>
        <charset val="134"/>
      </rPr>
      <t>号地块现房</t>
    </r>
  </si>
  <si>
    <t>配套地下仓储</t>
  </si>
  <si>
    <r>
      <t>0331</t>
    </r>
    <r>
      <rPr>
        <b/>
        <sz val="9"/>
        <color rgb="FF000000"/>
        <rFont val="华文细黑"/>
        <family val="3"/>
        <charset val="134"/>
      </rPr>
      <t>号地块现房小计</t>
    </r>
  </si>
  <si>
    <r>
      <t>0321</t>
    </r>
    <r>
      <rPr>
        <sz val="9"/>
        <color rgb="FF000000"/>
        <rFont val="华文细黑"/>
        <family val="3"/>
        <charset val="134"/>
      </rPr>
      <t>号地块在建建筑物</t>
    </r>
  </si>
  <si>
    <t>配套地下仓储（合院）</t>
  </si>
  <si>
    <t>洋房（下跃）住宅</t>
  </si>
  <si>
    <t>配套地下仓储（洋房下跃）</t>
  </si>
  <si>
    <t>独立地下仓储</t>
  </si>
  <si>
    <r>
      <t>0321</t>
    </r>
    <r>
      <rPr>
        <b/>
        <sz val="9"/>
        <color rgb="FF000000"/>
        <rFont val="华文细黑"/>
        <family val="3"/>
        <charset val="134"/>
      </rPr>
      <t>号地块在建建筑物小计</t>
    </r>
  </si>
  <si>
    <t>估价对象合计</t>
  </si>
  <si>
    <t>2018-3</t>
    <phoneticPr fontId="31" type="noConversion"/>
  </si>
  <si>
    <t>2018-2</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</si>
</sst>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theme="1"/>
      <name val="华文细黑"/>
      <family val="3"/>
      <charset val="134"/>
    </font>
    <font>
      <sz val="10"/>
      <color theme="1"/>
      <name val="华文细黑"/>
      <family val="3"/>
      <charset val="134"/>
    </font>
    <font>
      <b/>
      <sz val="10"/>
      <color rgb="FF000000"/>
      <name val="微软雅黑"/>
      <family val="2"/>
      <charset val="134"/>
    </font>
    <font>
      <b/>
      <sz val="9"/>
      <color theme="1"/>
      <name val="华文细黑"/>
      <family val="3"/>
      <charset val="134"/>
    </font>
    <font>
      <b/>
      <sz val="9"/>
      <color theme="1"/>
      <name val="Arial"/>
      <family val="2"/>
    </font>
    <font>
      <b/>
      <sz val="9"/>
      <color rgb="FF000000"/>
      <name val="华文细黑"/>
      <family val="3"/>
      <charset val="134"/>
    </font>
    <font>
      <sz val="9"/>
      <color rgb="FF000000"/>
      <name val="华文细黑"/>
      <family val="3"/>
      <charset val="134"/>
    </font>
    <font>
      <sz val="11"/>
      <color rgb="FF000000"/>
      <name val="Times New Roman"/>
      <family val="1"/>
    </font>
    <font>
      <sz val="11"/>
      <color rgb="FF000000"/>
      <name val="Arial"/>
      <family val="2"/>
    </font>
    <font>
      <sz val="9"/>
      <color rgb="FF000000"/>
      <name val="宋体"/>
      <family val="3"/>
      <charset val="134"/>
    </font>
    <font>
      <sz val="11"/>
      <color theme="1"/>
      <name val="宋体"/>
      <family val="3"/>
      <charset val="134"/>
      <scheme val="minor"/>
    </font>
    <font>
      <sz val="9"/>
      <color theme="1"/>
      <name val="华文细黑"/>
      <family val="3"/>
      <charset val="134"/>
    </font>
    <font>
      <sz val="9"/>
      <color theme="1"/>
      <name val="宋体"/>
      <family val="3"/>
      <charset val="134"/>
      <scheme val="minor"/>
    </font>
    <font>
      <sz val="9"/>
      <color rgb="FF000000"/>
      <name val="Times New Roman"/>
      <family val="1"/>
    </font>
    <font>
      <sz val="9"/>
      <color rgb="FF000000"/>
      <name val="Arial"/>
      <family val="2"/>
    </font>
    <font>
      <vertAlign val="superscript"/>
      <sz val="9"/>
      <color rgb="FF000000"/>
      <name val="Arial"/>
      <family val="2"/>
    </font>
    <font>
      <b/>
      <sz val="9"/>
      <color rgb="FF000000"/>
      <name val="Arial"/>
      <family val="2"/>
    </font>
    <font>
      <b/>
      <sz val="10"/>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64" fillId="0" borderId="0" applyFont="0" applyFill="0" applyBorder="0" applyAlignment="0" applyProtection="0">
      <alignment vertical="center"/>
    </xf>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98" fillId="0" borderId="0" xfId="0" applyFont="1" applyAlignment="1">
      <alignment horizontal="center" vertical="center"/>
    </xf>
    <xf numFmtId="0" fontId="0" fillId="0" borderId="0" xfId="0" applyAlignment="1">
      <alignment horizontal="center" vertical="center"/>
    </xf>
    <xf numFmtId="10" fontId="0" fillId="0" borderId="0" xfId="0" applyNumberFormat="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98" fillId="0" borderId="1" xfId="0" applyFont="1" applyBorder="1">
      <alignment vertical="center"/>
    </xf>
    <xf numFmtId="10" fontId="98" fillId="20" borderId="1" xfId="0" applyNumberFormat="1" applyFont="1" applyFill="1" applyBorder="1">
      <alignment vertical="center"/>
    </xf>
    <xf numFmtId="10" fontId="98" fillId="0" borderId="1" xfId="0" applyNumberFormat="1" applyFont="1" applyBorder="1">
      <alignment vertical="center"/>
    </xf>
    <xf numFmtId="0" fontId="0" fillId="9" borderId="1" xfId="0" applyFill="1" applyBorder="1">
      <alignment vertical="center"/>
    </xf>
    <xf numFmtId="0" fontId="98" fillId="0" borderId="0" xfId="0" applyFont="1">
      <alignment vertical="center"/>
    </xf>
    <xf numFmtId="0" fontId="0" fillId="20" borderId="0" xfId="0" applyFill="1">
      <alignment vertical="center"/>
    </xf>
    <xf numFmtId="10" fontId="98" fillId="0" borderId="0" xfId="0" applyNumberFormat="1" applyFont="1">
      <alignment vertical="center"/>
    </xf>
    <xf numFmtId="0" fontId="98" fillId="5" borderId="1" xfId="0" applyFont="1" applyFill="1" applyBorder="1" applyAlignment="1">
      <alignment horizontal="center" vertical="center"/>
    </xf>
    <xf numFmtId="0" fontId="0" fillId="5" borderId="0" xfId="0" applyFill="1">
      <alignment vertical="center"/>
    </xf>
    <xf numFmtId="0" fontId="0" fillId="20" borderId="1" xfId="0" applyFill="1" applyBorder="1" applyAlignment="1">
      <alignment horizontal="center" vertical="center"/>
    </xf>
    <xf numFmtId="0" fontId="0" fillId="20" borderId="0" xfId="0" applyFill="1" applyAlignment="1">
      <alignment horizontal="center" vertical="center"/>
    </xf>
    <xf numFmtId="10" fontId="0" fillId="20" borderId="0" xfId="0" applyNumberFormat="1" applyFill="1">
      <alignment vertical="center"/>
    </xf>
    <xf numFmtId="10" fontId="0" fillId="0" borderId="1" xfId="0" applyNumberFormat="1" applyBorder="1" applyAlignment="1">
      <alignment horizontal="center" vertical="center"/>
    </xf>
    <xf numFmtId="10" fontId="98" fillId="0" borderId="1" xfId="0" applyNumberFormat="1" applyFont="1" applyBorder="1" applyAlignment="1">
      <alignment horizontal="center" vertical="center"/>
    </xf>
    <xf numFmtId="0" fontId="142" fillId="0" borderId="1" xfId="0" applyFont="1" applyBorder="1" applyAlignment="1">
      <alignment horizontal="center" vertical="center" wrapText="1"/>
    </xf>
    <xf numFmtId="0" fontId="142" fillId="7" borderId="1" xfId="0" applyFont="1" applyFill="1" applyBorder="1" applyAlignment="1">
      <alignment horizontal="center" vertical="center" wrapText="1"/>
    </xf>
    <xf numFmtId="0" fontId="142" fillId="7" borderId="15" xfId="0" applyFont="1" applyFill="1" applyBorder="1" applyAlignment="1">
      <alignment horizontal="center" vertical="center" wrapText="1"/>
    </xf>
    <xf numFmtId="0" fontId="128" fillId="0" borderId="0" xfId="0" applyFont="1" applyAlignment="1">
      <alignment horizontal="center" vertical="center"/>
    </xf>
    <xf numFmtId="0" fontId="19" fillId="0" borderId="1" xfId="0" applyFont="1" applyBorder="1" applyAlignment="1">
      <alignment horizontal="center" vertical="center" wrapText="1"/>
    </xf>
    <xf numFmtId="0" fontId="128" fillId="7" borderId="1" xfId="0" applyFont="1" applyFill="1" applyBorder="1" applyAlignment="1">
      <alignment horizontal="center" vertical="center"/>
    </xf>
    <xf numFmtId="0" fontId="128" fillId="7" borderId="1" xfId="0" applyFont="1" applyFill="1" applyBorder="1" applyAlignment="1">
      <alignment horizontal="center" vertical="center" wrapText="1"/>
    </xf>
    <xf numFmtId="0" fontId="97" fillId="0" borderId="1" xfId="0" applyFont="1" applyBorder="1" applyAlignment="1">
      <alignment horizontal="center" vertical="center" wrapText="1"/>
    </xf>
    <xf numFmtId="0" fontId="19" fillId="9" borderId="1" xfId="0" applyFont="1" applyFill="1" applyBorder="1" applyAlignment="1">
      <alignment horizontal="center" vertical="center" wrapText="1"/>
    </xf>
    <xf numFmtId="0" fontId="128" fillId="9" borderId="1" xfId="0" applyFont="1" applyFill="1" applyBorder="1" applyAlignment="1">
      <alignment horizontal="center" vertical="center"/>
    </xf>
    <xf numFmtId="0" fontId="128" fillId="9" borderId="1" xfId="0" applyFont="1" applyFill="1" applyBorder="1" applyAlignment="1">
      <alignment horizontal="center" vertical="center" wrapText="1"/>
    </xf>
    <xf numFmtId="0" fontId="0" fillId="9" borderId="1" xfId="0" applyFill="1" applyBorder="1" applyAlignment="1">
      <alignment horizontal="center" vertical="center"/>
    </xf>
    <xf numFmtId="0" fontId="0" fillId="9" borderId="0" xfId="0" applyFill="1" applyAlignment="1"/>
    <xf numFmtId="0" fontId="19" fillId="0" borderId="0" xfId="0" applyFont="1" applyAlignment="1">
      <alignment vertical="center" wrapText="1"/>
    </xf>
    <xf numFmtId="49" fontId="55"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19" fillId="20" borderId="1" xfId="0" applyFont="1" applyFill="1" applyBorder="1" applyAlignment="1">
      <alignment horizontal="center" vertical="center" wrapText="1"/>
    </xf>
    <xf numFmtId="0" fontId="128" fillId="20" borderId="1" xfId="0" applyFont="1" applyFill="1" applyBorder="1" applyAlignment="1">
      <alignment horizontal="center" vertical="center"/>
    </xf>
    <xf numFmtId="0" fontId="128" fillId="20" borderId="1" xfId="0" applyFont="1" applyFill="1" applyBorder="1" applyAlignment="1">
      <alignment horizontal="center" vertical="center" wrapText="1"/>
    </xf>
    <xf numFmtId="0" fontId="0" fillId="20" borderId="0" xfId="0" applyFill="1" applyAlignment="1"/>
    <xf numFmtId="0" fontId="19" fillId="21" borderId="1" xfId="0" applyFont="1" applyFill="1" applyBorder="1" applyAlignment="1">
      <alignment horizontal="center" vertical="center" wrapText="1"/>
    </xf>
    <xf numFmtId="0" fontId="128" fillId="21" borderId="1" xfId="0" applyFont="1" applyFill="1" applyBorder="1" applyAlignment="1">
      <alignment horizontal="center" vertical="center"/>
    </xf>
    <xf numFmtId="0" fontId="128" fillId="21" borderId="1" xfId="0" applyFont="1" applyFill="1" applyBorder="1" applyAlignment="1">
      <alignment horizontal="center" vertical="center" wrapText="1"/>
    </xf>
    <xf numFmtId="0" fontId="0" fillId="21" borderId="1" xfId="0" applyFill="1" applyBorder="1" applyAlignment="1">
      <alignment horizontal="center" vertical="center"/>
    </xf>
    <xf numFmtId="0" fontId="0" fillId="21" borderId="0" xfId="0" applyFill="1" applyAlignment="1"/>
    <xf numFmtId="0" fontId="19" fillId="5" borderId="1" xfId="0" applyFont="1" applyFill="1" applyBorder="1" applyAlignment="1">
      <alignment horizontal="center" vertical="center" wrapText="1"/>
    </xf>
    <xf numFmtId="0" fontId="128" fillId="5" borderId="1" xfId="0" applyFont="1" applyFill="1" applyBorder="1" applyAlignment="1">
      <alignment horizontal="center" vertical="center"/>
    </xf>
    <xf numFmtId="0" fontId="128" fillId="5" borderId="1" xfId="0" applyFont="1" applyFill="1" applyBorder="1" applyAlignment="1">
      <alignment horizontal="center" vertical="center" wrapText="1"/>
    </xf>
    <xf numFmtId="0" fontId="0" fillId="5" borderId="1" xfId="0" applyFill="1" applyBorder="1" applyAlignment="1">
      <alignment horizontal="center" vertical="center"/>
    </xf>
    <xf numFmtId="0" fontId="0" fillId="5" borderId="0" xfId="0" applyFill="1" applyAlignment="1"/>
    <xf numFmtId="0" fontId="19" fillId="22" borderId="1" xfId="0" applyFont="1" applyFill="1" applyBorder="1" applyAlignment="1">
      <alignment horizontal="center" vertical="center" wrapText="1"/>
    </xf>
    <xf numFmtId="0" fontId="128" fillId="22" borderId="1" xfId="0" applyFont="1" applyFill="1" applyBorder="1" applyAlignment="1">
      <alignment horizontal="center" vertical="center"/>
    </xf>
    <xf numFmtId="0" fontId="128" fillId="22" borderId="1" xfId="0" applyFont="1" applyFill="1" applyBorder="1" applyAlignment="1">
      <alignment horizontal="center" vertical="center" wrapText="1"/>
    </xf>
    <xf numFmtId="0" fontId="0" fillId="22" borderId="1" xfId="0" applyFill="1" applyBorder="1" applyAlignment="1">
      <alignment horizontal="center" vertical="center"/>
    </xf>
    <xf numFmtId="0" fontId="0" fillId="22" borderId="0" xfId="0" applyFill="1" applyAlignment="1"/>
    <xf numFmtId="0" fontId="0" fillId="0" borderId="0" xfId="0" applyNumberFormat="1">
      <alignment vertical="center"/>
    </xf>
    <xf numFmtId="0" fontId="97" fillId="0" borderId="10" xfId="0" applyFont="1" applyBorder="1" applyAlignment="1" applyProtection="1">
      <alignment horizontal="center" vertical="center" wrapText="1"/>
      <protection locked="0"/>
    </xf>
    <xf numFmtId="0" fontId="97" fillId="0" borderId="24" xfId="0" applyFont="1" applyBorder="1" applyAlignment="1" applyProtection="1">
      <alignment horizontal="center" vertical="center" wrapText="1"/>
      <protection locked="0"/>
    </xf>
    <xf numFmtId="0" fontId="97" fillId="0" borderId="49"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0" xfId="0" applyFont="1" applyAlignment="1">
      <alignment horizontal="center" vertical="center" wrapText="1"/>
    </xf>
    <xf numFmtId="0" fontId="98" fillId="0" borderId="0" xfId="0" applyFont="1" applyAlignment="1">
      <alignment horizontal="center" vertical="center" wrapText="1"/>
    </xf>
    <xf numFmtId="0" fontId="0" fillId="9" borderId="0" xfId="0" applyFill="1" applyAlignment="1">
      <alignment horizontal="center" vertical="center" wrapText="1"/>
    </xf>
    <xf numFmtId="0" fontId="134" fillId="0" borderId="46" xfId="0" applyFont="1" applyFill="1" applyBorder="1" applyAlignment="1" applyProtection="1">
      <alignment horizontal="center" vertical="center" wrapText="1"/>
      <protection locked="0"/>
    </xf>
    <xf numFmtId="9" fontId="0" fillId="9" borderId="0" xfId="0" applyNumberFormat="1" applyFill="1" applyAlignment="1">
      <alignment horizontal="center" vertical="center" wrapText="1"/>
    </xf>
    <xf numFmtId="0" fontId="98" fillId="9" borderId="0" xfId="0" applyFont="1" applyFill="1" applyAlignment="1">
      <alignment horizontal="center" vertical="center" wrapText="1"/>
    </xf>
    <xf numFmtId="0" fontId="0" fillId="20" borderId="0" xfId="0" applyFill="1" applyAlignment="1">
      <alignment horizontal="center" vertical="center" wrapText="1"/>
    </xf>
    <xf numFmtId="0" fontId="134" fillId="0" borderId="33"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55" fillId="15" borderId="1" xfId="0" applyFont="1" applyFill="1" applyBorder="1" applyAlignment="1">
      <alignment horizontal="left" vertical="center"/>
    </xf>
    <xf numFmtId="0" fontId="255" fillId="0" borderId="0" xfId="0" applyFont="1" applyAlignment="1">
      <alignment horizontal="left" vertical="center"/>
    </xf>
    <xf numFmtId="0" fontId="255" fillId="10" borderId="1" xfId="0" applyFont="1" applyFill="1" applyBorder="1" applyAlignment="1">
      <alignment horizontal="left" vertical="center"/>
    </xf>
    <xf numFmtId="0" fontId="255" fillId="23" borderId="1" xfId="0" applyFont="1" applyFill="1" applyBorder="1" applyAlignment="1">
      <alignment horizontal="left" vertical="center"/>
    </xf>
    <xf numFmtId="0" fontId="255" fillId="24" borderId="1" xfId="0" applyFont="1" applyFill="1" applyBorder="1" applyAlignment="1">
      <alignment horizontal="left" vertical="center"/>
    </xf>
    <xf numFmtId="0" fontId="255" fillId="25" borderId="1" xfId="0" applyFont="1" applyFill="1" applyBorder="1" applyAlignment="1">
      <alignment horizontal="left" vertical="center"/>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11" fillId="22" borderId="0" xfId="0" applyFont="1" applyFill="1" applyAlignment="1">
      <alignment horizontal="center" vertical="center" wrapText="1"/>
    </xf>
    <xf numFmtId="0" fontId="111" fillId="22" borderId="0" xfId="0" applyFont="1" applyFill="1" applyAlignment="1">
      <alignment horizontal="center" vertical="center"/>
    </xf>
    <xf numFmtId="0" fontId="0" fillId="0" borderId="0" xfId="0" applyAlignment="1">
      <alignment horizontal="center"/>
    </xf>
    <xf numFmtId="9" fontId="74" fillId="20" borderId="1" xfId="0" applyNumberFormat="1" applyFont="1" applyFill="1" applyBorder="1" applyAlignment="1" applyProtection="1">
      <alignment horizontal="center"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wrapText="1"/>
    </xf>
    <xf numFmtId="0" fontId="255" fillId="2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0" fontId="83" fillId="0" borderId="0" xfId="0" applyFont="1" applyAlignment="1"/>
    <xf numFmtId="0" fontId="19" fillId="0" borderId="0" xfId="0" applyFont="1" applyAlignment="1"/>
    <xf numFmtId="192" fontId="19" fillId="0" borderId="0" xfId="0" applyNumberFormat="1" applyFont="1" applyAlignment="1"/>
    <xf numFmtId="14" fontId="19" fillId="0" borderId="0" xfId="0" applyNumberFormat="1" applyFont="1" applyAlignment="1"/>
    <xf numFmtId="0" fontId="256" fillId="0" borderId="0" xfId="0" applyFont="1" applyAlignment="1">
      <alignment horizontal="center" vertical="center" readingOrder="1"/>
    </xf>
    <xf numFmtId="0" fontId="83" fillId="0" borderId="0" xfId="0" applyFont="1" applyAlignment="1">
      <alignment wrapText="1"/>
    </xf>
    <xf numFmtId="57" fontId="19" fillId="0" borderId="0" xfId="0" applyNumberFormat="1" applyFont="1" applyAlignment="1"/>
    <xf numFmtId="0" fontId="257" fillId="9" borderId="0" xfId="0" applyFont="1" applyFill="1">
      <alignment vertical="center"/>
    </xf>
    <xf numFmtId="0" fontId="19" fillId="0" borderId="0" xfId="0" applyNumberFormat="1" applyFont="1" applyAlignment="1"/>
    <xf numFmtId="0" fontId="19" fillId="20" borderId="0" xfId="0" applyFont="1" applyFill="1" applyAlignment="1"/>
    <xf numFmtId="0" fontId="19" fillId="0" borderId="0" xfId="0" applyFont="1" applyFill="1" applyAlignment="1"/>
    <xf numFmtId="57" fontId="0" fillId="0" borderId="0" xfId="0" applyNumberFormat="1">
      <alignment vertical="center"/>
    </xf>
    <xf numFmtId="0" fontId="111" fillId="0" borderId="0" xfId="0" applyFont="1">
      <alignment vertical="center"/>
    </xf>
    <xf numFmtId="57" fontId="111" fillId="0" borderId="0" xfId="0" applyNumberFormat="1" applyFont="1">
      <alignment vertical="center"/>
    </xf>
    <xf numFmtId="0" fontId="53" fillId="13" borderId="0" xfId="0" applyNumberFormat="1" applyFont="1" applyFill="1" applyAlignment="1" applyProtection="1">
      <alignment horizontal="center"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5" borderId="0" xfId="0" applyFill="1" applyBorder="1" applyAlignment="1">
      <alignment horizontal="center" vertical="center"/>
    </xf>
    <xf numFmtId="0" fontId="0" fillId="0" borderId="1" xfId="0" applyBorder="1" applyAlignment="1"/>
    <xf numFmtId="0" fontId="99" fillId="0" borderId="1" xfId="0" applyFont="1" applyBorder="1" applyAlignment="1">
      <alignment horizontal="center" vertical="center"/>
    </xf>
    <xf numFmtId="0" fontId="261" fillId="0" borderId="1" xfId="0" applyFont="1" applyBorder="1" applyAlignment="1">
      <alignment vertical="center" wrapText="1"/>
    </xf>
    <xf numFmtId="0" fontId="262" fillId="0" borderId="1" xfId="0" applyFont="1" applyBorder="1" applyAlignment="1">
      <alignment vertical="center" wrapText="1"/>
    </xf>
    <xf numFmtId="0" fontId="98" fillId="0" borderId="1" xfId="0" applyFont="1" applyBorder="1" applyAlignment="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wrapText="1"/>
    </xf>
    <xf numFmtId="0" fontId="128" fillId="7" borderId="1" xfId="0" applyFont="1" applyFill="1" applyBorder="1" applyAlignment="1">
      <alignment horizontal="left" vertical="center"/>
    </xf>
    <xf numFmtId="0" fontId="128" fillId="7" borderId="1" xfId="0" applyFont="1" applyFill="1" applyBorder="1" applyAlignment="1">
      <alignment horizontal="left" vertical="center" wrapText="1"/>
    </xf>
    <xf numFmtId="0" fontId="19" fillId="5" borderId="15" xfId="0" applyFont="1" applyFill="1" applyBorder="1" applyAlignment="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wrapText="1"/>
    </xf>
    <xf numFmtId="0" fontId="98" fillId="0" borderId="1" xfId="0" applyFont="1" applyBorder="1" applyAlignment="1">
      <alignment horizontal="center" vertical="center"/>
    </xf>
    <xf numFmtId="0" fontId="263" fillId="5" borderId="1" xfId="0" applyFont="1" applyFill="1" applyBorder="1" applyAlignment="1">
      <alignment horizontal="center" vertical="center"/>
    </xf>
    <xf numFmtId="197" fontId="263" fillId="5" borderId="1" xfId="0" applyNumberFormat="1" applyFont="1" applyFill="1" applyBorder="1" applyAlignment="1">
      <alignment horizontal="center" vertical="center"/>
    </xf>
    <xf numFmtId="0" fontId="0" fillId="0" borderId="0" xfId="0" applyNumberFormat="1" applyAlignment="1"/>
    <xf numFmtId="0" fontId="0" fillId="0" borderId="0" xfId="0" applyNumberFormat="1" applyAlignment="1">
      <alignment horizont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wrapText="1"/>
    </xf>
    <xf numFmtId="0" fontId="0" fillId="5" borderId="1" xfId="0" applyFill="1" applyBorder="1" applyAlignment="1">
      <alignment horizontal="center" vertical="center"/>
    </xf>
    <xf numFmtId="0" fontId="260" fillId="0" borderId="1" xfId="0" applyFont="1" applyBorder="1" applyAlignment="1">
      <alignment horizontal="left" vertical="center"/>
    </xf>
    <xf numFmtId="0" fontId="98" fillId="0" borderId="0" xfId="0" applyFont="1" applyBorder="1" applyAlignment="1">
      <alignment horizontal="center"/>
    </xf>
    <xf numFmtId="0" fontId="0" fillId="0" borderId="0" xfId="0" applyBorder="1" applyAlignment="1">
      <alignment horizontal="center"/>
    </xf>
    <xf numFmtId="0" fontId="257" fillId="0" borderId="1" xfId="0" applyFont="1" applyBorder="1" applyAlignment="1">
      <alignment horizontal="left" vertical="center"/>
    </xf>
    <xf numFmtId="0" fontId="259" fillId="0" borderId="1" xfId="0" applyFont="1" applyBorder="1" applyAlignment="1">
      <alignment horizontal="left" vertical="center"/>
    </xf>
    <xf numFmtId="0" fontId="260" fillId="0" borderId="1" xfId="0" applyFont="1" applyBorder="1" applyAlignment="1">
      <alignment horizontal="left" vertical="center"/>
    </xf>
    <xf numFmtId="0" fontId="260" fillId="0" borderId="1" xfId="0" applyFont="1" applyFill="1" applyBorder="1" applyAlignment="1">
      <alignment horizontal="left" vertical="center"/>
    </xf>
    <xf numFmtId="0" fontId="265" fillId="0" borderId="1" xfId="0" applyFont="1" applyBorder="1" applyAlignment="1">
      <alignment horizontal="left" vertical="center"/>
    </xf>
    <xf numFmtId="0" fontId="265" fillId="0" borderId="1" xfId="0" applyFont="1" applyFill="1" applyBorder="1" applyAlignment="1">
      <alignment horizontal="left" vertical="center"/>
    </xf>
    <xf numFmtId="0" fontId="99" fillId="0" borderId="1" xfId="0" applyFont="1" applyBorder="1" applyAlignment="1">
      <alignment horizontal="left"/>
    </xf>
    <xf numFmtId="0" fontId="0" fillId="0" borderId="1" xfId="0" applyBorder="1" applyAlignment="1">
      <alignment vertical="center"/>
    </xf>
    <xf numFmtId="182" fontId="0" fillId="0" borderId="1" xfId="0" applyNumberFormat="1" applyBorder="1" applyAlignment="1">
      <alignment vertical="center"/>
    </xf>
    <xf numFmtId="0" fontId="142" fillId="7" borderId="0" xfId="0" applyFont="1" applyFill="1" applyBorder="1" applyAlignment="1">
      <alignment horizontal="center" vertical="center" wrapText="1"/>
    </xf>
    <xf numFmtId="0" fontId="0" fillId="0" borderId="0" xfId="0" applyBorder="1" applyAlignment="1"/>
    <xf numFmtId="0" fontId="266" fillId="0" borderId="0" xfId="0" applyFont="1" applyBorder="1" applyAlignment="1">
      <alignment horizontal="left" vertical="center"/>
    </xf>
    <xf numFmtId="0" fontId="267" fillId="0" borderId="1" xfId="0" applyFont="1" applyBorder="1" applyAlignment="1">
      <alignment horizontal="left" vertical="center" wrapText="1"/>
    </xf>
    <xf numFmtId="0" fontId="268" fillId="0" borderId="1" xfId="0" applyFont="1" applyBorder="1" applyAlignment="1">
      <alignment horizontal="left" vertical="center" wrapText="1"/>
    </xf>
    <xf numFmtId="0" fontId="266" fillId="0" borderId="1" xfId="0" applyFont="1" applyBorder="1" applyAlignment="1">
      <alignment horizontal="left" vertical="center"/>
    </xf>
    <xf numFmtId="0" fontId="0" fillId="0" borderId="0" xfId="0" applyFill="1" applyBorder="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60" fillId="0" borderId="43" xfId="0" applyFont="1" applyBorder="1">
      <alignment vertical="center"/>
    </xf>
    <xf numFmtId="0" fontId="268" fillId="0" borderId="43" xfId="0" applyFont="1" applyBorder="1">
      <alignment vertical="center"/>
    </xf>
    <xf numFmtId="0" fontId="270" fillId="0" borderId="43" xfId="0" applyFont="1" applyBorder="1">
      <alignment vertical="center"/>
    </xf>
    <xf numFmtId="2" fontId="270" fillId="0" borderId="43" xfId="0" applyNumberFormat="1" applyFont="1" applyBorder="1">
      <alignment vertical="center"/>
    </xf>
    <xf numFmtId="2" fontId="0" fillId="0" borderId="1" xfId="0" applyNumberFormat="1" applyBorder="1" applyAlignment="1">
      <alignment horizontal="center" vertical="center"/>
    </xf>
    <xf numFmtId="179" fontId="74" fillId="13" borderId="0" xfId="0" applyNumberFormat="1" applyFont="1" applyFill="1" applyAlignment="1" applyProtection="1">
      <alignment horizontal="center" vertical="center"/>
      <protection locked="0"/>
    </xf>
    <xf numFmtId="2" fontId="46" fillId="0" borderId="1" xfId="0" applyNumberFormat="1" applyFont="1" applyFill="1" applyBorder="1" applyAlignment="1" applyProtection="1">
      <alignment horizontal="center" vertical="center" wrapText="1"/>
      <protection locked="0"/>
    </xf>
    <xf numFmtId="179" fontId="49" fillId="0" borderId="1" xfId="0" applyNumberFormat="1" applyFont="1" applyFill="1" applyBorder="1" applyAlignment="1" applyProtection="1">
      <alignment horizontal="center" vertical="center" wrapText="1"/>
      <protection locked="0"/>
    </xf>
    <xf numFmtId="0" fontId="271" fillId="3" borderId="0" xfId="0" applyFont="1" applyFill="1" applyAlignment="1" applyProtection="1">
      <alignment vertical="center"/>
      <protection locked="0"/>
    </xf>
    <xf numFmtId="2" fontId="268" fillId="0" borderId="43" xfId="0" applyNumberFormat="1" applyFont="1"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wrapText="1"/>
    </xf>
    <xf numFmtId="0" fontId="98" fillId="5" borderId="1" xfId="0" applyFont="1" applyFill="1" applyBorder="1" applyAlignment="1">
      <alignment horizontal="center" vertical="center"/>
    </xf>
    <xf numFmtId="0" fontId="0" fillId="5" borderId="1" xfId="0" applyFill="1" applyBorder="1" applyAlignment="1">
      <alignment horizontal="center" vertical="center"/>
    </xf>
    <xf numFmtId="0" fontId="98" fillId="8" borderId="1" xfId="0" applyFont="1" applyFill="1" applyBorder="1" applyAlignment="1">
      <alignment horizontal="center" vertical="center"/>
    </xf>
    <xf numFmtId="0" fontId="0" fillId="8" borderId="1" xfId="0" applyFill="1" applyBorder="1" applyAlignment="1">
      <alignment horizontal="center" vertical="center"/>
    </xf>
    <xf numFmtId="0" fontId="98" fillId="20" borderId="1" xfId="0" applyFont="1" applyFill="1" applyBorder="1" applyAlignment="1">
      <alignment horizontal="center" vertical="center"/>
    </xf>
    <xf numFmtId="0" fontId="98" fillId="9" borderId="1" xfId="0" applyFont="1" applyFill="1" applyBorder="1" applyAlignment="1">
      <alignment horizontal="center" vertical="center"/>
    </xf>
    <xf numFmtId="0" fontId="265" fillId="0" borderId="1" xfId="0" applyFont="1" applyBorder="1" applyAlignment="1">
      <alignment horizontal="left" vertical="center"/>
    </xf>
    <xf numFmtId="0" fontId="257" fillId="0" borderId="1" xfId="0" applyFont="1" applyBorder="1" applyAlignment="1">
      <alignment horizontal="left" vertical="center"/>
    </xf>
    <xf numFmtId="0" fontId="257" fillId="0" borderId="1" xfId="0" applyFont="1" applyBorder="1" applyAlignment="1">
      <alignment horizontal="left" vertical="center" wrapText="1"/>
    </xf>
    <xf numFmtId="0" fontId="99" fillId="0" borderId="1" xfId="0" applyFont="1" applyBorder="1" applyAlignment="1">
      <alignment horizontal="left"/>
    </xf>
    <xf numFmtId="0" fontId="260" fillId="0" borderId="63" xfId="0" applyFont="1" applyBorder="1">
      <alignment vertical="center"/>
    </xf>
    <xf numFmtId="0" fontId="260" fillId="0" borderId="64" xfId="0" applyFont="1" applyBorder="1">
      <alignment vertical="center"/>
    </xf>
    <xf numFmtId="0" fontId="260" fillId="0" borderId="65" xfId="0" applyFont="1" applyBorder="1">
      <alignment vertical="center"/>
    </xf>
    <xf numFmtId="0" fontId="268" fillId="0" borderId="27" xfId="0" applyFont="1" applyBorder="1" applyAlignment="1">
      <alignment vertical="center" wrapText="1"/>
    </xf>
    <xf numFmtId="0" fontId="268" fillId="0" borderId="80" xfId="0" applyFont="1" applyBorder="1" applyAlignment="1">
      <alignment vertical="center" wrapText="1"/>
    </xf>
    <xf numFmtId="0" fontId="268" fillId="0" borderId="81" xfId="0" applyFont="1" applyBorder="1" applyAlignment="1">
      <alignment vertical="center" wrapText="1"/>
    </xf>
    <xf numFmtId="0" fontId="260" fillId="0" borderId="27" xfId="0" applyFont="1" applyBorder="1">
      <alignment vertical="center"/>
    </xf>
    <xf numFmtId="0" fontId="260" fillId="0" borderId="80" xfId="0" applyFont="1" applyBorder="1">
      <alignment vertical="center"/>
    </xf>
    <xf numFmtId="0" fontId="260" fillId="0" borderId="81" xfId="0" applyFont="1" applyBorder="1">
      <alignment vertical="center"/>
    </xf>
    <xf numFmtId="0" fontId="270" fillId="0" borderId="63" xfId="0" applyFont="1" applyBorder="1">
      <alignment vertical="center"/>
    </xf>
    <xf numFmtId="0" fontId="270" fillId="0" borderId="64" xfId="0" applyFont="1" applyBorder="1">
      <alignment vertical="center"/>
    </xf>
    <xf numFmtId="0" fontId="270" fillId="0" borderId="65" xfId="0" applyFont="1" applyBorder="1">
      <alignment vertical="center"/>
    </xf>
    <xf numFmtId="0" fontId="98" fillId="0" borderId="1" xfId="0" applyFont="1" applyBorder="1" applyAlignment="1">
      <alignment horizontal="center" vertical="center" wrapText="1"/>
    </xf>
    <xf numFmtId="0" fontId="259" fillId="0" borderId="1" xfId="0" applyFont="1" applyBorder="1" applyAlignment="1">
      <alignment horizontal="left" vertical="center"/>
    </xf>
    <xf numFmtId="0" fontId="266" fillId="0" borderId="5" xfId="0" applyNumberFormat="1" applyFont="1" applyBorder="1" applyAlignment="1">
      <alignment horizontal="left" vertical="center"/>
    </xf>
    <xf numFmtId="0" fontId="266" fillId="0" borderId="54" xfId="0" applyNumberFormat="1" applyFont="1" applyBorder="1" applyAlignment="1">
      <alignment horizontal="left" vertical="center"/>
    </xf>
    <xf numFmtId="0" fontId="259" fillId="0" borderId="1" xfId="0" applyFont="1" applyBorder="1" applyAlignment="1">
      <alignment horizontal="left" vertical="center" wrapText="1"/>
    </xf>
    <xf numFmtId="0" fontId="260" fillId="0" borderId="1" xfId="0" applyFont="1" applyBorder="1" applyAlignment="1">
      <alignment horizontal="left" vertical="center"/>
    </xf>
    <xf numFmtId="0" fontId="266" fillId="0" borderId="5" xfId="0" applyFont="1" applyBorder="1" applyAlignment="1">
      <alignment horizontal="left" vertical="center"/>
    </xf>
    <xf numFmtId="0" fontId="266" fillId="0" borderId="54" xfId="0" applyFont="1" applyBorder="1" applyAlignment="1">
      <alignment horizontal="left" vertical="center"/>
    </xf>
    <xf numFmtId="0" fontId="266" fillId="0" borderId="3" xfId="0" applyFont="1" applyBorder="1" applyAlignment="1">
      <alignment horizontal="left" vertical="center"/>
    </xf>
    <xf numFmtId="182" fontId="266" fillId="0" borderId="36" xfId="0" applyNumberFormat="1" applyFont="1" applyBorder="1" applyAlignment="1">
      <alignment horizontal="left" vertical="center"/>
    </xf>
    <xf numFmtId="43" fontId="259" fillId="0" borderId="1" xfId="17" applyFont="1" applyBorder="1" applyAlignment="1">
      <alignment horizontal="left" vertical="center" wrapText="1"/>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xf numFmtId="0" fontId="260" fillId="0" borderId="27" xfId="0" applyFont="1" applyBorder="1" applyAlignment="1">
      <alignment vertical="center" wrapText="1"/>
    </xf>
    <xf numFmtId="0" fontId="260" fillId="0" borderId="81" xfId="0" applyFont="1" applyBorder="1" applyAlignment="1">
      <alignmen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23" xfId="0" applyFont="1" applyFill="1" applyBorder="1" applyAlignment="1" applyProtection="1">
      <alignment horizontal="center" vertical="center" wrapText="1"/>
      <protection locked="0"/>
    </xf>
    <xf numFmtId="0" fontId="53"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254" fillId="15" borderId="1" xfId="0" applyFont="1" applyFill="1" applyBorder="1" applyAlignment="1">
      <alignment horizontal="left" vertical="center"/>
    </xf>
    <xf numFmtId="0" fontId="254" fillId="10" borderId="1" xfId="0" applyFont="1" applyFill="1" applyBorder="1" applyAlignment="1">
      <alignment horizontal="left" vertical="center"/>
    </xf>
    <xf numFmtId="0" fontId="254" fillId="23" borderId="1" xfId="0" applyFont="1" applyFill="1" applyBorder="1" applyAlignment="1">
      <alignment horizontal="left" vertical="center"/>
    </xf>
    <xf numFmtId="0" fontId="254" fillId="24" borderId="1" xfId="0" applyFont="1" applyFill="1" applyBorder="1" applyAlignment="1">
      <alignment horizontal="left" vertical="center"/>
    </xf>
    <xf numFmtId="0" fontId="254" fillId="25" borderId="1" xfId="0" applyFont="1" applyFill="1" applyBorder="1" applyAlignment="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7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133350</xdr:colOff>
      <xdr:row>47</xdr:row>
      <xdr:rowOff>80570</xdr:rowOff>
    </xdr:to>
    <xdr:pic>
      <xdr:nvPicPr>
        <xdr:cNvPr id="3" name="图片 2">
          <a:extLst>
            <a:ext uri="{FF2B5EF4-FFF2-40B4-BE49-F238E27FC236}">
              <a16:creationId xmlns:a16="http://schemas.microsoft.com/office/drawing/2014/main" id="{247995AB-FD92-4EEA-B206-25E6E45E6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19600"/>
          <a:ext cx="7772400" cy="4709720"/>
        </a:xfrm>
        <a:prstGeom prst="rect">
          <a:avLst/>
        </a:prstGeom>
      </xdr:spPr>
    </xdr:pic>
    <xdr:clientData/>
  </xdr:twoCellAnchor>
  <xdr:twoCellAnchor editAs="oneCell">
    <xdr:from>
      <xdr:col>0</xdr:col>
      <xdr:colOff>0</xdr:colOff>
      <xdr:row>48</xdr:row>
      <xdr:rowOff>0</xdr:rowOff>
    </xdr:from>
    <xdr:to>
      <xdr:col>4</xdr:col>
      <xdr:colOff>133350</xdr:colOff>
      <xdr:row>69</xdr:row>
      <xdr:rowOff>6774</xdr:rowOff>
    </xdr:to>
    <xdr:pic>
      <xdr:nvPicPr>
        <xdr:cNvPr id="5" name="图片 4">
          <a:extLst>
            <a:ext uri="{FF2B5EF4-FFF2-40B4-BE49-F238E27FC236}">
              <a16:creationId xmlns:a16="http://schemas.microsoft.com/office/drawing/2014/main" id="{923F272A-0891-4B82-B947-A9DE15833B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20200"/>
          <a:ext cx="7772400" cy="3607224"/>
        </a:xfrm>
        <a:prstGeom prst="rect">
          <a:avLst/>
        </a:prstGeom>
      </xdr:spPr>
    </xdr:pic>
    <xdr:clientData/>
  </xdr:twoCellAnchor>
  <xdr:twoCellAnchor editAs="oneCell">
    <xdr:from>
      <xdr:col>0</xdr:col>
      <xdr:colOff>38100</xdr:colOff>
      <xdr:row>72</xdr:row>
      <xdr:rowOff>57150</xdr:rowOff>
    </xdr:from>
    <xdr:to>
      <xdr:col>4</xdr:col>
      <xdr:colOff>171450</xdr:colOff>
      <xdr:row>98</xdr:row>
      <xdr:rowOff>72181</xdr:rowOff>
    </xdr:to>
    <xdr:pic>
      <xdr:nvPicPr>
        <xdr:cNvPr id="7" name="图片 6">
          <a:extLst>
            <a:ext uri="{FF2B5EF4-FFF2-40B4-BE49-F238E27FC236}">
              <a16:creationId xmlns:a16="http://schemas.microsoft.com/office/drawing/2014/main" id="{7C899D09-4616-4A55-91A0-0DD96BDDF9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3392150"/>
          <a:ext cx="7772400" cy="4472731"/>
        </a:xfrm>
        <a:prstGeom prst="rect">
          <a:avLst/>
        </a:prstGeom>
      </xdr:spPr>
    </xdr:pic>
    <xdr:clientData/>
  </xdr:twoCellAnchor>
  <xdr:twoCellAnchor editAs="oneCell">
    <xdr:from>
      <xdr:col>0</xdr:col>
      <xdr:colOff>0</xdr:colOff>
      <xdr:row>99</xdr:row>
      <xdr:rowOff>0</xdr:rowOff>
    </xdr:from>
    <xdr:to>
      <xdr:col>4</xdr:col>
      <xdr:colOff>133350</xdr:colOff>
      <xdr:row>129</xdr:row>
      <xdr:rowOff>38100</xdr:rowOff>
    </xdr:to>
    <xdr:pic>
      <xdr:nvPicPr>
        <xdr:cNvPr id="9" name="图片 8">
          <a:extLst>
            <a:ext uri="{FF2B5EF4-FFF2-40B4-BE49-F238E27FC236}">
              <a16:creationId xmlns:a16="http://schemas.microsoft.com/office/drawing/2014/main" id="{EB3CA5F0-D1AF-42A5-B366-8683C48A8B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64150"/>
          <a:ext cx="7772400" cy="5181600"/>
        </a:xfrm>
        <a:prstGeom prst="rect">
          <a:avLst/>
        </a:prstGeom>
      </xdr:spPr>
    </xdr:pic>
    <xdr:clientData/>
  </xdr:twoCellAnchor>
  <xdr:twoCellAnchor editAs="oneCell">
    <xdr:from>
      <xdr:col>0</xdr:col>
      <xdr:colOff>0</xdr:colOff>
      <xdr:row>131</xdr:row>
      <xdr:rowOff>0</xdr:rowOff>
    </xdr:from>
    <xdr:to>
      <xdr:col>4</xdr:col>
      <xdr:colOff>133350</xdr:colOff>
      <xdr:row>161</xdr:row>
      <xdr:rowOff>75539</xdr:rowOff>
    </xdr:to>
    <xdr:pic>
      <xdr:nvPicPr>
        <xdr:cNvPr id="11" name="图片 10">
          <a:extLst>
            <a:ext uri="{FF2B5EF4-FFF2-40B4-BE49-F238E27FC236}">
              <a16:creationId xmlns:a16="http://schemas.microsoft.com/office/drawing/2014/main" id="{D6E08CD6-595F-49F0-AC76-68BB00810A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450550"/>
          <a:ext cx="7772400" cy="5219039"/>
        </a:xfrm>
        <a:prstGeom prst="rect">
          <a:avLst/>
        </a:prstGeom>
      </xdr:spPr>
    </xdr:pic>
    <xdr:clientData/>
  </xdr:twoCellAnchor>
  <xdr:twoCellAnchor editAs="oneCell">
    <xdr:from>
      <xdr:col>0</xdr:col>
      <xdr:colOff>0</xdr:colOff>
      <xdr:row>162</xdr:row>
      <xdr:rowOff>0</xdr:rowOff>
    </xdr:from>
    <xdr:to>
      <xdr:col>4</xdr:col>
      <xdr:colOff>133350</xdr:colOff>
      <xdr:row>185</xdr:row>
      <xdr:rowOff>139785</xdr:rowOff>
    </xdr:to>
    <xdr:pic>
      <xdr:nvPicPr>
        <xdr:cNvPr id="13" name="图片 12">
          <a:extLst>
            <a:ext uri="{FF2B5EF4-FFF2-40B4-BE49-F238E27FC236}">
              <a16:creationId xmlns:a16="http://schemas.microsoft.com/office/drawing/2014/main" id="{31E4D7B3-5BD5-4274-A313-7812038EED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765500"/>
          <a:ext cx="7772400" cy="4083135"/>
        </a:xfrm>
        <a:prstGeom prst="rect">
          <a:avLst/>
        </a:prstGeom>
      </xdr:spPr>
    </xdr:pic>
    <xdr:clientData/>
  </xdr:twoCellAnchor>
  <xdr:twoCellAnchor editAs="oneCell">
    <xdr:from>
      <xdr:col>5</xdr:col>
      <xdr:colOff>0</xdr:colOff>
      <xdr:row>20</xdr:row>
      <xdr:rowOff>0</xdr:rowOff>
    </xdr:from>
    <xdr:to>
      <xdr:col>12</xdr:col>
      <xdr:colOff>152400</xdr:colOff>
      <xdr:row>52</xdr:row>
      <xdr:rowOff>99438</xdr:rowOff>
    </xdr:to>
    <xdr:pic>
      <xdr:nvPicPr>
        <xdr:cNvPr id="4" name="图片 3">
          <a:extLst>
            <a:ext uri="{FF2B5EF4-FFF2-40B4-BE49-F238E27FC236}">
              <a16:creationId xmlns:a16="http://schemas.microsoft.com/office/drawing/2014/main" id="{B363B376-1FEE-497A-9AD3-AC78536AC3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96325" y="4419600"/>
          <a:ext cx="7772400" cy="55858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133985</xdr:colOff>
      <xdr:row>17</xdr:row>
      <xdr:rowOff>114300</xdr:rowOff>
    </xdr:from>
    <xdr:to>
      <xdr:col>15</xdr:col>
      <xdr:colOff>610235</xdr:colOff>
      <xdr:row>49</xdr:row>
      <xdr:rowOff>38100</xdr:rowOff>
    </xdr:to>
    <xdr:pic>
      <xdr:nvPicPr>
        <xdr:cNvPr id="2" name="图片 1">
          <a:extLst>
            <a:ext uri="{FF2B5EF4-FFF2-40B4-BE49-F238E27FC236}">
              <a16:creationId xmlns:a16="http://schemas.microsoft.com/office/drawing/2014/main" id="{69DC5FBF-5E38-477D-A6EA-AD2CADCA1CE2}"/>
            </a:ext>
          </a:extLst>
        </xdr:cNvPr>
        <xdr:cNvPicPr>
          <a:picLocks noChangeAspect="1"/>
        </xdr:cNvPicPr>
      </xdr:nvPicPr>
      <xdr:blipFill>
        <a:blip xmlns:r="http://schemas.openxmlformats.org/officeDocument/2006/relationships" r:embed="rId1"/>
        <a:stretch>
          <a:fillRect/>
        </a:stretch>
      </xdr:blipFill>
      <xdr:spPr>
        <a:xfrm>
          <a:off x="133985" y="3190875"/>
          <a:ext cx="11106150" cy="5715000"/>
        </a:xfrm>
        <a:prstGeom prst="rect">
          <a:avLst/>
        </a:prstGeom>
        <a:noFill/>
        <a:ln w="9525">
          <a:noFill/>
        </a:ln>
      </xdr:spPr>
    </xdr:pic>
    <xdr:clientData/>
  </xdr:twoCellAnchor>
  <xdr:twoCellAnchor editAs="oneCell">
    <xdr:from>
      <xdr:col>0</xdr:col>
      <xdr:colOff>77470</xdr:colOff>
      <xdr:row>49</xdr:row>
      <xdr:rowOff>152400</xdr:rowOff>
    </xdr:from>
    <xdr:to>
      <xdr:col>15</xdr:col>
      <xdr:colOff>582295</xdr:colOff>
      <xdr:row>81</xdr:row>
      <xdr:rowOff>114300</xdr:rowOff>
    </xdr:to>
    <xdr:pic>
      <xdr:nvPicPr>
        <xdr:cNvPr id="3" name="图片 2">
          <a:extLst>
            <a:ext uri="{FF2B5EF4-FFF2-40B4-BE49-F238E27FC236}">
              <a16:creationId xmlns:a16="http://schemas.microsoft.com/office/drawing/2014/main" id="{4FA003D9-B3B8-48FE-94C7-0B87968FFF09}"/>
            </a:ext>
          </a:extLst>
        </xdr:cNvPr>
        <xdr:cNvPicPr>
          <a:picLocks noChangeAspect="1"/>
        </xdr:cNvPicPr>
      </xdr:nvPicPr>
      <xdr:blipFill>
        <a:blip xmlns:r="http://schemas.openxmlformats.org/officeDocument/2006/relationships" r:embed="rId2"/>
        <a:stretch>
          <a:fillRect/>
        </a:stretch>
      </xdr:blipFill>
      <xdr:spPr>
        <a:xfrm>
          <a:off x="77470" y="9020175"/>
          <a:ext cx="11134725" cy="5753100"/>
        </a:xfrm>
        <a:prstGeom prst="rect">
          <a:avLst/>
        </a:prstGeom>
        <a:noFill/>
        <a:ln w="9525">
          <a:noFill/>
        </a:ln>
      </xdr:spPr>
    </xdr:pic>
    <xdr:clientData/>
  </xdr:twoCellAnchor>
  <xdr:twoCellAnchor editAs="oneCell">
    <xdr:from>
      <xdr:col>0</xdr:col>
      <xdr:colOff>0</xdr:colOff>
      <xdr:row>83</xdr:row>
      <xdr:rowOff>0</xdr:rowOff>
    </xdr:from>
    <xdr:to>
      <xdr:col>9</xdr:col>
      <xdr:colOff>542043</xdr:colOff>
      <xdr:row>111</xdr:row>
      <xdr:rowOff>85081</xdr:rowOff>
    </xdr:to>
    <xdr:pic>
      <xdr:nvPicPr>
        <xdr:cNvPr id="4" name="图片 3">
          <a:extLst>
            <a:ext uri="{FF2B5EF4-FFF2-40B4-BE49-F238E27FC236}">
              <a16:creationId xmlns:a16="http://schemas.microsoft.com/office/drawing/2014/main" id="{EB5930A2-0136-4B1D-BA00-737E3D171AE5}"/>
            </a:ext>
          </a:extLst>
        </xdr:cNvPr>
        <xdr:cNvPicPr>
          <a:picLocks noChangeAspect="1"/>
        </xdr:cNvPicPr>
      </xdr:nvPicPr>
      <xdr:blipFill>
        <a:blip xmlns:r="http://schemas.openxmlformats.org/officeDocument/2006/relationships" r:embed="rId3"/>
        <a:stretch>
          <a:fillRect/>
        </a:stretch>
      </xdr:blipFill>
      <xdr:spPr>
        <a:xfrm>
          <a:off x="0" y="15020925"/>
          <a:ext cx="7057143"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39640;&#20029;&#33829;\2020&#24180;&#21442;&#32771;\03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4180;&#27979;&#31639;0321&#22312;&#24314;&#33539;&#22260;&#26032;&#24037;&#31243;&#36827;&#24230;&#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4180;&#27979;&#31639;0321&#22312;&#24314;&#260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36229;&#23731;/2021&#24180;/2021-1-0487&#39640;&#20029;&#33829;/P01DYGJ2/&#32467;&#26524;9.18/21&#24180;&#27979;&#31639;0331&#27915;&#25151;&#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规证"/>
      <sheetName val="合院测绘"/>
      <sheetName val="合院清单"/>
      <sheetName val="洋房测绘"/>
      <sheetName val="洋房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自持住宅）"/>
      <sheetName val="收益法（商业）"/>
      <sheetName val="收益法 (元)"/>
      <sheetName val="比较法-车位"/>
      <sheetName val="收益法（车库）"/>
      <sheetName val="车库案例"/>
      <sheetName val="收益法（仓储）"/>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0">
          <cell r="C110">
            <v>8835.02</v>
          </cell>
        </row>
      </sheetData>
      <sheetData sheetId="14" refreshError="1"/>
      <sheetData sheetId="15" refreshError="1"/>
      <sheetData sheetId="16" refreshError="1">
        <row r="85">
          <cell r="N85">
            <v>9685.0600000000013</v>
          </cell>
        </row>
        <row r="93">
          <cell r="N93">
            <v>8755.9699999999993</v>
          </cell>
        </row>
        <row r="97">
          <cell r="N97">
            <v>7769.9500000000007</v>
          </cell>
        </row>
        <row r="101">
          <cell r="N101">
            <v>6077.8399999999992</v>
          </cell>
        </row>
        <row r="107">
          <cell r="N107">
            <v>5381.22</v>
          </cell>
        </row>
        <row r="113">
          <cell r="N113">
            <v>5381.2100000000009</v>
          </cell>
        </row>
        <row r="119">
          <cell r="N119">
            <v>5381.1000000000013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规证及工程进度"/>
      <sheetName val="洋房清单"/>
      <sheetName val="报告用"/>
      <sheetName val="估价对象房地状况"/>
      <sheetName val="系统读取表"/>
      <sheetName val="结果表"/>
      <sheetName val="成本法"/>
      <sheetName val="成本法 (元)"/>
      <sheetName val="收益法 (元)"/>
      <sheetName val="收益法（汇总）"/>
      <sheetName val="酒店收入计算"/>
      <sheetName val="土地比较法-住宅、综合"/>
      <sheetName val="土地案例"/>
      <sheetName val="假设开发法"/>
      <sheetName val="比较法-住宅"/>
      <sheetName val="比较法-住宅 (精装洋房)"/>
      <sheetName val="住宅案例"/>
      <sheetName val="比较法-商业"/>
      <sheetName val="比较法-办公"/>
      <sheetName val="比较法-工业"/>
      <sheetName val="结果表 (地下仓储)"/>
      <sheetName val="成本法 (地下仓储)"/>
      <sheetName val="比较法-仓储"/>
      <sheetName val="结果表 (车位)"/>
      <sheetName val="成本法 (车位)"/>
      <sheetName val="比较法-车位"/>
      <sheetName val="车库案例"/>
      <sheetName val="收益法"/>
      <sheetName val="收益法（地下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137478.11000000004</v>
          </cell>
          <cell r="C14">
            <v>43609.13</v>
          </cell>
          <cell r="D14">
            <v>321742</v>
          </cell>
        </row>
      </sheetData>
      <sheetData sheetId="21">
        <row r="118">
          <cell r="F118">
            <v>41285</v>
          </cell>
          <cell r="G118">
            <v>3003</v>
          </cell>
          <cell r="H118">
            <v>321742</v>
          </cell>
          <cell r="I118">
            <v>23403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规证及工程进度"/>
      <sheetName val="洋房清单"/>
      <sheetName val="估价对象房地状况"/>
      <sheetName val="系统读取表"/>
      <sheetName val="结果表"/>
      <sheetName val="成本法"/>
      <sheetName val="成本法 (元)"/>
      <sheetName val="收益法 (元)"/>
      <sheetName val="收益法（汇总）"/>
      <sheetName val="酒店收入计算"/>
      <sheetName val="土地比较法-住宅、综合"/>
      <sheetName val="土地案例"/>
      <sheetName val="假设开发法"/>
      <sheetName val="比较法-住宅"/>
      <sheetName val="比较法-住宅 (精装洋房)"/>
      <sheetName val="住宅案例"/>
      <sheetName val="比较法-商业"/>
      <sheetName val="比较法-办公"/>
      <sheetName val="比较法-工业"/>
      <sheetName val="结果表 (地下仓储)"/>
      <sheetName val="成本法 (地下仓储)"/>
      <sheetName val="比较法-仓储"/>
      <sheetName val="结果表 (车位)"/>
      <sheetName val="成本法 (车位)"/>
      <sheetName val="比较法-车位"/>
      <sheetName val="车库案例"/>
      <sheetName val="收益法"/>
      <sheetName val="收益法（地下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6">
          <cell r="T16">
            <v>1065.73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规证"/>
      <sheetName val="面积清单"/>
      <sheetName val="面积清单整理"/>
      <sheetName val="洋房"/>
      <sheetName val="洋房预测（明细过程）"/>
      <sheetName val="洋房清单明细（实测未盖章过程）"/>
      <sheetName val="数据-取费表"/>
      <sheetName val="估价对象房地状况"/>
      <sheetName val="系统读取表"/>
      <sheetName val="结果表"/>
      <sheetName val="成本法"/>
      <sheetName val="成本法 (元)"/>
      <sheetName val="假设开发法"/>
      <sheetName val="收益法（自持）"/>
      <sheetName val="收益法"/>
      <sheetName val="收益法 (商业)"/>
      <sheetName val="收益法 (元)"/>
      <sheetName val="收益法（汇总）"/>
      <sheetName val="酒店收入计算"/>
      <sheetName val="土地比较法-住宅、综合"/>
      <sheetName val="土地案例"/>
      <sheetName val="比较法-住宅"/>
      <sheetName val="住宅案例"/>
      <sheetName val="比较法-商业"/>
      <sheetName val="比较法-办公"/>
      <sheetName val="比较法-工业"/>
      <sheetName val="结果表 (地下仓储)"/>
      <sheetName val="成本法 (地下仓储)"/>
      <sheetName val="比较法-仓储"/>
      <sheetName val="结果表 (车位)"/>
      <sheetName val="成本法 (车位)"/>
      <sheetName val="比较法-车位"/>
      <sheetName val="车库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0">
          <cell r="R110">
            <v>868.66000000000076</v>
          </cell>
        </row>
      </sheetData>
      <sheetData sheetId="15"/>
      <sheetData sheetId="16"/>
      <sheetData sheetId="17">
        <row r="17">
          <cell r="G17">
            <v>190.69</v>
          </cell>
        </row>
        <row r="18">
          <cell r="G18">
            <v>115.38</v>
          </cell>
        </row>
      </sheetData>
      <sheetData sheetId="18"/>
      <sheetData sheetId="19"/>
      <sheetData sheetId="20"/>
      <sheetData sheetId="21"/>
      <sheetData sheetId="22">
        <row r="14">
          <cell r="B14">
            <v>40264.89</v>
          </cell>
        </row>
      </sheetData>
      <sheetData sheetId="23">
        <row r="118">
          <cell r="B118">
            <v>40264.89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北京市0331地块部分现房房地产抵押价值预评估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受贵公司委托，我公司对北京市0331地块部分现房房地产抵押价值进行了预评估。</v>
      </c>
    </row>
    <row r="7" spans="1:2" s="1363" customFormat="1">
      <c r="A7" s="1361" t="s">
        <v>1231</v>
      </c>
      <c r="B7" s="1362" t="str">
        <f>'预评函-1'!A7</f>
        <v>估价对象为北京市0331地块部分现房房地产，为所有。根据，估价对象（分摊）出让国有建设用地使用权面积为23188.07平方米，建筑面积为46306.38平方米。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估价对象为北京市0331地块部分现房房地产,属开发建设的，该项目尚在开发建设中。根据，估价对象（分摊）出让国有建设用地使用权面积为23188.07平方米，规划建筑面积为46306.38平方米。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0331地块部分现房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2021年10月26日（评估专业人员实地查勘之日）</v>
      </c>
    </row>
    <row r="13" spans="1:2" s="1363" customFormat="1">
      <c r="A13" s="1361" t="s">
        <v>1194</v>
      </c>
      <c r="B13" s="1362" t="str">
        <f>'预评函-1'!A18</f>
        <v>本次估价的“房地产价值”是指在正常市场情况下，在价值时点2021年10月26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本次评估采用的主估价方法为成本法和比较法。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85331</v>
      </c>
    </row>
    <row r="21" spans="1:2" s="1363" customFormat="1">
      <c r="A21" s="1361" t="s">
        <v>1202</v>
      </c>
      <c r="B21" s="1362">
        <f ca="1">'预评函-2'!D7</f>
        <v>54321</v>
      </c>
    </row>
    <row r="22" spans="1:2" s="1363" customFormat="1">
      <c r="A22" s="1361" t="s">
        <v>1203</v>
      </c>
      <c r="B22" s="1362" t="str">
        <f ca="1">'预评函-2'!D6</f>
        <v>捌亿伍仟叁佰叁拾壹万元整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85331</v>
      </c>
    </row>
    <row r="31" spans="1:2" s="1363" customFormat="1">
      <c r="A31" s="1361" t="s">
        <v>1241</v>
      </c>
      <c r="B31" s="1362">
        <f ca="1">'预评函-2'!D15</f>
        <v>18427</v>
      </c>
    </row>
    <row r="32" spans="1:2" s="1363" customFormat="1">
      <c r="A32" s="1361" t="s">
        <v>1208</v>
      </c>
      <c r="B32" s="1362" t="str">
        <f ca="1">'预评函-2'!D14</f>
        <v>捌亿伍仟叁佰叁拾壹万元整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北京市0331地块部分现房房地产</v>
      </c>
    </row>
    <row r="42" spans="1:2" s="1363" customFormat="1">
      <c r="A42" s="1361" t="s">
        <v>1255</v>
      </c>
      <c r="B42" s="1362" t="str">
        <f>'预评函-3'!B2</f>
        <v>建筑面积</v>
      </c>
    </row>
    <row r="43" spans="1:2" s="1363" customFormat="1">
      <c r="A43" s="1361" t="s">
        <v>1256</v>
      </c>
      <c r="B43" s="1362">
        <f>'预评函-3'!B4</f>
        <v>46306.38</v>
      </c>
    </row>
    <row r="44" spans="1:2" s="1363" customFormat="1">
      <c r="A44" s="1361" t="s">
        <v>1240</v>
      </c>
      <c r="B44" s="1362" t="str">
        <f>'预评函-3'!C2</f>
        <v>(分摊)土地面积</v>
      </c>
    </row>
    <row r="45" spans="1:2" s="1363" customFormat="1">
      <c r="A45" s="1361" t="s">
        <v>1212</v>
      </c>
      <c r="B45" s="1362">
        <f>'预评函-3'!C4</f>
        <v>23188.07</v>
      </c>
    </row>
    <row r="46" spans="1:2" s="1363" customFormat="1">
      <c r="A46" s="1361" t="s">
        <v>1238</v>
      </c>
      <c r="B46" s="1362" t="str">
        <f>'预评函-3'!D2</f>
        <v>出让国有建设用地使用权价值</v>
      </c>
    </row>
    <row r="47" spans="1:2" s="1363" customFormat="1">
      <c r="A47" s="1361" t="s">
        <v>1213</v>
      </c>
      <c r="B47" s="1362">
        <f ca="1">'预评函-3'!D4</f>
        <v>78334</v>
      </c>
    </row>
    <row r="48" spans="1:2" s="1363" customFormat="1">
      <c r="A48" s="1361" t="s">
        <v>1214</v>
      </c>
      <c r="B48" s="1362">
        <f ca="1">'预评函-3'!E4</f>
        <v>49867</v>
      </c>
    </row>
    <row r="49" spans="1:2" s="1363" customFormat="1">
      <c r="A49" s="1361" t="s">
        <v>1215</v>
      </c>
      <c r="B49" s="1362" t="str">
        <f ca="1">'预评函-3'!D5</f>
        <v>柒亿捌仟叁佰叁拾肆万元整</v>
      </c>
    </row>
    <row r="50" spans="1:2" s="1363" customFormat="1">
      <c r="A50" s="1361" t="s">
        <v>1239</v>
      </c>
      <c r="B50" s="1362" t="str">
        <f>'预评函-3'!F2</f>
        <v>在建建筑物价值</v>
      </c>
    </row>
    <row r="51" spans="1:2" s="1363" customFormat="1">
      <c r="A51" s="1361" t="s">
        <v>1216</v>
      </c>
      <c r="B51" s="1362">
        <f ca="1">'预评函-3'!F4</f>
        <v>6997</v>
      </c>
    </row>
    <row r="52" spans="1:2" s="1363" customFormat="1">
      <c r="A52" s="1361" t="s">
        <v>1217</v>
      </c>
      <c r="B52" s="1362">
        <f ca="1">'预评函-3'!G4</f>
        <v>4454</v>
      </c>
    </row>
    <row r="53" spans="1:2" s="1363" customFormat="1">
      <c r="A53" s="1361" t="s">
        <v>1245</v>
      </c>
      <c r="B53" s="1362" t="str">
        <f ca="1">'预评函-3'!F5</f>
        <v>陆仟玖佰玖拾柒万元整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27"/>
  <sheetViews>
    <sheetView workbookViewId="0">
      <selection activeCell="B27" sqref="B2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32" t="s">
        <v>4205</v>
      </c>
      <c r="C2" s="1730" t="s">
        <v>760</v>
      </c>
      <c r="D2" s="1731" t="s">
        <v>1672</v>
      </c>
      <c r="E2" s="1731" t="s">
        <v>1673</v>
      </c>
      <c r="F2" s="1731" t="s">
        <v>1674</v>
      </c>
      <c r="G2" s="1731">
        <v>40</v>
      </c>
      <c r="H2" s="1731" t="s">
        <v>1674</v>
      </c>
      <c r="I2" s="1731" t="s">
        <v>1675</v>
      </c>
      <c r="J2" s="1731" t="s">
        <v>1676</v>
      </c>
      <c r="K2" s="1731" t="s">
        <v>1677</v>
      </c>
      <c r="L2" s="1731" t="s">
        <v>1677</v>
      </c>
      <c r="M2" s="1731" t="s">
        <v>1677</v>
      </c>
      <c r="N2" s="1731" t="s">
        <v>1677</v>
      </c>
      <c r="O2" s="1731" t="s">
        <v>1677</v>
      </c>
      <c r="P2" s="1731" t="s">
        <v>1677</v>
      </c>
      <c r="Q2" s="1731" t="s">
        <v>1677</v>
      </c>
      <c r="R2" s="1731" t="s">
        <v>1108</v>
      </c>
      <c r="S2" s="1731" t="s">
        <v>1677</v>
      </c>
      <c r="T2" s="1731" t="s">
        <v>1678</v>
      </c>
      <c r="U2" s="1731" t="s">
        <v>1677</v>
      </c>
      <c r="V2" s="1731" t="s">
        <v>1679</v>
      </c>
      <c r="W2" s="1731" t="s">
        <v>1677</v>
      </c>
    </row>
    <row r="3" spans="1:23">
      <c r="A3" s="1729" t="s">
        <v>1680</v>
      </c>
      <c r="B3" s="1732" t="s">
        <v>1113</v>
      </c>
      <c r="C3" s="1733" t="s">
        <v>761</v>
      </c>
      <c r="D3" s="1731" t="s">
        <v>1681</v>
      </c>
      <c r="E3" s="1731" t="s">
        <v>16</v>
      </c>
      <c r="F3" s="1731" t="s">
        <v>1682</v>
      </c>
      <c r="G3" s="1731">
        <v>50</v>
      </c>
      <c r="H3" s="1731" t="s">
        <v>1682</v>
      </c>
      <c r="I3" s="1731" t="s">
        <v>1683</v>
      </c>
      <c r="J3" s="1731" t="s">
        <v>1684</v>
      </c>
      <c r="K3" s="1731" t="s">
        <v>1685</v>
      </c>
      <c r="L3" s="1731" t="s">
        <v>1685</v>
      </c>
      <c r="M3" s="1731" t="s">
        <v>1685</v>
      </c>
      <c r="N3" s="1731" t="s">
        <v>1685</v>
      </c>
      <c r="O3" s="1731" t="s">
        <v>1685</v>
      </c>
      <c r="P3" s="1731" t="s">
        <v>1685</v>
      </c>
      <c r="Q3" s="1731" t="s">
        <v>1685</v>
      </c>
      <c r="R3" s="1731" t="s">
        <v>1107</v>
      </c>
      <c r="S3" s="1731" t="s">
        <v>1685</v>
      </c>
      <c r="T3" s="1731" t="s">
        <v>1686</v>
      </c>
      <c r="U3" s="1731" t="s">
        <v>1685</v>
      </c>
      <c r="V3" s="1731" t="s">
        <v>1687</v>
      </c>
      <c r="W3" s="1731" t="s">
        <v>1685</v>
      </c>
    </row>
    <row r="4" spans="1:23">
      <c r="A4" s="1729" t="s">
        <v>1688</v>
      </c>
      <c r="B4" s="1729" t="s">
        <v>1689</v>
      </c>
      <c r="C4" s="1730" t="s">
        <v>762</v>
      </c>
      <c r="D4" s="1731" t="s">
        <v>836</v>
      </c>
      <c r="E4" s="1731" t="s">
        <v>1690</v>
      </c>
      <c r="F4" s="1731" t="s">
        <v>1691</v>
      </c>
      <c r="G4" s="1731">
        <v>70</v>
      </c>
      <c r="H4" s="1731" t="s">
        <v>1691</v>
      </c>
      <c r="I4" s="1731" t="s">
        <v>1692</v>
      </c>
      <c r="K4" s="1731" t="s">
        <v>1693</v>
      </c>
      <c r="L4" s="1731" t="s">
        <v>1693</v>
      </c>
      <c r="M4" s="1731" t="s">
        <v>1693</v>
      </c>
      <c r="N4" s="1731" t="s">
        <v>1693</v>
      </c>
      <c r="O4" s="1731" t="s">
        <v>1693</v>
      </c>
      <c r="P4" s="1731" t="s">
        <v>1693</v>
      </c>
      <c r="Q4" s="1731" t="s">
        <v>1693</v>
      </c>
      <c r="R4" s="1731" t="s">
        <v>1109</v>
      </c>
      <c r="S4" s="1731" t="s">
        <v>1693</v>
      </c>
      <c r="T4" s="1731" t="s">
        <v>1694</v>
      </c>
      <c r="U4" s="1731" t="s">
        <v>1693</v>
      </c>
      <c r="W4" s="1731" t="s">
        <v>1693</v>
      </c>
    </row>
    <row r="5" spans="1:23">
      <c r="A5" s="1729" t="s">
        <v>1695</v>
      </c>
      <c r="B5" s="1729" t="s">
        <v>1696</v>
      </c>
      <c r="C5" s="1730" t="s">
        <v>763</v>
      </c>
      <c r="F5" s="1731" t="s">
        <v>1697</v>
      </c>
      <c r="H5" s="1731" t="s">
        <v>1698</v>
      </c>
      <c r="I5" s="1731" t="s">
        <v>1699</v>
      </c>
      <c r="K5" s="1731" t="s">
        <v>1700</v>
      </c>
      <c r="L5" s="1731" t="s">
        <v>1700</v>
      </c>
      <c r="M5" s="1731" t="s">
        <v>1700</v>
      </c>
      <c r="N5" s="1731" t="s">
        <v>1700</v>
      </c>
      <c r="O5" s="1731" t="s">
        <v>1700</v>
      </c>
      <c r="P5" s="1731" t="s">
        <v>1700</v>
      </c>
      <c r="Q5" s="1731" t="s">
        <v>1700</v>
      </c>
      <c r="R5" s="1731" t="s">
        <v>1110</v>
      </c>
      <c r="S5" s="1731" t="s">
        <v>1700</v>
      </c>
      <c r="T5" s="1731" t="s">
        <v>1701</v>
      </c>
      <c r="U5" s="1731" t="s">
        <v>1700</v>
      </c>
      <c r="W5" s="1731" t="s">
        <v>1700</v>
      </c>
    </row>
    <row r="6" spans="1:23">
      <c r="A6" s="1729" t="s">
        <v>1702</v>
      </c>
      <c r="B6" s="1732" t="s">
        <v>1114</v>
      </c>
      <c r="C6" s="1735" t="s">
        <v>30</v>
      </c>
      <c r="F6" s="1731" t="s">
        <v>1698</v>
      </c>
      <c r="H6" s="1731" t="s">
        <v>1703</v>
      </c>
      <c r="I6" s="1731" t="s">
        <v>1704</v>
      </c>
      <c r="K6" s="1731" t="s">
        <v>1705</v>
      </c>
      <c r="L6" s="1731" t="s">
        <v>1705</v>
      </c>
      <c r="M6" s="1731" t="s">
        <v>1705</v>
      </c>
      <c r="N6" s="1731" t="s">
        <v>1705</v>
      </c>
      <c r="O6" s="1731" t="s">
        <v>1705</v>
      </c>
      <c r="P6" s="1731" t="s">
        <v>1705</v>
      </c>
      <c r="Q6" s="1731" t="s">
        <v>1705</v>
      </c>
      <c r="R6" s="1731" t="s">
        <v>1111</v>
      </c>
      <c r="S6" s="1731" t="s">
        <v>1705</v>
      </c>
      <c r="T6" s="1731"/>
      <c r="U6" s="1731" t="s">
        <v>1705</v>
      </c>
      <c r="W6" s="1731" t="s">
        <v>1705</v>
      </c>
    </row>
    <row r="7" spans="1:23">
      <c r="A7" s="1729" t="s">
        <v>1706</v>
      </c>
      <c r="B7" s="1732" t="s">
        <v>1115</v>
      </c>
      <c r="C7" s="1730" t="s">
        <v>31</v>
      </c>
      <c r="F7" s="1731" t="s">
        <v>1707</v>
      </c>
      <c r="H7" s="1731" t="s">
        <v>1708</v>
      </c>
      <c r="I7" s="1731" t="s">
        <v>1709</v>
      </c>
    </row>
    <row r="8" spans="1:23">
      <c r="A8" s="1729" t="s">
        <v>1710</v>
      </c>
      <c r="B8" s="1729" t="s">
        <v>1711</v>
      </c>
      <c r="C8" s="1730" t="s">
        <v>764</v>
      </c>
      <c r="F8" s="1731" t="s">
        <v>1712</v>
      </c>
      <c r="H8" s="1731"/>
      <c r="I8" s="1731" t="s">
        <v>1713</v>
      </c>
    </row>
    <row r="9" spans="1:23">
      <c r="A9" s="1729" t="s">
        <v>1714</v>
      </c>
      <c r="B9" s="1729" t="s">
        <v>1715</v>
      </c>
      <c r="C9" s="1730" t="s">
        <v>765</v>
      </c>
      <c r="F9" s="1731" t="s">
        <v>1716</v>
      </c>
      <c r="H9" s="1731"/>
    </row>
    <row r="10" spans="1:23">
      <c r="A10" s="1729" t="s">
        <v>1717</v>
      </c>
      <c r="B10" s="1729" t="s">
        <v>1718</v>
      </c>
      <c r="C10" s="1730" t="s">
        <v>766</v>
      </c>
      <c r="F10" s="1731" t="s">
        <v>16</v>
      </c>
    </row>
    <row r="11" spans="1:23">
      <c r="A11" s="1729" t="s">
        <v>1719</v>
      </c>
      <c r="B11" s="1729" t="s">
        <v>1720</v>
      </c>
      <c r="C11" s="1730" t="s">
        <v>767</v>
      </c>
    </row>
    <row r="12" spans="1:23">
      <c r="A12" s="1729" t="s">
        <v>1721</v>
      </c>
      <c r="B12" s="1729" t="s">
        <v>1722</v>
      </c>
      <c r="C12" s="1730" t="s">
        <v>768</v>
      </c>
    </row>
    <row r="13" spans="1:23">
      <c r="A13" s="1729" t="s">
        <v>1723</v>
      </c>
      <c r="B13" s="1729" t="s">
        <v>1724</v>
      </c>
      <c r="C13" s="1730" t="s">
        <v>769</v>
      </c>
    </row>
    <row r="14" spans="1:23">
      <c r="A14" s="1729" t="s">
        <v>1725</v>
      </c>
      <c r="B14" s="1729" t="s">
        <v>1726</v>
      </c>
      <c r="C14" s="1731" t="s">
        <v>16</v>
      </c>
    </row>
    <row r="15" spans="1:23">
      <c r="A15" s="1729" t="s">
        <v>1727</v>
      </c>
      <c r="B15" s="1729" t="s">
        <v>1728</v>
      </c>
      <c r="C15" s="1730"/>
    </row>
    <row r="16" spans="1:23">
      <c r="A16" s="1729" t="s">
        <v>1729</v>
      </c>
      <c r="B16" s="1729" t="s">
        <v>756</v>
      </c>
      <c r="C16" s="1730"/>
    </row>
    <row r="17" spans="1:3">
      <c r="A17" s="1729" t="s">
        <v>1730</v>
      </c>
      <c r="B17" s="1729" t="s">
        <v>3033</v>
      </c>
      <c r="C17" s="1730"/>
    </row>
    <row r="18" spans="1:3">
      <c r="A18" s="1729" t="s">
        <v>1731</v>
      </c>
      <c r="B18" s="1729" t="s">
        <v>757</v>
      </c>
      <c r="C18" s="1730"/>
    </row>
    <row r="19" spans="1:3">
      <c r="A19" s="1729" t="s">
        <v>1732</v>
      </c>
      <c r="B19" s="1729" t="s">
        <v>757</v>
      </c>
      <c r="C19" s="1730"/>
    </row>
    <row r="20" spans="1:3">
      <c r="A20" s="1729" t="s">
        <v>1733</v>
      </c>
      <c r="B20" s="1729" t="s">
        <v>4202</v>
      </c>
      <c r="C20" s="1730"/>
    </row>
    <row r="21" spans="1:3">
      <c r="A21" s="1729" t="s">
        <v>1734</v>
      </c>
      <c r="B21" s="1729" t="s">
        <v>4203</v>
      </c>
      <c r="C21" s="1730"/>
    </row>
    <row r="22" spans="1:3">
      <c r="A22" s="1729" t="s">
        <v>1735</v>
      </c>
      <c r="B22" s="1729" t="s">
        <v>4378</v>
      </c>
      <c r="C22" s="1730"/>
    </row>
    <row r="23" spans="1:3">
      <c r="A23" s="1729" t="s">
        <v>1736</v>
      </c>
      <c r="B23" s="1729" t="s">
        <v>4376</v>
      </c>
      <c r="C23" s="1730"/>
    </row>
    <row r="24" spans="1:3">
      <c r="A24" s="1729" t="s">
        <v>1737</v>
      </c>
      <c r="B24" s="1729" t="s">
        <v>757</v>
      </c>
      <c r="C24" s="1730"/>
    </row>
    <row r="25" spans="1:3">
      <c r="A25" s="1729" t="s">
        <v>1738</v>
      </c>
      <c r="B25" s="1729" t="s">
        <v>757</v>
      </c>
      <c r="C25" s="1730"/>
    </row>
    <row r="26" spans="1:3">
      <c r="A26" s="1729" t="s">
        <v>1739</v>
      </c>
      <c r="B26" s="1729" t="s">
        <v>757</v>
      </c>
      <c r="C26" s="1730"/>
    </row>
    <row r="27" spans="1:3">
      <c r="A27" s="1729" t="s">
        <v>757</v>
      </c>
      <c r="B27" s="1729" t="s">
        <v>757</v>
      </c>
      <c r="C27" s="1730"/>
    </row>
    <row r="28" spans="1:3">
      <c r="A28" s="1729" t="s">
        <v>4487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0331地块部分现房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279"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37" t="s">
        <v>832</v>
      </c>
      <c r="C54" s="1734" t="s">
        <v>1248</v>
      </c>
    </row>
    <row r="55" spans="1:4">
      <c r="A55" s="3279"/>
      <c r="B55" s="1737" t="s">
        <v>833</v>
      </c>
      <c r="C55" s="1734" t="s">
        <v>1249</v>
      </c>
    </row>
    <row r="56" spans="1:4">
      <c r="A56" s="3279"/>
      <c r="B56" s="1737" t="s">
        <v>834</v>
      </c>
      <c r="C56" s="1734" t="s">
        <v>1253</v>
      </c>
    </row>
    <row r="57" spans="1:4">
      <c r="A57" s="3279"/>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9" customWidth="1"/>
    <col min="12" max="13" width="10" style="2850"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2914</v>
      </c>
      <c r="B1" s="3280" t="str">
        <f>IF(B10="北京市","北京市",C10)&amp;F10&amp;IF(结果表!G1="在建","出让国有建设用地使用权及在建建筑物",IF(结果表!G1="土地","出让国有建设用地使用权",))&amp;B9&amp;"预评估"</f>
        <v>北京市0331地块部分现房房地产抵押价值预评估</v>
      </c>
      <c r="C1" s="3281"/>
      <c r="D1" s="3281"/>
      <c r="E1" s="3281"/>
      <c r="F1" s="3281"/>
      <c r="G1" s="3281"/>
      <c r="H1" s="3281"/>
      <c r="I1" s="3282"/>
      <c r="J1" s="2692"/>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北京市0331地块部分现房房地产抵押价值</v>
      </c>
      <c r="T1" s="1928"/>
      <c r="U1" s="1928"/>
      <c r="V1" s="1928"/>
      <c r="W1" s="1928"/>
      <c r="X1" s="1928"/>
      <c r="Y1" s="1928"/>
      <c r="Z1" s="1928"/>
      <c r="AA1" s="1928"/>
      <c r="AB1" s="1928"/>
    </row>
    <row r="2" spans="1:28">
      <c r="A2" s="2588" t="s">
        <v>2915</v>
      </c>
      <c r="B2" s="2592"/>
      <c r="C2" s="2593"/>
      <c r="D2" s="2892"/>
      <c r="E2" s="2883"/>
      <c r="F2" s="2883"/>
      <c r="G2" s="2884"/>
      <c r="H2" s="2884"/>
      <c r="I2" s="2884"/>
      <c r="J2" s="2692"/>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北京市0331地块部分现房房地产</v>
      </c>
      <c r="T2" s="1928"/>
      <c r="U2" s="1928"/>
      <c r="V2" s="1928"/>
      <c r="W2" s="1928"/>
      <c r="X2" s="1928"/>
      <c r="Y2" s="1928"/>
      <c r="Z2" s="1928"/>
      <c r="AA2" s="1928"/>
      <c r="AB2" s="1928"/>
    </row>
    <row r="3" spans="1:28">
      <c r="A3" s="307" t="s">
        <v>2916</v>
      </c>
      <c r="B3" s="2594">
        <v>44495</v>
      </c>
      <c r="C3" s="2595" t="s">
        <v>2917</v>
      </c>
      <c r="D3" s="2594">
        <f>B3</f>
        <v>44495</v>
      </c>
      <c r="E3" s="2884"/>
      <c r="F3" s="2884"/>
      <c r="G3" s="2884"/>
      <c r="H3" s="2884"/>
      <c r="I3" s="2884"/>
      <c r="J3" s="2692"/>
      <c r="K3" s="2589"/>
      <c r="L3" s="2590"/>
      <c r="M3" s="2590"/>
      <c r="N3" s="2591"/>
      <c r="O3" s="1759"/>
      <c r="P3" s="2591"/>
      <c r="Q3" s="2591"/>
      <c r="R3" s="2591"/>
      <c r="S3" s="1865"/>
      <c r="T3" s="1928"/>
      <c r="U3" s="1928"/>
      <c r="V3" s="1928"/>
      <c r="W3" s="1928"/>
      <c r="X3" s="1928"/>
      <c r="Y3" s="1928"/>
      <c r="Z3" s="1928"/>
      <c r="AA3" s="1928"/>
      <c r="AB3" s="1928"/>
    </row>
    <row r="4" spans="1:28" ht="13.5" thickBot="1">
      <c r="A4" s="1249" t="s">
        <v>2918</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9"/>
      <c r="P4" s="2591"/>
      <c r="Q4" s="2591"/>
      <c r="R4" s="2591"/>
      <c r="S4" s="1865"/>
      <c r="T4" s="1928"/>
      <c r="U4" s="1928"/>
      <c r="V4" s="1928"/>
      <c r="W4" s="1928"/>
      <c r="X4" s="1928"/>
      <c r="Y4" s="1928"/>
      <c r="Z4" s="1928"/>
      <c r="AA4" s="1928"/>
      <c r="AB4" s="1928"/>
    </row>
    <row r="5" spans="1:28" ht="13.5" thickTop="1">
      <c r="A5" s="2600" t="s">
        <v>2919</v>
      </c>
      <c r="B5" s="2601"/>
      <c r="C5" s="2602"/>
      <c r="D5" s="2603"/>
      <c r="E5" s="2885"/>
      <c r="F5" s="2885"/>
      <c r="G5" s="2885"/>
      <c r="H5" s="2885"/>
      <c r="I5" s="2885"/>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2920</v>
      </c>
      <c r="B6" s="2605"/>
      <c r="C6" s="2606"/>
      <c r="D6" s="2607"/>
      <c r="E6" s="2883"/>
      <c r="F6" s="2885"/>
      <c r="G6" s="2885"/>
      <c r="H6" s="2885"/>
      <c r="I6" s="2885"/>
      <c r="J6" s="2662"/>
      <c r="K6" s="2835" t="str">
        <f>IF(COUNTIF(B6,"*上海银行*"),"上海银行","")</f>
        <v/>
      </c>
      <c r="L6" s="2833"/>
      <c r="M6" s="2833"/>
      <c r="N6" s="2662"/>
      <c r="O6" s="2673"/>
      <c r="P6" s="2662"/>
      <c r="Q6" s="2662"/>
      <c r="R6" s="2662"/>
    </row>
    <row r="7" spans="1:28">
      <c r="A7" s="2604" t="s">
        <v>2921</v>
      </c>
      <c r="B7" s="2608"/>
      <c r="C7" s="2606"/>
      <c r="D7" s="2607"/>
      <c r="E7" s="2883"/>
      <c r="F7" s="2885"/>
      <c r="G7" s="2885"/>
      <c r="H7" s="2885"/>
      <c r="I7" s="2885"/>
      <c r="J7" s="2662"/>
      <c r="K7" s="2836"/>
      <c r="L7" s="2833"/>
      <c r="M7" s="2833"/>
      <c r="N7" s="2662"/>
      <c r="O7" s="2673"/>
      <c r="P7" s="2662"/>
      <c r="Q7" s="2662"/>
      <c r="R7" s="2662"/>
    </row>
    <row r="8" spans="1:28">
      <c r="A8" s="2609" t="s">
        <v>2922</v>
      </c>
      <c r="B8" s="2610" t="s">
        <v>4174</v>
      </c>
      <c r="C8" s="2611"/>
      <c r="D8" s="3283" t="s">
        <v>2923</v>
      </c>
      <c r="E8" s="2612" t="s">
        <v>4175</v>
      </c>
      <c r="F8" s="2613"/>
      <c r="G8" s="2884"/>
      <c r="H8" s="2884"/>
      <c r="I8" s="2884"/>
      <c r="J8" s="2662"/>
      <c r="K8" s="2834"/>
      <c r="L8" s="2833"/>
      <c r="M8" s="2833"/>
      <c r="N8" s="2662"/>
      <c r="O8" s="2673"/>
      <c r="P8" s="2662"/>
      <c r="Q8" s="2662"/>
      <c r="R8" s="2662"/>
    </row>
    <row r="9" spans="1:28" ht="13.5" thickBot="1">
      <c r="A9" s="2614" t="s">
        <v>2924</v>
      </c>
      <c r="B9" s="2615" t="s">
        <v>4175</v>
      </c>
      <c r="C9" s="2616"/>
      <c r="D9" s="3284"/>
      <c r="E9" s="2615" t="s">
        <v>70</v>
      </c>
      <c r="F9" s="2617"/>
      <c r="G9" s="2886"/>
      <c r="H9" s="2886"/>
      <c r="I9" s="2886"/>
      <c r="J9" s="2662"/>
      <c r="K9" s="2836"/>
      <c r="L9" s="2833"/>
      <c r="M9" s="2833"/>
      <c r="N9" s="2662"/>
      <c r="O9" s="2673"/>
      <c r="P9" s="2662"/>
      <c r="Q9" s="2662"/>
      <c r="R9" s="2662"/>
    </row>
    <row r="10" spans="1:28" ht="13.5" thickTop="1">
      <c r="A10" s="2618" t="s">
        <v>2925</v>
      </c>
      <c r="B10" s="2619" t="s">
        <v>4176</v>
      </c>
      <c r="C10" s="2620"/>
      <c r="D10" s="2603"/>
      <c r="E10" s="2621" t="s">
        <v>2926</v>
      </c>
      <c r="F10" s="3105" t="s">
        <v>4178</v>
      </c>
      <c r="G10" s="2887"/>
      <c r="H10" s="2888"/>
      <c r="I10" s="2889"/>
      <c r="J10" s="2662"/>
      <c r="K10" s="2836"/>
      <c r="L10" s="2833"/>
      <c r="M10" s="2833"/>
      <c r="N10" s="2662"/>
      <c r="O10" s="2673"/>
      <c r="P10" s="2662"/>
      <c r="Q10" s="2662"/>
      <c r="R10" s="2662"/>
    </row>
    <row r="11" spans="1:28">
      <c r="A11" s="2622" t="s">
        <v>2927</v>
      </c>
      <c r="B11" s="2623" t="s">
        <v>4177</v>
      </c>
      <c r="C11" s="2624"/>
      <c r="D11" s="2625"/>
      <c r="E11" s="2591"/>
      <c r="F11" s="2591"/>
      <c r="G11" s="2591"/>
      <c r="H11" s="2591"/>
      <c r="I11" s="2591"/>
      <c r="J11" s="2662"/>
      <c r="K11" s="2836"/>
      <c r="L11" s="2833"/>
      <c r="M11" s="2833"/>
      <c r="N11" s="2662"/>
      <c r="O11" s="2673"/>
      <c r="P11" s="2662"/>
      <c r="Q11" s="2662"/>
      <c r="R11" s="2662"/>
    </row>
    <row r="12" spans="1:28">
      <c r="A12" s="2626" t="s">
        <v>2928</v>
      </c>
      <c r="B12" s="2623" t="s">
        <v>4346</v>
      </c>
      <c r="C12" s="328" t="s">
        <v>2929</v>
      </c>
      <c r="D12" s="2627" t="s">
        <v>2930</v>
      </c>
      <c r="E12" s="2627" t="s">
        <v>2931</v>
      </c>
      <c r="F12" s="2627" t="s">
        <v>2932</v>
      </c>
      <c r="G12" s="2627" t="s">
        <v>2933</v>
      </c>
      <c r="H12" s="2627" t="s">
        <v>2934</v>
      </c>
      <c r="I12" s="2627" t="s">
        <v>2935</v>
      </c>
      <c r="J12" s="2662"/>
      <c r="K12" s="2836"/>
      <c r="L12" s="2833"/>
      <c r="M12" s="2833"/>
      <c r="N12" s="2662"/>
      <c r="O12" s="2673"/>
      <c r="P12" s="2662"/>
      <c r="Q12" s="2662"/>
      <c r="R12" s="2662"/>
    </row>
    <row r="13" spans="1:28">
      <c r="A13" s="1240"/>
      <c r="B13" s="2628"/>
      <c r="C13" s="2629" t="s">
        <v>2936</v>
      </c>
      <c r="D13" s="964">
        <v>68510</v>
      </c>
      <c r="E13" s="964"/>
      <c r="F13" s="964"/>
      <c r="G13" s="964">
        <v>61205</v>
      </c>
      <c r="H13" s="964">
        <v>61205</v>
      </c>
      <c r="I13" s="964"/>
      <c r="J13" s="2662"/>
      <c r="K13" s="2836"/>
      <c r="L13" s="2833"/>
      <c r="M13" s="2833"/>
      <c r="N13" s="2662"/>
      <c r="O13" s="2673"/>
      <c r="P13" s="2662"/>
      <c r="Q13" s="2662"/>
      <c r="R13" s="2662"/>
    </row>
    <row r="14" spans="1:28">
      <c r="A14" s="1240"/>
      <c r="B14" s="2628"/>
      <c r="C14" s="2629" t="s">
        <v>2937</v>
      </c>
      <c r="D14" s="2630">
        <v>70</v>
      </c>
      <c r="E14" s="2630"/>
      <c r="F14" s="2630"/>
      <c r="G14" s="2630">
        <v>50</v>
      </c>
      <c r="H14" s="2630">
        <v>50</v>
      </c>
      <c r="I14" s="2630"/>
      <c r="J14" s="2662"/>
      <c r="K14" s="2837"/>
      <c r="L14" s="2833"/>
      <c r="M14" s="2833"/>
      <c r="N14" s="2662"/>
      <c r="O14" s="2673"/>
      <c r="P14" s="2662"/>
      <c r="Q14" s="2662"/>
      <c r="R14" s="2662"/>
    </row>
    <row r="15" spans="1:28">
      <c r="A15" s="325"/>
      <c r="B15" s="2631"/>
      <c r="C15" s="2632" t="s">
        <v>2938</v>
      </c>
      <c r="D15" s="2633">
        <f>IF(B12="出让",IF(D13="","",ROUNDDOWN(MIN((D13-$D$3)/365,D14),2)),D14)</f>
        <v>65.790000000000006</v>
      </c>
      <c r="E15" s="2633" t="str">
        <f>IF(B12="出让",IF(E13="","",ROUNDDOWN(MIN((E13-$D$3)/365,E14),2)),E14)</f>
        <v/>
      </c>
      <c r="F15" s="2633" t="str">
        <f>IF(B12="出让",IF(F13="","",ROUNDDOWN(MIN((F13-$D$3)/365,F14),2)),F14)</f>
        <v/>
      </c>
      <c r="G15" s="2633">
        <f>IF(B12="出让",IF(G13="","",ROUNDDOWN(MIN((G13-$D$3)/365,G14),2)),G14)</f>
        <v>45.78</v>
      </c>
      <c r="H15" s="2633">
        <f>IF(B12="出让",IF(H13="","",ROUNDDOWN(MIN((H13-$D$3)/365,H14),2)),H14)</f>
        <v>45.78</v>
      </c>
      <c r="I15" s="2633" t="str">
        <f>IF(B12="出让",IF(I13="","",ROUNDDOWN(MIN((I13-$D$3)/365,I14),2)),I14)</f>
        <v/>
      </c>
      <c r="J15" s="2662"/>
      <c r="K15" s="2838"/>
      <c r="L15" s="2674"/>
      <c r="M15" s="2674"/>
      <c r="N15" s="2729"/>
      <c r="O15" s="2674"/>
      <c r="P15" s="2729"/>
      <c r="Q15" s="2662"/>
      <c r="R15" s="2662"/>
    </row>
    <row r="16" spans="1:28">
      <c r="A16" s="2621" t="s">
        <v>2939</v>
      </c>
      <c r="B16" s="3290"/>
      <c r="C16" s="3291"/>
      <c r="D16" s="3292"/>
      <c r="E16" s="2636" t="s">
        <v>2940</v>
      </c>
      <c r="F16" s="3293"/>
      <c r="G16" s="3294"/>
      <c r="H16" s="3294"/>
      <c r="I16" s="3295"/>
      <c r="J16" s="2662"/>
      <c r="K16" s="2838"/>
      <c r="L16" s="2674"/>
      <c r="M16" s="2674"/>
      <c r="N16" s="2729"/>
      <c r="O16" s="2674"/>
      <c r="P16" s="2729"/>
      <c r="Q16" s="2662"/>
      <c r="R16" s="2662"/>
    </row>
    <row r="17" spans="1:28">
      <c r="A17" s="318" t="s">
        <v>2941</v>
      </c>
      <c r="B17" s="307" t="s">
        <v>2942</v>
      </c>
      <c r="C17" s="11">
        <f>'数据-汇总表'!E3</f>
        <v>46306.38</v>
      </c>
      <c r="D17" s="2542" t="s">
        <v>2943</v>
      </c>
      <c r="E17" s="3296"/>
      <c r="F17" s="3297"/>
      <c r="G17" s="3297"/>
      <c r="H17" s="3297"/>
      <c r="I17" s="3298"/>
      <c r="J17" s="2662"/>
      <c r="K17" s="2839"/>
      <c r="L17" s="2674"/>
      <c r="M17" s="2674"/>
      <c r="N17" s="2729"/>
      <c r="O17" s="2674"/>
      <c r="P17" s="2729"/>
      <c r="Q17" s="2662"/>
      <c r="R17" s="2662"/>
      <c r="S17" s="2662"/>
      <c r="T17" s="2662"/>
      <c r="U17" s="2662"/>
      <c r="V17" s="2662"/>
    </row>
    <row r="18" spans="1:28" ht="24.75" thickBot="1">
      <c r="A18" s="2637" t="s">
        <v>2944</v>
      </c>
      <c r="B18" s="1249" t="s">
        <v>2945</v>
      </c>
      <c r="C18" s="2638">
        <f>'数据-汇总表'!D3</f>
        <v>23188.07</v>
      </c>
      <c r="D18" s="1251" t="s">
        <v>2946</v>
      </c>
      <c r="E18" s="3299"/>
      <c r="F18" s="3300"/>
      <c r="G18" s="3300"/>
      <c r="H18" s="3300"/>
      <c r="I18" s="3301"/>
      <c r="J18" s="2662"/>
      <c r="K18" s="2839"/>
      <c r="L18" s="2674"/>
      <c r="M18" s="2674"/>
      <c r="N18" s="2729"/>
      <c r="O18" s="2674"/>
      <c r="P18" s="2729"/>
      <c r="Q18" s="2662"/>
      <c r="R18" s="2662"/>
      <c r="S18" s="2662"/>
      <c r="T18" s="2662"/>
      <c r="U18" s="2662"/>
      <c r="V18" s="2662"/>
    </row>
    <row r="19" spans="1:28" ht="37.5" thickTop="1" thickBot="1">
      <c r="A19" s="332" t="s">
        <v>1740</v>
      </c>
      <c r="B19" s="312" t="s">
        <v>2947</v>
      </c>
      <c r="C19" s="1746"/>
      <c r="D19" s="1747" t="s">
        <v>2948</v>
      </c>
      <c r="E19" s="1748"/>
      <c r="F19" s="1749" t="str">
        <f>IF(AND(C19="是",E19="否"),"是否提供他项权证或相关说明","")</f>
        <v/>
      </c>
      <c r="G19" s="1750"/>
      <c r="H19" s="2885"/>
      <c r="I19" s="2885"/>
      <c r="J19" s="2662"/>
      <c r="K19" s="2836"/>
      <c r="L19" s="2833"/>
      <c r="M19" s="2833"/>
      <c r="N19" s="2729"/>
      <c r="O19" s="2674"/>
      <c r="P19" s="2729"/>
      <c r="Q19" s="2662"/>
      <c r="R19" s="2662"/>
      <c r="S19" s="2662"/>
      <c r="T19" s="2662"/>
      <c r="U19" s="2662"/>
      <c r="V19" s="2662"/>
    </row>
    <row r="20" spans="1:28">
      <c r="A20" s="2853" t="s">
        <v>2949</v>
      </c>
      <c r="B20" s="3286" t="s">
        <v>2950</v>
      </c>
      <c r="C20" s="3287"/>
      <c r="D20" s="3288" t="s">
        <v>2951</v>
      </c>
      <c r="E20" s="3289"/>
      <c r="F20" s="2868" t="s">
        <v>1741</v>
      </c>
      <c r="G20" s="2885"/>
      <c r="H20" s="2885"/>
      <c r="I20" s="2885"/>
      <c r="J20" s="2662"/>
      <c r="K20" s="3285"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3"/>
      <c r="B21" s="2854" t="s">
        <v>2953</v>
      </c>
      <c r="C21" s="2855" t="s">
        <v>1742</v>
      </c>
      <c r="D21" s="1751" t="s">
        <v>2954</v>
      </c>
      <c r="E21" s="2856" t="s">
        <v>1742</v>
      </c>
      <c r="F21" s="2869"/>
      <c r="G21" s="2885"/>
      <c r="H21" s="2885"/>
      <c r="I21" s="2885"/>
      <c r="J21" s="2662"/>
      <c r="K21" s="328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3"/>
      <c r="B22" s="2857" t="s">
        <v>2955</v>
      </c>
      <c r="C22" s="2855" t="s">
        <v>1743</v>
      </c>
      <c r="D22" s="2884"/>
      <c r="E22" s="2884"/>
      <c r="F22" s="2884"/>
      <c r="G22" s="2885"/>
      <c r="H22" s="2885"/>
      <c r="I22" s="2885"/>
      <c r="J22" s="2662"/>
      <c r="K22" s="328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58" t="s">
        <v>2956</v>
      </c>
      <c r="B23" s="2722" t="s">
        <v>2957</v>
      </c>
      <c r="C23" s="2859"/>
      <c r="D23" s="2860" t="s">
        <v>2957</v>
      </c>
      <c r="E23" s="2861"/>
      <c r="F23" s="2884"/>
      <c r="G23" s="2885"/>
      <c r="H23" s="2885"/>
      <c r="I23" s="2885"/>
      <c r="J23" s="2662"/>
      <c r="K23" s="2840"/>
      <c r="L23" s="2696"/>
      <c r="M23" s="2833"/>
      <c r="N23" s="2729"/>
      <c r="O23" s="2674"/>
      <c r="P23" s="2729"/>
      <c r="Q23" s="2662"/>
      <c r="R23" s="2662"/>
      <c r="S23" s="2662"/>
      <c r="T23" s="2662"/>
      <c r="U23" s="2662"/>
      <c r="V23" s="2662"/>
    </row>
    <row r="24" spans="1:28">
      <c r="A24" s="2858"/>
      <c r="B24" s="2722" t="s">
        <v>1744</v>
      </c>
      <c r="C24" s="2862"/>
      <c r="D24" s="2858" t="s">
        <v>1744</v>
      </c>
      <c r="E24" s="2863"/>
      <c r="F24" s="2884"/>
      <c r="G24" s="2885"/>
      <c r="H24" s="2885"/>
      <c r="I24" s="2885"/>
      <c r="J24" s="2662"/>
      <c r="K24" s="2840"/>
      <c r="L24" s="2696"/>
      <c r="M24" s="2833"/>
      <c r="N24" s="2729"/>
      <c r="O24" s="2674"/>
      <c r="P24" s="2729"/>
      <c r="Q24" s="2662"/>
      <c r="R24" s="2662"/>
      <c r="S24" s="2662"/>
      <c r="T24" s="2662"/>
      <c r="U24" s="2662"/>
      <c r="V24" s="2662"/>
    </row>
    <row r="25" spans="1:28">
      <c r="A25" s="2858"/>
      <c r="B25" s="2722" t="s">
        <v>1745</v>
      </c>
      <c r="C25" s="2862"/>
      <c r="D25" s="2858" t="s">
        <v>1745</v>
      </c>
      <c r="E25" s="2863"/>
      <c r="F25" s="2884"/>
      <c r="G25" s="2885"/>
      <c r="H25" s="2885"/>
      <c r="I25" s="2885"/>
      <c r="J25" s="2662"/>
      <c r="K25" s="2836"/>
      <c r="L25" s="2833"/>
      <c r="M25" s="2833"/>
      <c r="N25" s="2729"/>
      <c r="O25" s="2674"/>
      <c r="P25" s="2729"/>
      <c r="Q25" s="2662"/>
      <c r="R25" s="2662"/>
      <c r="S25" s="2662"/>
      <c r="T25" s="2662"/>
      <c r="U25" s="2662"/>
      <c r="V25" s="2662"/>
    </row>
    <row r="26" spans="1:28" ht="13.5" thickBot="1">
      <c r="A26" s="2864"/>
      <c r="B26" s="2865" t="s">
        <v>1746</v>
      </c>
      <c r="C26" s="2866"/>
      <c r="D26" s="2864" t="s">
        <v>1746</v>
      </c>
      <c r="E26" s="2867"/>
      <c r="F26" s="2886"/>
      <c r="G26" s="2886"/>
      <c r="H26" s="2886"/>
      <c r="I26" s="2886"/>
      <c r="J26" s="2662"/>
      <c r="K26" s="2836"/>
      <c r="L26" s="2833"/>
      <c r="M26" s="2833"/>
      <c r="N26" s="2729"/>
      <c r="O26" s="2674"/>
      <c r="P26" s="2729"/>
      <c r="Q26" s="2662"/>
      <c r="R26" s="2662"/>
      <c r="S26" s="2662"/>
      <c r="T26" s="2662"/>
      <c r="U26" s="2662"/>
      <c r="V26" s="2662"/>
    </row>
    <row r="27" spans="1:28" ht="13.5" thickTop="1">
      <c r="A27" s="3303" t="s">
        <v>2958</v>
      </c>
      <c r="B27" s="325" t="s">
        <v>2959</v>
      </c>
      <c r="C27" s="2639"/>
      <c r="D27" s="2640"/>
      <c r="E27" s="2885"/>
      <c r="F27" s="2885"/>
      <c r="G27" s="2885"/>
      <c r="H27" s="2885"/>
      <c r="I27" s="2885"/>
      <c r="J27" s="2662"/>
      <c r="K27" s="2838"/>
      <c r="L27" s="2674"/>
      <c r="M27" s="2674"/>
      <c r="N27" s="2729"/>
      <c r="O27" s="2674"/>
      <c r="P27" s="2729"/>
      <c r="Q27" s="2662"/>
      <c r="R27" s="2662"/>
      <c r="S27" s="2662"/>
      <c r="T27" s="2662"/>
      <c r="U27" s="2662"/>
      <c r="V27" s="2662"/>
    </row>
    <row r="28" spans="1:28">
      <c r="A28" s="3303"/>
      <c r="B28" s="307" t="s">
        <v>2960</v>
      </c>
      <c r="C28" s="2641"/>
      <c r="D28" s="2642"/>
      <c r="E28" s="2885"/>
      <c r="F28" s="2885"/>
      <c r="G28" s="2885"/>
      <c r="H28" s="2885"/>
      <c r="I28" s="2885"/>
      <c r="J28" s="2662"/>
      <c r="K28" s="2836"/>
      <c r="L28" s="2833"/>
      <c r="M28" s="2833"/>
      <c r="N28" s="2662"/>
      <c r="O28" s="2673"/>
      <c r="P28" s="2662"/>
      <c r="Q28" s="2662"/>
      <c r="R28" s="2662"/>
      <c r="S28" s="2662"/>
      <c r="T28" s="2662"/>
      <c r="U28" s="2662"/>
      <c r="V28" s="2662"/>
    </row>
    <row r="29" spans="1:28">
      <c r="A29" s="3303"/>
      <c r="B29" s="307" t="s">
        <v>2961</v>
      </c>
      <c r="C29" s="2643"/>
      <c r="D29" s="2644"/>
      <c r="E29" s="2885"/>
      <c r="F29" s="2885"/>
      <c r="G29" s="2885"/>
      <c r="H29" s="2885"/>
      <c r="I29" s="2885"/>
      <c r="J29" s="2662"/>
      <c r="K29" s="2836"/>
      <c r="L29" s="2833"/>
      <c r="M29" s="2833"/>
      <c r="N29" s="2662"/>
      <c r="O29" s="2673"/>
      <c r="P29" s="2662"/>
      <c r="Q29" s="2662"/>
      <c r="R29" s="2662"/>
      <c r="S29" s="2662"/>
      <c r="T29" s="2662"/>
      <c r="U29" s="2662"/>
      <c r="V29" s="2662"/>
    </row>
    <row r="30" spans="1:28">
      <c r="A30" s="3304"/>
      <c r="B30" s="307" t="s">
        <v>2962</v>
      </c>
      <c r="C30" s="3305"/>
      <c r="D30" s="3306"/>
      <c r="E30" s="2885"/>
      <c r="F30" s="2885"/>
      <c r="G30" s="2885"/>
      <c r="H30" s="2885"/>
      <c r="I30" s="2885"/>
      <c r="J30" s="2662"/>
      <c r="K30" s="2836"/>
      <c r="L30" s="2833"/>
      <c r="M30" s="2833"/>
      <c r="N30" s="2662"/>
      <c r="O30" s="2673"/>
      <c r="P30" s="2662"/>
      <c r="Q30" s="2662"/>
      <c r="R30" s="2662"/>
      <c r="S30" s="2662"/>
      <c r="T30" s="2662"/>
      <c r="U30" s="2662"/>
      <c r="V30" s="2662"/>
    </row>
    <row r="31" spans="1:28">
      <c r="A31" s="3307" t="s">
        <v>2963</v>
      </c>
      <c r="B31" s="2645"/>
      <c r="C31" s="2543" t="str">
        <f>IF(B31="现房","成新及维护状况正常否",IF(B31="在建","工程状态是否正常",IF(B31="土地","是否闲置","-")))</f>
        <v>-</v>
      </c>
      <c r="D31" s="1555"/>
      <c r="E31" s="2646"/>
      <c r="F31" s="2885"/>
      <c r="G31" s="2885"/>
      <c r="H31" s="2885"/>
      <c r="I31" s="2885"/>
      <c r="J31" s="2662"/>
      <c r="K31" s="2835"/>
      <c r="L31" s="2833"/>
      <c r="M31" s="2833"/>
      <c r="N31" s="2662"/>
      <c r="O31" s="2673"/>
      <c r="P31" s="2662"/>
      <c r="Q31" s="2662"/>
      <c r="R31" s="2662"/>
      <c r="S31" s="2662"/>
      <c r="T31" s="2662"/>
      <c r="U31" s="2662"/>
      <c r="V31" s="2662"/>
    </row>
    <row r="32" spans="1:28">
      <c r="A32" s="3308"/>
      <c r="B32" s="2645"/>
      <c r="C32" s="2543" t="str">
        <f>IF(B32="现房","成新及维护状况是否正常",IF(B32="在建","工程状态是否正常",IF(B32="土地","是否闲置","-")))</f>
        <v>-</v>
      </c>
      <c r="D32" s="1555"/>
      <c r="E32" s="2646"/>
      <c r="F32" s="2885"/>
      <c r="G32" s="2885"/>
      <c r="H32" s="2885"/>
      <c r="I32" s="2885"/>
      <c r="J32" s="2662"/>
      <c r="K32" s="2836"/>
      <c r="L32" s="2833"/>
      <c r="M32" s="2833"/>
      <c r="N32" s="2662"/>
      <c r="O32" s="2673"/>
      <c r="P32" s="2662"/>
      <c r="Q32" s="2662"/>
      <c r="R32" s="2662"/>
      <c r="S32" s="2662"/>
      <c r="T32" s="2662"/>
      <c r="U32" s="2662"/>
      <c r="V32" s="2662"/>
    </row>
    <row r="33" spans="1:30">
      <c r="A33" s="3308"/>
      <c r="B33" s="2648"/>
      <c r="C33" s="1773" t="str">
        <f>IF(B33="现房","成新及维护状况是否正常",IF(B33="在建","工程状态是否正常",IF(B33="土地","是否闲置","-")))</f>
        <v>-</v>
      </c>
      <c r="D33" s="1547"/>
      <c r="E33" s="2649"/>
      <c r="F33" s="2885"/>
      <c r="G33" s="2885"/>
      <c r="H33" s="2885"/>
      <c r="I33" s="2885"/>
      <c r="J33" s="2662"/>
      <c r="K33" s="2836"/>
      <c r="L33" s="2833"/>
      <c r="M33" s="2833"/>
      <c r="N33" s="2662"/>
      <c r="O33" s="2673"/>
      <c r="P33" s="2662"/>
      <c r="Q33" s="2662"/>
      <c r="R33" s="2662"/>
      <c r="S33" s="2662"/>
      <c r="T33" s="2662"/>
      <c r="U33" s="2662"/>
      <c r="V33" s="2662"/>
    </row>
    <row r="34" spans="1:30">
      <c r="A34" s="307" t="s">
        <v>2964</v>
      </c>
      <c r="B34" s="2211"/>
      <c r="C34" s="2211"/>
      <c r="D34" s="2211"/>
      <c r="E34" s="2211"/>
      <c r="F34" s="2211"/>
      <c r="G34" s="2211"/>
      <c r="H34" s="2211"/>
      <c r="I34" s="2885"/>
      <c r="J34" s="2662"/>
      <c r="K34" s="2650">
        <f>COUNTIF(B34:H34,"——")</f>
        <v>0</v>
      </c>
      <c r="L34" s="328" t="s">
        <v>2965</v>
      </c>
      <c r="M34" s="328" t="s">
        <v>2966</v>
      </c>
      <c r="N34" s="328" t="s">
        <v>2967</v>
      </c>
      <c r="O34" s="328" t="s">
        <v>2968</v>
      </c>
      <c r="P34" s="328" t="s">
        <v>2969</v>
      </c>
      <c r="Q34" s="328" t="s">
        <v>2970</v>
      </c>
      <c r="R34" s="328" t="s">
        <v>2971</v>
      </c>
      <c r="S34" s="3302" t="s">
        <v>2972</v>
      </c>
      <c r="T34" s="2651" t="str">
        <f>NUMBERSTRING(7-K34,1)&amp;"通"</f>
        <v>七通</v>
      </c>
      <c r="U34" s="2662"/>
      <c r="V34" s="2662"/>
    </row>
    <row r="35" spans="1:30">
      <c r="A35" s="2652"/>
      <c r="B35" s="3309" t="s">
        <v>2973</v>
      </c>
      <c r="C35" s="3309"/>
      <c r="D35" s="3309"/>
      <c r="E35" s="3309"/>
      <c r="F35" s="672">
        <f>C10</f>
        <v>0</v>
      </c>
      <c r="G35" s="2885"/>
      <c r="H35" s="2885"/>
      <c r="I35" s="2885"/>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2"/>
      <c r="T35" s="334" t="str">
        <f>IF(T34="一通",L35,IF(T34="二通",M35,IF(T34="三通",N35,IF(T34="四通",O35,IF(T34="五通",P35,IF(T34="六通",Q35,R35))))))</f>
        <v>、、、、、、</v>
      </c>
      <c r="U35" s="2662"/>
      <c r="V35" s="2662"/>
    </row>
    <row r="36" spans="1:30">
      <c r="A36" s="2653"/>
      <c r="B36" s="672" t="s">
        <v>2931</v>
      </c>
      <c r="C36" s="672" t="s">
        <v>2932</v>
      </c>
      <c r="D36" s="672" t="s">
        <v>2930</v>
      </c>
      <c r="E36" s="672" t="s">
        <v>2935</v>
      </c>
      <c r="F36" s="2890"/>
      <c r="G36" s="2885"/>
      <c r="H36" s="2885"/>
      <c r="I36" s="2885"/>
      <c r="J36" s="2662"/>
      <c r="K36" s="2836"/>
      <c r="L36" s="2833"/>
      <c r="M36" s="2833"/>
      <c r="N36" s="2662"/>
      <c r="O36" s="2673"/>
      <c r="P36" s="2662"/>
      <c r="Q36" s="2662"/>
      <c r="R36" s="2662"/>
      <c r="S36" s="2662"/>
      <c r="T36" s="2662"/>
      <c r="U36" s="2662"/>
      <c r="V36" s="2662"/>
    </row>
    <row r="37" spans="1:30">
      <c r="A37" s="2851" t="s">
        <v>2974</v>
      </c>
      <c r="B37" s="2654" t="s">
        <v>528</v>
      </c>
      <c r="C37" s="2654"/>
      <c r="D37" s="2654" t="s">
        <v>528</v>
      </c>
      <c r="E37" s="2654"/>
      <c r="F37" s="2890"/>
      <c r="G37" s="2885"/>
      <c r="H37" s="2885"/>
      <c r="I37" s="2885"/>
      <c r="J37" s="2662"/>
      <c r="K37" s="2836"/>
      <c r="L37" s="2833"/>
      <c r="M37" s="2833"/>
      <c r="N37" s="2662"/>
      <c r="O37" s="2673"/>
      <c r="P37" s="2662"/>
      <c r="Q37" s="2662"/>
      <c r="R37" s="2662"/>
      <c r="S37" s="2662"/>
      <c r="T37" s="2662"/>
      <c r="U37" s="2662"/>
      <c r="V37" s="2662"/>
    </row>
    <row r="38" spans="1:30" ht="13.5" thickBot="1">
      <c r="A38" s="2852" t="s">
        <v>2975</v>
      </c>
      <c r="B38" s="2655" t="s">
        <v>207</v>
      </c>
      <c r="C38" s="2655"/>
      <c r="D38" s="2655" t="s">
        <v>207</v>
      </c>
      <c r="E38" s="2655"/>
      <c r="F38" s="2891"/>
      <c r="G38" s="2886"/>
      <c r="H38" s="2886"/>
      <c r="I38" s="2886"/>
      <c r="J38" s="2662"/>
      <c r="K38" s="2836"/>
      <c r="L38" s="2833"/>
      <c r="M38" s="2833"/>
      <c r="N38" s="2662"/>
      <c r="O38" s="2673"/>
      <c r="P38" s="2662"/>
      <c r="Q38" s="2662"/>
      <c r="R38" s="2662"/>
      <c r="S38" s="2662"/>
      <c r="T38" s="2662"/>
      <c r="U38" s="2662"/>
      <c r="V38" s="2662"/>
    </row>
    <row r="39" spans="1:30" s="2658" customFormat="1" ht="14.25" thickTop="1" thickBot="1">
      <c r="A39" s="2656" t="s">
        <v>2976</v>
      </c>
      <c r="B39" s="2657"/>
      <c r="C39" s="2657"/>
      <c r="D39" s="2657"/>
      <c r="E39" s="2657"/>
      <c r="F39" s="2657"/>
      <c r="G39" s="2657"/>
      <c r="H39" s="2657"/>
      <c r="I39" s="2657"/>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1"/>
      <c r="B40" s="2591"/>
      <c r="C40" s="2591"/>
      <c r="D40" s="2591"/>
      <c r="E40" s="2591"/>
      <c r="F40" s="2591"/>
      <c r="G40" s="2591"/>
      <c r="H40" s="2591"/>
      <c r="I40" s="1761"/>
      <c r="J40" s="2729"/>
      <c r="K40" s="2835"/>
      <c r="L40" s="2674"/>
      <c r="M40" s="2674"/>
      <c r="N40" s="2729"/>
      <c r="O40" s="2674"/>
      <c r="P40" s="2662"/>
      <c r="Q40" s="2662"/>
      <c r="R40" s="2662"/>
      <c r="S40" s="2662"/>
      <c r="T40" s="2662"/>
      <c r="U40" s="2662"/>
      <c r="V40" s="2662"/>
    </row>
    <row r="41" spans="1:30">
      <c r="A41" s="2659" t="s">
        <v>2977</v>
      </c>
      <c r="B41" s="1940"/>
      <c r="C41" s="1555"/>
      <c r="D41" s="2591"/>
      <c r="E41" s="2591"/>
      <c r="F41" s="2591"/>
      <c r="G41" s="2591"/>
      <c r="H41" s="2591"/>
      <c r="I41" s="1759"/>
      <c r="J41" s="2662"/>
      <c r="K41" s="2836"/>
      <c r="L41" s="2833"/>
      <c r="M41" s="2833"/>
      <c r="N41" s="2662"/>
      <c r="O41" s="2673"/>
      <c r="P41" s="2662"/>
      <c r="Q41" s="2662"/>
      <c r="R41" s="2662"/>
      <c r="S41" s="2662"/>
      <c r="T41" s="2662"/>
      <c r="U41" s="2662"/>
      <c r="V41" s="2662"/>
    </row>
    <row r="42" spans="1:30" ht="25.5">
      <c r="A42" s="328" t="s">
        <v>2978</v>
      </c>
      <c r="B42" s="11" t="s">
        <v>2979</v>
      </c>
      <c r="C42" s="11" t="s">
        <v>2980</v>
      </c>
      <c r="D42" s="11" t="s">
        <v>2981</v>
      </c>
      <c r="E42" s="11" t="s">
        <v>2982</v>
      </c>
      <c r="F42" s="11" t="s">
        <v>2983</v>
      </c>
      <c r="G42" s="11" t="s">
        <v>2984</v>
      </c>
      <c r="H42" s="11" t="s">
        <v>2985</v>
      </c>
      <c r="I42" s="11" t="s">
        <v>2986</v>
      </c>
      <c r="J42" s="2847" t="s">
        <v>2987</v>
      </c>
      <c r="K42" s="2848" t="s">
        <v>2988</v>
      </c>
      <c r="L42" s="2848" t="s">
        <v>2989</v>
      </c>
      <c r="M42" s="2848" t="s">
        <v>2990</v>
      </c>
      <c r="N42" s="2841" t="s">
        <v>2991</v>
      </c>
      <c r="O42" s="2841" t="s">
        <v>2992</v>
      </c>
      <c r="P42" s="2841" t="s">
        <v>2993</v>
      </c>
      <c r="Q42" s="2842" t="s">
        <v>2994</v>
      </c>
      <c r="R42" s="2842" t="s">
        <v>2995</v>
      </c>
      <c r="S42" s="2662"/>
      <c r="T42" s="2662"/>
      <c r="U42" s="2662"/>
      <c r="V42" s="2662"/>
    </row>
    <row r="43" spans="1:30" s="1926" customFormat="1">
      <c r="A43" s="1753"/>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6" customFormat="1">
      <c r="A44" s="1753"/>
      <c r="B44" s="1753"/>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6" customFormat="1">
      <c r="A45" s="1753"/>
      <c r="B45" s="1753"/>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6" customFormat="1">
      <c r="A46" s="1753"/>
      <c r="B46" s="1753"/>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6" customFormat="1">
      <c r="A47" s="1753"/>
      <c r="B47" s="1753"/>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6" customFormat="1">
      <c r="A48" s="1753"/>
      <c r="B48" s="1753"/>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6" customFormat="1">
      <c r="A49" s="1753"/>
      <c r="B49" s="1753"/>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6" customFormat="1">
      <c r="A50" s="1753"/>
      <c r="B50" s="1753"/>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6" customFormat="1">
      <c r="A51" s="1753"/>
      <c r="B51" s="1753"/>
      <c r="C51" s="1181"/>
      <c r="D51" s="1181"/>
      <c r="E51" s="1181"/>
      <c r="F51" s="1181"/>
      <c r="G51" s="1181"/>
      <c r="H51" s="1181"/>
      <c r="I51" s="1181"/>
      <c r="J51" s="2660"/>
      <c r="K51" s="2661"/>
      <c r="L51" s="2661"/>
      <c r="M51" s="1181"/>
      <c r="N51" s="1181"/>
      <c r="O51" s="1181"/>
      <c r="P51" s="1181"/>
      <c r="Q51" s="1181"/>
      <c r="R51" s="1181"/>
    </row>
    <row r="52" spans="1:22" s="1926" customFormat="1">
      <c r="A52" s="1753"/>
      <c r="B52" s="1753"/>
      <c r="C52" s="1753"/>
      <c r="D52" s="1753"/>
      <c r="E52" s="1753"/>
      <c r="F52" s="1181"/>
      <c r="G52" s="1753"/>
      <c r="H52" s="1753"/>
      <c r="I52" s="1753"/>
      <c r="J52" s="2663"/>
      <c r="K52" s="2661"/>
      <c r="L52" s="2661"/>
      <c r="M52" s="2661"/>
      <c r="N52" s="1753"/>
      <c r="O52" s="1753"/>
      <c r="P52" s="1753"/>
      <c r="Q52" s="1753"/>
      <c r="R52" s="1753"/>
    </row>
    <row r="53" spans="1:22" s="1926" customFormat="1">
      <c r="A53" s="1753"/>
      <c r="B53" s="1753"/>
      <c r="C53" s="1753"/>
      <c r="D53" s="1753"/>
      <c r="E53" s="1753"/>
      <c r="F53" s="1181"/>
      <c r="G53" s="1753"/>
      <c r="H53" s="1753"/>
      <c r="I53" s="1753"/>
      <c r="J53" s="2663"/>
      <c r="K53" s="2661"/>
      <c r="L53" s="2661"/>
      <c r="M53" s="2661"/>
      <c r="N53" s="1753"/>
      <c r="O53" s="1753"/>
      <c r="P53" s="1753"/>
      <c r="Q53" s="1753"/>
      <c r="R53" s="1753"/>
    </row>
    <row r="54" spans="1:22" s="1926" customFormat="1">
      <c r="A54" s="1753"/>
      <c r="B54" s="1753"/>
      <c r="C54" s="1753"/>
      <c r="D54" s="1753"/>
      <c r="E54" s="1753"/>
      <c r="F54" s="1181"/>
      <c r="G54" s="1753"/>
      <c r="H54" s="1753"/>
      <c r="I54" s="1753"/>
      <c r="J54" s="2663"/>
      <c r="K54" s="2661"/>
      <c r="L54" s="2661"/>
      <c r="M54" s="2661"/>
      <c r="N54" s="1753"/>
      <c r="O54" s="1753"/>
      <c r="P54" s="1753"/>
      <c r="Q54" s="1753"/>
      <c r="R54" s="1753"/>
    </row>
    <row r="55" spans="1:22" s="1926" customFormat="1">
      <c r="A55" s="1753"/>
      <c r="B55" s="1753"/>
      <c r="C55" s="1753"/>
      <c r="D55" s="1753"/>
      <c r="E55" s="1753"/>
      <c r="F55" s="1181"/>
      <c r="G55" s="1753"/>
      <c r="H55" s="1753"/>
      <c r="I55" s="1753"/>
      <c r="J55" s="2663"/>
      <c r="K55" s="2661"/>
      <c r="L55" s="2661"/>
      <c r="M55" s="2661"/>
      <c r="N55" s="1753"/>
      <c r="O55" s="1753"/>
      <c r="P55" s="1753"/>
      <c r="Q55" s="1753"/>
      <c r="R55" s="1753"/>
    </row>
    <row r="56" spans="1:22" s="1926" customFormat="1">
      <c r="A56" s="1753"/>
      <c r="B56" s="1753"/>
      <c r="C56" s="1753"/>
      <c r="D56" s="1753"/>
      <c r="E56" s="1753"/>
      <c r="F56" s="1181"/>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1747</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1748</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1749</v>
      </c>
      <c r="B2" s="11" t="s">
        <v>1750</v>
      </c>
      <c r="C2" s="11" t="s">
        <v>1751</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1752</v>
      </c>
      <c r="AZ2" s="1179" t="s">
        <v>1753</v>
      </c>
      <c r="BA2" s="11" t="s">
        <v>1754</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234">
        <v>23188.07</v>
      </c>
      <c r="B3" s="13">
        <f>IF(C3="否",G5-AT5,G5)</f>
        <v>46306.38</v>
      </c>
      <c r="C3" s="1763" t="s">
        <v>1755</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1756</v>
      </c>
      <c r="B5" s="1529"/>
      <c r="C5" s="1529"/>
      <c r="D5" s="1531"/>
      <c r="E5" s="15" t="s">
        <v>1</v>
      </c>
      <c r="F5" s="15">
        <f>SUM(F13:F587)</f>
        <v>0</v>
      </c>
      <c r="G5" s="15">
        <f>SUM(G13:G587)</f>
        <v>46306.38</v>
      </c>
      <c r="H5" s="15">
        <f t="shared" ref="H5:AT5" si="0">SUM(H13:H656)</f>
        <v>46306.38</v>
      </c>
      <c r="I5" s="15">
        <f t="shared" si="0"/>
        <v>15708.62</v>
      </c>
      <c r="J5" s="15">
        <f t="shared" si="0"/>
        <v>0</v>
      </c>
      <c r="K5" s="15">
        <f t="shared" si="0"/>
        <v>19826.719999999998</v>
      </c>
      <c r="L5" s="15">
        <f t="shared" si="0"/>
        <v>0</v>
      </c>
      <c r="M5" s="15">
        <f t="shared" si="0"/>
        <v>10771.04</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1756</v>
      </c>
      <c r="AW5" s="1529"/>
      <c r="AX5" s="1529"/>
      <c r="AY5" s="16" t="s">
        <v>3</v>
      </c>
      <c r="AZ5" s="17">
        <f t="shared" ref="AZ5:BT5" si="1">SUM(AZ13:AZ656)</f>
        <v>46306.38</v>
      </c>
      <c r="BA5" s="17">
        <f t="shared" si="1"/>
        <v>46306.38</v>
      </c>
      <c r="BB5" s="17">
        <f t="shared" si="1"/>
        <v>15708.62</v>
      </c>
      <c r="BC5" s="17">
        <f t="shared" si="1"/>
        <v>19826.719999999998</v>
      </c>
      <c r="BD5" s="17">
        <f t="shared" si="1"/>
        <v>10771.04</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1757</v>
      </c>
      <c r="B6" s="1769"/>
      <c r="C6" s="1769"/>
      <c r="D6" s="1770"/>
      <c r="E6" s="15">
        <f>H6+AC6+AT6</f>
        <v>23188.06</v>
      </c>
      <c r="F6" s="15" t="s">
        <v>1</v>
      </c>
      <c r="G6" s="15" t="s">
        <v>2</v>
      </c>
      <c r="H6" s="19">
        <f>SUMIF(I$12:AB$12,"总值",I6:AB6)</f>
        <v>23188.06</v>
      </c>
      <c r="I6" s="15">
        <f t="shared" ref="I6:AB6" si="2">ROUND($A$3*I5/$B$3,2)</f>
        <v>7866.14</v>
      </c>
      <c r="J6" s="15">
        <f t="shared" si="2"/>
        <v>0</v>
      </c>
      <c r="K6" s="15">
        <f t="shared" si="2"/>
        <v>9928.2900000000009</v>
      </c>
      <c r="L6" s="15">
        <f t="shared" si="2"/>
        <v>0</v>
      </c>
      <c r="M6" s="15">
        <f t="shared" si="2"/>
        <v>5393.63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1757</v>
      </c>
      <c r="AW6" s="1769"/>
      <c r="AX6" s="1769"/>
      <c r="AY6" s="20">
        <f>IF(AY3&gt;0,AY3,ROUND($A$3*AZ5/$B$3,2))</f>
        <v>23188.07</v>
      </c>
      <c r="AZ6" s="15" t="s">
        <v>3</v>
      </c>
      <c r="BA6" s="15">
        <f>ROUND($AY$6*BA5/$AZ$5,2)</f>
        <v>23188.07</v>
      </c>
      <c r="BB6" s="15">
        <f>ROUND($AY$6*BB5/$AZ$5,2)</f>
        <v>7866.14</v>
      </c>
      <c r="BC6" s="15">
        <f t="shared" ref="BC6:BH6" si="4">ROUND($AY$6*BC5/$AZ$5,2)</f>
        <v>9928.2900000000009</v>
      </c>
      <c r="BD6" s="15">
        <f t="shared" si="4"/>
        <v>5393.63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1765</v>
      </c>
      <c r="AV7" s="22" t="s">
        <v>1766</v>
      </c>
      <c r="AW7" s="1761" t="s">
        <v>1767</v>
      </c>
      <c r="AX7" s="22" t="s">
        <v>1760</v>
      </c>
      <c r="AY7" s="1529"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2"/>
      <c r="K8" s="1542"/>
      <c r="L8" s="1542"/>
      <c r="M8" s="1542"/>
      <c r="N8" s="1542"/>
      <c r="O8" s="1542"/>
      <c r="P8" s="1542"/>
      <c r="Q8" s="1542"/>
      <c r="R8" s="1542"/>
      <c r="S8" s="1542"/>
      <c r="T8" s="1542"/>
      <c r="U8" s="1542"/>
      <c r="V8" s="1781"/>
      <c r="W8" s="1542"/>
      <c r="X8" s="1542"/>
      <c r="Y8" s="1542"/>
      <c r="Z8" s="1542"/>
      <c r="AA8" s="1781"/>
      <c r="AB8" s="1782"/>
      <c r="AC8" s="917" t="s">
        <v>1771</v>
      </c>
      <c r="AD8" s="1783"/>
      <c r="AE8" s="1775"/>
      <c r="AF8" s="1542"/>
      <c r="AG8" s="1542"/>
      <c r="AH8" s="1542"/>
      <c r="AI8" s="1542"/>
      <c r="AJ8" s="1542"/>
      <c r="AK8" s="1542"/>
      <c r="AL8" s="1542"/>
      <c r="AM8" s="1542"/>
      <c r="AN8" s="1542"/>
      <c r="AO8" s="1542"/>
      <c r="AP8" s="1542"/>
      <c r="AQ8" s="1542"/>
      <c r="AR8" s="1542"/>
      <c r="AS8" s="1542"/>
      <c r="AT8" s="1201" t="s">
        <v>1772</v>
      </c>
      <c r="AU8" s="1777" t="s">
        <v>1773</v>
      </c>
      <c r="AV8" s="1201"/>
      <c r="AW8" s="1760"/>
      <c r="AX8" s="1201"/>
      <c r="AY8" s="1761" t="s">
        <v>1774</v>
      </c>
      <c r="AZ8" s="1541" t="s">
        <v>1775</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1776</v>
      </c>
      <c r="I9" s="1786" t="s">
        <v>3059</v>
      </c>
      <c r="J9" s="917"/>
      <c r="K9" s="1786" t="s">
        <v>3060</v>
      </c>
      <c r="L9" s="917"/>
      <c r="M9" s="1786" t="s">
        <v>3060</v>
      </c>
      <c r="N9" s="917"/>
      <c r="O9" s="1786"/>
      <c r="P9" s="917"/>
      <c r="Q9" s="1786"/>
      <c r="R9" s="917"/>
      <c r="S9" s="1786"/>
      <c r="T9" s="917"/>
      <c r="U9" s="1786"/>
      <c r="V9" s="917"/>
      <c r="W9" s="1786"/>
      <c r="X9" s="1787"/>
      <c r="Y9" s="1786"/>
      <c r="Z9" s="917"/>
      <c r="AA9" s="1786"/>
      <c r="AB9" s="917"/>
      <c r="AC9" s="1778" t="s">
        <v>1776</v>
      </c>
      <c r="AD9" s="14" t="s">
        <v>1777</v>
      </c>
      <c r="AE9" s="1207"/>
      <c r="AF9" s="14" t="s">
        <v>1778</v>
      </c>
      <c r="AG9" s="1207"/>
      <c r="AH9" s="14" t="s">
        <v>1777</v>
      </c>
      <c r="AI9" s="1207"/>
      <c r="AJ9" s="14" t="s">
        <v>1778</v>
      </c>
      <c r="AK9" s="1207"/>
      <c r="AL9" s="14" t="s">
        <v>1777</v>
      </c>
      <c r="AM9" s="1207"/>
      <c r="AN9" s="14" t="s">
        <v>1778</v>
      </c>
      <c r="AO9" s="1207"/>
      <c r="AP9" s="14" t="s">
        <v>1777</v>
      </c>
      <c r="AQ9" s="1207"/>
      <c r="AR9" s="14" t="s">
        <v>1778</v>
      </c>
      <c r="AS9" s="1788"/>
      <c r="AT9" s="1777"/>
      <c r="AU9" s="1777" t="s">
        <v>1779</v>
      </c>
      <c r="AV9" s="1201"/>
      <c r="AW9" s="1760"/>
      <c r="AX9" s="1201"/>
      <c r="AY9" s="27"/>
      <c r="AZ9" s="27" t="s">
        <v>1769</v>
      </c>
      <c r="BA9" s="1789" t="s">
        <v>1780</v>
      </c>
      <c r="BB9" s="1790"/>
      <c r="BC9" s="1247"/>
      <c r="BD9" s="1247"/>
      <c r="BE9" s="1247"/>
      <c r="BF9" s="1247"/>
      <c r="BG9" s="1247"/>
      <c r="BH9" s="1247"/>
      <c r="BI9" s="1247"/>
      <c r="BJ9" s="1247"/>
      <c r="BK9" s="1791"/>
      <c r="BL9" s="14" t="s">
        <v>1781</v>
      </c>
      <c r="BM9" s="1542"/>
      <c r="BN9" s="1780"/>
      <c r="BO9" s="1542"/>
      <c r="BP9" s="1542"/>
      <c r="BQ9" s="1542"/>
      <c r="BR9" s="1542"/>
      <c r="BS9" s="1542"/>
      <c r="BT9" s="25"/>
    </row>
    <row r="10" spans="1:72" s="1784" customFormat="1" ht="12.75">
      <c r="A10" s="1777"/>
      <c r="B10" s="1777"/>
      <c r="C10" s="1777"/>
      <c r="D10" s="1777"/>
      <c r="E10" s="1777"/>
      <c r="F10" s="1777"/>
      <c r="G10" s="1201"/>
      <c r="H10" s="27"/>
      <c r="I10" s="1786" t="s">
        <v>3061</v>
      </c>
      <c r="J10" s="917"/>
      <c r="K10" s="1792" t="s">
        <v>4180</v>
      </c>
      <c r="L10" s="917"/>
      <c r="M10" s="1792" t="s">
        <v>3186</v>
      </c>
      <c r="N10" s="917"/>
      <c r="O10" s="1792"/>
      <c r="P10" s="917"/>
      <c r="Q10" s="1792"/>
      <c r="R10" s="917"/>
      <c r="S10" s="1792"/>
      <c r="T10" s="917"/>
      <c r="U10" s="1792"/>
      <c r="V10" s="917"/>
      <c r="W10" s="1792"/>
      <c r="X10" s="917"/>
      <c r="Y10" s="1792"/>
      <c r="Z10" s="917"/>
      <c r="AA10" s="1792"/>
      <c r="AB10" s="917"/>
      <c r="AC10" s="1201"/>
      <c r="AD10" s="14" t="s">
        <v>1782</v>
      </c>
      <c r="AE10" s="1793"/>
      <c r="AF10" s="14" t="s">
        <v>1782</v>
      </c>
      <c r="AG10" s="1793"/>
      <c r="AH10" s="14" t="s">
        <v>1783</v>
      </c>
      <c r="AI10" s="1793"/>
      <c r="AJ10" s="14" t="s">
        <v>1783</v>
      </c>
      <c r="AK10" s="1793"/>
      <c r="AL10" s="14" t="s">
        <v>1784</v>
      </c>
      <c r="AM10" s="1207"/>
      <c r="AN10" s="14" t="s">
        <v>1784</v>
      </c>
      <c r="AO10" s="1207"/>
      <c r="AP10" s="14" t="s">
        <v>1785</v>
      </c>
      <c r="AQ10" s="1207"/>
      <c r="AR10" s="14" t="s">
        <v>1785</v>
      </c>
      <c r="AS10" s="1207"/>
      <c r="AT10" s="1777"/>
      <c r="AU10" s="1777"/>
      <c r="AV10" s="1201"/>
      <c r="AW10" s="1760"/>
      <c r="AX10" s="1201"/>
      <c r="AY10" s="27"/>
      <c r="AZ10" s="27"/>
      <c r="BA10" s="1794" t="s">
        <v>1776</v>
      </c>
      <c r="BB10" s="1795" t="str">
        <f>I9</f>
        <v>地上</v>
      </c>
      <c r="BC10" s="28" t="str">
        <f>K9</f>
        <v>地下</v>
      </c>
      <c r="BD10" s="28" t="str">
        <f>M9</f>
        <v>地下</v>
      </c>
      <c r="BE10" s="28">
        <f>O9</f>
        <v>0</v>
      </c>
      <c r="BF10" s="28">
        <f>Q9</f>
        <v>0</v>
      </c>
      <c r="BG10" s="28">
        <f>S9</f>
        <v>0</v>
      </c>
      <c r="BH10" s="28">
        <f>U9</f>
        <v>0</v>
      </c>
      <c r="BI10" s="28">
        <f>W9</f>
        <v>0</v>
      </c>
      <c r="BJ10" s="28">
        <f>Y9</f>
        <v>0</v>
      </c>
      <c r="BK10" s="28">
        <f>AA9</f>
        <v>0</v>
      </c>
      <c r="BL10" s="24" t="s">
        <v>1776</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t="s">
        <v>4486</v>
      </c>
      <c r="J11" s="1798"/>
      <c r="K11" s="1797" t="s">
        <v>4181</v>
      </c>
      <c r="L11" s="1798"/>
      <c r="M11" s="1797" t="s">
        <v>3186</v>
      </c>
      <c r="N11" s="1798"/>
      <c r="O11" s="1797"/>
      <c r="P11" s="1798"/>
      <c r="Q11" s="1797"/>
      <c r="R11" s="1798"/>
      <c r="S11" s="1797"/>
      <c r="T11" s="1798"/>
      <c r="U11" s="1797"/>
      <c r="V11" s="1798"/>
      <c r="W11" s="1797"/>
      <c r="X11" s="1798"/>
      <c r="Y11" s="1797"/>
      <c r="Z11" s="1798"/>
      <c r="AA11" s="1797"/>
      <c r="AB11" s="1798"/>
      <c r="AC11" s="1201"/>
      <c r="AD11" s="1799" t="s">
        <v>1786</v>
      </c>
      <c r="AE11" s="1543"/>
      <c r="AF11" s="1799" t="s">
        <v>1786</v>
      </c>
      <c r="AG11" s="1543"/>
      <c r="AH11" s="1799" t="s">
        <v>1787</v>
      </c>
      <c r="AI11" s="1800"/>
      <c r="AJ11" s="1799" t="s">
        <v>1787</v>
      </c>
      <c r="AK11" s="1543"/>
      <c r="AL11" s="1541"/>
      <c r="AM11" s="1543"/>
      <c r="AN11" s="1541"/>
      <c r="AO11" s="1543"/>
      <c r="AP11" s="1541"/>
      <c r="AQ11" s="1543"/>
      <c r="AR11" s="1541"/>
      <c r="AS11" s="1543"/>
      <c r="AT11" s="1760"/>
      <c r="AU11" s="1777"/>
      <c r="AV11" s="1201"/>
      <c r="AW11" s="1760"/>
      <c r="AX11" s="1201"/>
      <c r="AY11" s="27"/>
      <c r="AZ11" s="27"/>
      <c r="BA11" s="27"/>
      <c r="BB11" s="1782" t="str">
        <f>I10</f>
        <v>住宅</v>
      </c>
      <c r="BC11" s="1782" t="str">
        <f>K10</f>
        <v>仓储</v>
      </c>
      <c r="BD11" s="1782" t="str">
        <f>M10</f>
        <v>车库</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8" t="s">
        <v>1789</v>
      </c>
      <c r="W12" s="11" t="s">
        <v>1788</v>
      </c>
      <c r="X12" s="11" t="s">
        <v>1789</v>
      </c>
      <c r="Y12" s="11" t="s">
        <v>1788</v>
      </c>
      <c r="Z12" s="11" t="s">
        <v>1789</v>
      </c>
      <c r="AA12" s="11" t="s">
        <v>1788</v>
      </c>
      <c r="AB12" s="11" t="s">
        <v>1789</v>
      </c>
      <c r="AC12" s="1804"/>
      <c r="AD12" s="1531"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802" t="s">
        <v>1789</v>
      </c>
      <c r="AT12" s="1805"/>
      <c r="AU12" s="1802"/>
      <c r="AV12" s="30"/>
      <c r="AW12" s="1761"/>
      <c r="AX12" s="30"/>
      <c r="AY12" s="1806"/>
      <c r="AZ12" s="27"/>
      <c r="BA12" s="1794"/>
      <c r="BB12" s="23" t="str">
        <f>I11</f>
        <v>合院</v>
      </c>
      <c r="BC12" s="1807" t="str">
        <f>K11</f>
        <v>戊类库房</v>
      </c>
      <c r="BD12" s="1807" t="str">
        <f>M11</f>
        <v>车库</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4179</v>
      </c>
      <c r="E13" s="15">
        <f>IF($C$3="是",ROUND($A$3*G13/$B$3,2),ROUND($A$3*(G13-AT13)/$B$3,2))</f>
        <v>23188.07</v>
      </c>
      <c r="F13" s="31"/>
      <c r="G13" s="32">
        <f>H13+AC13+AT13</f>
        <v>46306.38</v>
      </c>
      <c r="H13" s="19">
        <f>SUMIF(I$12:AB$12,"总值",I13:AB13)</f>
        <v>46306.38</v>
      </c>
      <c r="I13" s="1809">
        <f>面积清单!Q3</f>
        <v>15708.62</v>
      </c>
      <c r="J13" s="1809"/>
      <c r="K13" s="1809">
        <f>面积清单!Q4</f>
        <v>19826.719999999998</v>
      </c>
      <c r="L13" s="1809"/>
      <c r="M13" s="1809">
        <f>面积清单!Q5</f>
        <v>10771.04</v>
      </c>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23188.07</v>
      </c>
      <c r="AZ13" s="15">
        <f>BA13+BL13</f>
        <v>46306.38</v>
      </c>
      <c r="BA13" s="15">
        <f>SUM(BB13:BK13)</f>
        <v>46306.38</v>
      </c>
      <c r="BB13" s="15">
        <f>IF($D13="是",I13-J13,0)</f>
        <v>15708.62</v>
      </c>
      <c r="BC13" s="15">
        <f>IF($D13="是",K13-L13,0)</f>
        <v>19826.719999999998</v>
      </c>
      <c r="BD13" s="15">
        <f>IF($D13="是",M13-N13,0)</f>
        <v>10771.04</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0</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Normal="100" zoomScaleSheetLayoutView="100" workbookViewId="0">
      <selection activeCell="F13" sqref="F1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0"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300"/>
      <c r="C1" s="1300"/>
      <c r="D1" s="1300"/>
      <c r="E1" s="1300"/>
      <c r="F1" s="1300"/>
      <c r="G1" s="1300"/>
      <c r="H1" s="1300"/>
      <c r="I1" s="1300"/>
      <c r="J1" s="1300"/>
      <c r="K1" s="1300"/>
      <c r="L1" s="1300"/>
      <c r="M1" s="1300"/>
      <c r="N1" s="1300"/>
      <c r="O1" s="1300"/>
      <c r="P1" s="1300"/>
    </row>
    <row r="2" spans="1:16" ht="15">
      <c r="A2" s="3321" t="s">
        <v>1816</v>
      </c>
      <c r="B2" s="3321"/>
      <c r="C2" s="3321"/>
      <c r="D2" s="903" t="s">
        <v>1792</v>
      </c>
      <c r="E2" s="1822" t="s">
        <v>1793</v>
      </c>
      <c r="F2" s="2880"/>
      <c r="G2" s="2871"/>
      <c r="H2" s="2872"/>
      <c r="I2" s="2545" t="s">
        <v>1817</v>
      </c>
      <c r="J2" s="2880"/>
      <c r="K2" s="2880"/>
      <c r="L2" s="2880"/>
      <c r="M2" s="2880"/>
      <c r="N2" s="2882"/>
      <c r="O2" s="2880"/>
      <c r="P2" s="2880"/>
    </row>
    <row r="3" spans="1:16" ht="15.75" thickBot="1">
      <c r="A3" s="3322" t="s">
        <v>1790</v>
      </c>
      <c r="B3" s="3322"/>
      <c r="C3" s="3322"/>
      <c r="D3" s="45">
        <f>'数据-基础表'!AY6</f>
        <v>23188.07</v>
      </c>
      <c r="E3" s="45">
        <f>'数据-基础表'!AZ5</f>
        <v>46306.38</v>
      </c>
      <c r="F3" s="2880"/>
      <c r="G3" s="1306"/>
      <c r="H3" s="1156" t="s">
        <v>1791</v>
      </c>
      <c r="I3" s="963">
        <f>ROUND('数据-基础表'!B3/'数据-基础表'!A3,2)</f>
        <v>2</v>
      </c>
      <c r="J3" s="2880"/>
      <c r="K3" s="2880"/>
      <c r="L3" s="2880"/>
      <c r="M3" s="2880"/>
      <c r="N3" s="2882"/>
      <c r="O3" s="2880"/>
      <c r="P3" s="2880"/>
    </row>
    <row r="4" spans="1:16" ht="15">
      <c r="A4" s="3323"/>
      <c r="B4" s="3324"/>
      <c r="C4" s="3325"/>
      <c r="D4" s="1824" t="s">
        <v>1792</v>
      </c>
      <c r="E4" s="1825" t="s">
        <v>1793</v>
      </c>
      <c r="F4" s="2880"/>
      <c r="G4" s="2873" t="s">
        <v>1818</v>
      </c>
      <c r="H4" s="1156" t="s">
        <v>1798</v>
      </c>
      <c r="I4" s="963">
        <f>ROUND(SUMIF('数据-基础表'!I9:AS9,"地上",'数据-基础表'!I5:AS5)/'数据-基础表'!A3,2)</f>
        <v>0.68</v>
      </c>
      <c r="J4" s="2880"/>
      <c r="K4" s="2880"/>
      <c r="L4" s="2880"/>
      <c r="M4" s="2880"/>
      <c r="N4" s="2882"/>
      <c r="O4" s="2880"/>
      <c r="P4" s="2880"/>
    </row>
    <row r="5" spans="1:16">
      <c r="A5" s="46" t="s">
        <v>1794</v>
      </c>
      <c r="B5" s="3326" t="s">
        <v>1795</v>
      </c>
      <c r="C5" s="3326"/>
      <c r="D5" s="47">
        <f>ROUND($D$3*E5/$E$3,2)</f>
        <v>7866.14</v>
      </c>
      <c r="E5" s="48">
        <f>SUMIF('数据-基础表'!$11:$11,"住宅",'数据-基础表'!$5:$5)</f>
        <v>15708.62</v>
      </c>
      <c r="F5" s="2880"/>
      <c r="G5" s="1306"/>
      <c r="H5" s="1156" t="s">
        <v>1791</v>
      </c>
      <c r="I5" s="963">
        <f>ROUND(E31/D31,2)</f>
        <v>2</v>
      </c>
      <c r="J5" s="2880"/>
      <c r="K5" s="2880"/>
      <c r="L5" s="2880"/>
      <c r="M5" s="2880"/>
      <c r="N5" s="2880"/>
      <c r="O5" s="2880"/>
      <c r="P5" s="2880"/>
    </row>
    <row r="6" spans="1:16" ht="15" thickBot="1">
      <c r="A6" s="1827"/>
      <c r="B6" s="3326" t="s">
        <v>1796</v>
      </c>
      <c r="C6" s="3326"/>
      <c r="D6" s="47">
        <f>ROUND($D$3*E6/$E$3,2)</f>
        <v>15321.93</v>
      </c>
      <c r="E6" s="48">
        <f>E3-E5</f>
        <v>30597.759999999995</v>
      </c>
      <c r="F6" s="2880"/>
      <c r="G6" s="2874" t="s">
        <v>1797</v>
      </c>
      <c r="H6" s="1307" t="s">
        <v>1798</v>
      </c>
      <c r="I6" s="2875">
        <f>ROUND(F31/D31,2)</f>
        <v>0.68</v>
      </c>
      <c r="J6" s="2880"/>
      <c r="K6" s="2880"/>
      <c r="L6" s="2880"/>
      <c r="M6" s="2880"/>
      <c r="N6" s="2880"/>
      <c r="O6" s="2880"/>
      <c r="P6" s="2880"/>
    </row>
    <row r="7" spans="1:16" ht="15.75" thickBot="1">
      <c r="A7" s="3318"/>
      <c r="B7" s="3319"/>
      <c r="C7" s="3320"/>
      <c r="D7" s="1824" t="s">
        <v>1792</v>
      </c>
      <c r="E7" s="1828" t="s">
        <v>1799</v>
      </c>
      <c r="F7" s="2880"/>
      <c r="G7" s="2876" t="s">
        <v>1800</v>
      </c>
      <c r="H7" s="2877"/>
      <c r="I7" s="2878"/>
      <c r="J7" s="2880"/>
      <c r="K7" s="2880"/>
      <c r="L7" s="2880"/>
      <c r="M7" s="2880"/>
      <c r="N7" s="2880"/>
      <c r="O7" s="2880"/>
      <c r="P7" s="2880"/>
    </row>
    <row r="8" spans="1:16">
      <c r="A8" s="46" t="s">
        <v>1801</v>
      </c>
      <c r="B8" s="49" t="s">
        <v>1802</v>
      </c>
      <c r="C8" s="47" t="s">
        <v>1803</v>
      </c>
      <c r="D8" s="47">
        <f t="shared" ref="D8:D15" si="0">ROUND($D$3*E8/$E$3,2)</f>
        <v>7866.14</v>
      </c>
      <c r="E8" s="50">
        <f>SUMIF('数据-基础表'!BB10:BK10,"地上",'数据-基础表'!BB5:BK5)</f>
        <v>15708.62</v>
      </c>
      <c r="F8" s="2880"/>
      <c r="G8" s="2881"/>
      <c r="H8" s="2881"/>
      <c r="I8" s="2880"/>
      <c r="J8" s="2880"/>
      <c r="K8" s="2880"/>
      <c r="L8" s="2880"/>
      <c r="M8" s="2880"/>
      <c r="N8" s="2880"/>
      <c r="O8" s="2880"/>
      <c r="P8" s="2880"/>
    </row>
    <row r="9" spans="1:16">
      <c r="A9" s="1829"/>
      <c r="B9" s="1830"/>
      <c r="C9" s="47" t="s">
        <v>1804</v>
      </c>
      <c r="D9" s="47">
        <f t="shared" si="0"/>
        <v>0</v>
      </c>
      <c r="E9" s="51">
        <v>0</v>
      </c>
      <c r="F9" s="2880"/>
      <c r="G9" s="2881"/>
      <c r="H9" s="2881"/>
      <c r="I9" s="2880"/>
      <c r="J9" s="2880"/>
      <c r="K9" s="2880"/>
      <c r="L9" s="2880"/>
      <c r="M9" s="2880"/>
      <c r="N9" s="2880"/>
      <c r="O9" s="2880"/>
      <c r="P9" s="2880"/>
    </row>
    <row r="10" spans="1:16">
      <c r="A10" s="1829"/>
      <c r="B10" s="1830"/>
      <c r="C10" s="47" t="s">
        <v>1813</v>
      </c>
      <c r="D10" s="47">
        <f t="shared" si="0"/>
        <v>0</v>
      </c>
      <c r="E10" s="50">
        <f>SUMPRODUCT(('数据-基础表'!BB10:BK10="地下")*('数据-基础表'!BB11:BK11="商业")*('数据-基础表'!BB5:BK5))</f>
        <v>0</v>
      </c>
      <c r="F10" s="2880"/>
      <c r="G10" s="2881"/>
      <c r="H10" s="2881"/>
      <c r="I10" s="2880"/>
      <c r="J10" s="2880"/>
      <c r="K10" s="2880"/>
      <c r="L10" s="2880"/>
      <c r="M10" s="2880"/>
      <c r="N10" s="2880"/>
      <c r="O10" s="2880"/>
      <c r="P10" s="2880"/>
    </row>
    <row r="11" spans="1:16">
      <c r="A11" s="1829"/>
      <c r="B11" s="1830"/>
      <c r="C11" s="47" t="s">
        <v>1805</v>
      </c>
      <c r="D11" s="47">
        <f t="shared" si="0"/>
        <v>0</v>
      </c>
      <c r="E11" s="50">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9"/>
      <c r="B12" s="1830"/>
      <c r="C12" s="47" t="s">
        <v>1806</v>
      </c>
      <c r="D12" s="47">
        <f t="shared" si="0"/>
        <v>9928.2900000000009</v>
      </c>
      <c r="E12" s="50">
        <f>SUMPRODUCT(('数据-基础表'!BB10:BK10="地下")*('数据-基础表'!BB11:BK11="仓储")*('数据-基础表'!BB5:BK5))</f>
        <v>19826.719999999998</v>
      </c>
      <c r="F12" s="2880"/>
      <c r="G12" s="2881"/>
      <c r="H12" s="2881"/>
      <c r="I12" s="2880"/>
      <c r="J12" s="2880"/>
      <c r="K12" s="2880"/>
      <c r="L12" s="2880"/>
      <c r="M12" s="2880"/>
      <c r="N12" s="2880"/>
      <c r="O12" s="2880"/>
      <c r="P12" s="2880"/>
    </row>
    <row r="13" spans="1:16">
      <c r="A13" s="1829"/>
      <c r="B13" s="1830"/>
      <c r="C13" s="47" t="s">
        <v>1807</v>
      </c>
      <c r="D13" s="47">
        <f t="shared" si="0"/>
        <v>5393.63</v>
      </c>
      <c r="E13" s="50">
        <f>SUMPRODUCT(('数据-基础表'!BB10:BK10="地下")*('数据-基础表'!BB11:BK11="车库")*('数据-基础表'!BB5:BK5))</f>
        <v>10771.04</v>
      </c>
      <c r="F13" s="2880"/>
      <c r="G13" s="2881"/>
      <c r="H13" s="2881"/>
      <c r="I13" s="2880"/>
      <c r="J13" s="2880"/>
      <c r="K13" s="2880"/>
      <c r="L13" s="2880"/>
      <c r="M13" s="2880"/>
      <c r="N13" s="2880"/>
      <c r="O13" s="2880"/>
      <c r="P13" s="2880"/>
    </row>
    <row r="14" spans="1:16">
      <c r="A14" s="1829"/>
      <c r="B14" s="1830"/>
      <c r="C14" s="47" t="s">
        <v>1819</v>
      </c>
      <c r="D14" s="47">
        <f t="shared" si="0"/>
        <v>0</v>
      </c>
      <c r="E14" s="50">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9"/>
      <c r="B15" s="1830"/>
      <c r="C15" s="47" t="s">
        <v>1814</v>
      </c>
      <c r="D15" s="47">
        <f t="shared" si="0"/>
        <v>0</v>
      </c>
      <c r="E15" s="50">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7"/>
      <c r="B16" s="1830"/>
      <c r="C16" s="49" t="s">
        <v>1808</v>
      </c>
      <c r="D16" s="49">
        <f>SUM(D8:D15)</f>
        <v>23188.06</v>
      </c>
      <c r="E16" s="52">
        <f>SUM(E8:E15)</f>
        <v>46306.38</v>
      </c>
      <c r="F16" s="2880"/>
      <c r="G16" s="2881"/>
      <c r="H16" s="1831" t="s">
        <v>1820</v>
      </c>
      <c r="I16" s="1832"/>
      <c r="J16" s="1300"/>
      <c r="K16" s="3315" t="s">
        <v>1820</v>
      </c>
      <c r="L16" s="3316"/>
      <c r="M16" s="3316"/>
      <c r="N16" s="3316"/>
      <c r="O16" s="3316"/>
      <c r="P16" s="3317"/>
    </row>
    <row r="17" spans="1:19" ht="15">
      <c r="A17" s="1833" t="s">
        <v>1821</v>
      </c>
      <c r="B17" s="1834" t="s">
        <v>1822</v>
      </c>
      <c r="C17" s="1835" t="s">
        <v>1823</v>
      </c>
      <c r="D17" s="1836" t="s">
        <v>1811</v>
      </c>
      <c r="E17" s="1837" t="s">
        <v>1812</v>
      </c>
      <c r="F17" s="1838"/>
      <c r="G17" s="1839"/>
      <c r="H17" s="1840" t="s">
        <v>1824</v>
      </c>
      <c r="I17" s="1841" t="s">
        <v>1809</v>
      </c>
      <c r="J17" s="1300"/>
      <c r="K17" s="3312" t="s">
        <v>1825</v>
      </c>
      <c r="L17" s="3313"/>
      <c r="M17" s="3314"/>
      <c r="N17" s="3312" t="s">
        <v>1826</v>
      </c>
      <c r="O17" s="3313"/>
      <c r="P17" s="3314"/>
      <c r="R17" s="1823" t="s">
        <v>1827</v>
      </c>
      <c r="S17" s="59"/>
    </row>
    <row r="18" spans="1:19" ht="15">
      <c r="A18" s="1829"/>
      <c r="B18" s="1842"/>
      <c r="C18" s="1843"/>
      <c r="D18" s="1844"/>
      <c r="E18" s="1845" t="s">
        <v>1828</v>
      </c>
      <c r="F18" s="1846" t="s">
        <v>1829</v>
      </c>
      <c r="G18" s="1847" t="s">
        <v>1830</v>
      </c>
      <c r="H18" s="1171" t="s">
        <v>1831</v>
      </c>
      <c r="I18" s="1848" t="s">
        <v>1832</v>
      </c>
      <c r="J18" s="1300"/>
      <c r="K18" s="1171" t="s">
        <v>1833</v>
      </c>
      <c r="L18" s="1849" t="s">
        <v>1834</v>
      </c>
      <c r="M18" s="963" t="s">
        <v>1835</v>
      </c>
      <c r="N18" s="1171" t="s">
        <v>1833</v>
      </c>
      <c r="O18" s="1849" t="s">
        <v>1834</v>
      </c>
      <c r="P18" s="963" t="s">
        <v>1835</v>
      </c>
      <c r="R18" s="1156" t="s">
        <v>1836</v>
      </c>
      <c r="S18" s="1156" t="s">
        <v>1837</v>
      </c>
    </row>
    <row r="19" spans="1:19">
      <c r="A19" s="1850"/>
      <c r="B19" s="49" t="s">
        <v>1810</v>
      </c>
      <c r="C19" s="3106" t="s">
        <v>4183</v>
      </c>
      <c r="D19" s="47">
        <f>ROUND($D$3*E19/$E$3,2)</f>
        <v>7866.14</v>
      </c>
      <c r="E19" s="55">
        <f t="shared" ref="E19:E26" si="1">SUM(F19:G19)</f>
        <v>15708.62</v>
      </c>
      <c r="F19" s="3019">
        <f>'数据-基础表'!I13</f>
        <v>15708.62</v>
      </c>
      <c r="G19" s="3020"/>
      <c r="H19" s="678">
        <f>ROUND($D$3*I19/$E$3,2)</f>
        <v>0</v>
      </c>
      <c r="I19" s="50">
        <f t="shared" ref="I19:I26" si="2">IF($I$17="自定义",P19,M19)</f>
        <v>0</v>
      </c>
      <c r="J19" s="1300"/>
      <c r="K19" s="1299">
        <f t="shared" ref="K19:K26" si="3">ROUND(E$28*E19/E$27,2)</f>
        <v>0</v>
      </c>
      <c r="L19" s="1156">
        <f t="shared" ref="L19:L26" si="4">ROUND(IF(COUNTIF(C19,"*住宅*")&gt;0,E$29*E19/E$32,0),2)</f>
        <v>0</v>
      </c>
      <c r="M19" s="1311">
        <f>K19+L19</f>
        <v>0</v>
      </c>
      <c r="N19" s="1851"/>
      <c r="O19" s="1852"/>
      <c r="P19" s="1311">
        <f>N19+O19</f>
        <v>0</v>
      </c>
      <c r="R19" s="1156">
        <f t="shared" ref="R19:S26" si="5">D19+H19</f>
        <v>7866.14</v>
      </c>
      <c r="S19" s="1157">
        <f t="shared" si="5"/>
        <v>15708.62</v>
      </c>
    </row>
    <row r="20" spans="1:19">
      <c r="A20" s="1853"/>
      <c r="B20" s="49" t="s">
        <v>1838</v>
      </c>
      <c r="C20" s="3106" t="s">
        <v>4489</v>
      </c>
      <c r="D20" s="47">
        <f t="shared" ref="D20:D26" si="6">ROUND($D$3*E20/$E$3,2)</f>
        <v>9928.2900000000009</v>
      </c>
      <c r="E20" s="55">
        <f t="shared" si="1"/>
        <v>19826.719999999998</v>
      </c>
      <c r="F20" s="3019"/>
      <c r="G20" s="3020">
        <f>'数据-基础表'!K13</f>
        <v>19826.719999999998</v>
      </c>
      <c r="H20" s="678">
        <f t="shared" ref="H20:H26" si="7">ROUND($D$3*I20/$E$3,2)</f>
        <v>0</v>
      </c>
      <c r="I20" s="50">
        <f t="shared" si="2"/>
        <v>0</v>
      </c>
      <c r="J20" s="1300"/>
      <c r="K20" s="1299">
        <f t="shared" si="3"/>
        <v>0</v>
      </c>
      <c r="L20" s="1156">
        <f t="shared" si="4"/>
        <v>0</v>
      </c>
      <c r="M20" s="1311">
        <f t="shared" ref="M20:M26" si="8">K20+L20</f>
        <v>0</v>
      </c>
      <c r="N20" s="1851"/>
      <c r="O20" s="1852"/>
      <c r="P20" s="1311">
        <f t="shared" ref="P20:P26" si="9">N20+O20</f>
        <v>0</v>
      </c>
      <c r="R20" s="1156">
        <f t="shared" si="5"/>
        <v>9928.2900000000009</v>
      </c>
      <c r="S20" s="1157">
        <f t="shared" si="5"/>
        <v>19826.719999999998</v>
      </c>
    </row>
    <row r="21" spans="1:19">
      <c r="A21" s="1853"/>
      <c r="B21" s="49" t="s">
        <v>1838</v>
      </c>
      <c r="C21" s="3106" t="s">
        <v>4185</v>
      </c>
      <c r="D21" s="47">
        <f t="shared" si="6"/>
        <v>5393.63</v>
      </c>
      <c r="E21" s="55">
        <f t="shared" si="1"/>
        <v>10771.04</v>
      </c>
      <c r="F21" s="3019"/>
      <c r="G21" s="3020">
        <f>'数据-基础表'!M13</f>
        <v>10771.04</v>
      </c>
      <c r="H21" s="678">
        <f t="shared" si="7"/>
        <v>0</v>
      </c>
      <c r="I21" s="50">
        <f t="shared" si="2"/>
        <v>0</v>
      </c>
      <c r="J21" s="1300"/>
      <c r="K21" s="1299">
        <f t="shared" si="3"/>
        <v>0</v>
      </c>
      <c r="L21" s="1156">
        <f t="shared" si="4"/>
        <v>0</v>
      </c>
      <c r="M21" s="1311">
        <f t="shared" si="8"/>
        <v>0</v>
      </c>
      <c r="N21" s="1851"/>
      <c r="O21" s="1852"/>
      <c r="P21" s="1311">
        <f t="shared" si="9"/>
        <v>0</v>
      </c>
      <c r="R21" s="1156">
        <f t="shared" si="5"/>
        <v>5393.63</v>
      </c>
      <c r="S21" s="1157">
        <f t="shared" si="5"/>
        <v>10771.04</v>
      </c>
    </row>
    <row r="22" spans="1:19">
      <c r="A22" s="1853"/>
      <c r="B22" s="49" t="s">
        <v>1838</v>
      </c>
      <c r="C22" s="57"/>
      <c r="D22" s="47">
        <f t="shared" si="6"/>
        <v>0</v>
      </c>
      <c r="E22" s="55">
        <f t="shared" si="1"/>
        <v>0</v>
      </c>
      <c r="F22" s="3021"/>
      <c r="G22" s="3022"/>
      <c r="H22" s="678">
        <f t="shared" si="7"/>
        <v>0</v>
      </c>
      <c r="I22" s="50">
        <f t="shared" si="2"/>
        <v>0</v>
      </c>
      <c r="J22" s="1300"/>
      <c r="K22" s="1299">
        <f t="shared" si="3"/>
        <v>0</v>
      </c>
      <c r="L22" s="1156">
        <f t="shared" si="4"/>
        <v>0</v>
      </c>
      <c r="M22" s="1311">
        <f t="shared" si="8"/>
        <v>0</v>
      </c>
      <c r="N22" s="1851"/>
      <c r="O22" s="1852"/>
      <c r="P22" s="1311">
        <f t="shared" si="9"/>
        <v>0</v>
      </c>
      <c r="R22" s="1156">
        <f t="shared" si="5"/>
        <v>0</v>
      </c>
      <c r="S22" s="1157">
        <f t="shared" si="5"/>
        <v>0</v>
      </c>
    </row>
    <row r="23" spans="1:19">
      <c r="A23" s="1853"/>
      <c r="B23" s="49" t="s">
        <v>1838</v>
      </c>
      <c r="C23" s="57"/>
      <c r="D23" s="47">
        <f>ROUND($D$3*E23/$E$3,2)</f>
        <v>0</v>
      </c>
      <c r="E23" s="55">
        <f>SUM(F23:G23)</f>
        <v>0</v>
      </c>
      <c r="F23" s="3021"/>
      <c r="G23" s="3022"/>
      <c r="H23" s="678">
        <f>ROUND($D$3*I23/$E$3,2)</f>
        <v>0</v>
      </c>
      <c r="I23" s="50">
        <f t="shared" si="2"/>
        <v>0</v>
      </c>
      <c r="J23" s="1300"/>
      <c r="K23" s="1299">
        <f t="shared" si="3"/>
        <v>0</v>
      </c>
      <c r="L23" s="1156">
        <f t="shared" si="4"/>
        <v>0</v>
      </c>
      <c r="M23" s="1311">
        <f t="shared" si="8"/>
        <v>0</v>
      </c>
      <c r="N23" s="1851"/>
      <c r="O23" s="1852"/>
      <c r="P23" s="1311">
        <f t="shared" si="9"/>
        <v>0</v>
      </c>
      <c r="R23" s="1156">
        <f t="shared" si="5"/>
        <v>0</v>
      </c>
      <c r="S23" s="1157">
        <f t="shared" si="5"/>
        <v>0</v>
      </c>
    </row>
    <row r="24" spans="1:19">
      <c r="A24" s="1853"/>
      <c r="B24" s="49" t="s">
        <v>1838</v>
      </c>
      <c r="C24" s="57"/>
      <c r="D24" s="47">
        <f>ROUND($D$3*E24/$E$3,2)</f>
        <v>0</v>
      </c>
      <c r="E24" s="55">
        <f>SUM(F24:G24)</f>
        <v>0</v>
      </c>
      <c r="F24" s="3021"/>
      <c r="G24" s="3022"/>
      <c r="H24" s="678">
        <f>ROUND($D$3*I24/$E$3,2)</f>
        <v>0</v>
      </c>
      <c r="I24" s="50">
        <f t="shared" si="2"/>
        <v>0</v>
      </c>
      <c r="J24" s="1300"/>
      <c r="K24" s="1299">
        <f t="shared" si="3"/>
        <v>0</v>
      </c>
      <c r="L24" s="1156">
        <f t="shared" si="4"/>
        <v>0</v>
      </c>
      <c r="M24" s="1311">
        <f t="shared" si="8"/>
        <v>0</v>
      </c>
      <c r="N24" s="1851"/>
      <c r="O24" s="1852"/>
      <c r="P24" s="1311">
        <f t="shared" si="9"/>
        <v>0</v>
      </c>
      <c r="R24" s="1156">
        <f t="shared" si="5"/>
        <v>0</v>
      </c>
      <c r="S24" s="1157">
        <f t="shared" si="5"/>
        <v>0</v>
      </c>
    </row>
    <row r="25" spans="1:19">
      <c r="A25" s="1853"/>
      <c r="B25" s="49" t="s">
        <v>1838</v>
      </c>
      <c r="C25" s="57"/>
      <c r="D25" s="47">
        <f t="shared" si="6"/>
        <v>0</v>
      </c>
      <c r="E25" s="55">
        <f t="shared" si="1"/>
        <v>0</v>
      </c>
      <c r="F25" s="3021"/>
      <c r="G25" s="3022"/>
      <c r="H25" s="46">
        <f t="shared" si="7"/>
        <v>0</v>
      </c>
      <c r="I25" s="50">
        <f t="shared" si="2"/>
        <v>0</v>
      </c>
      <c r="J25" s="1300"/>
      <c r="K25" s="1299">
        <f t="shared" si="3"/>
        <v>0</v>
      </c>
      <c r="L25" s="1156">
        <f t="shared" si="4"/>
        <v>0</v>
      </c>
      <c r="M25" s="1311">
        <f t="shared" si="8"/>
        <v>0</v>
      </c>
      <c r="N25" s="1851"/>
      <c r="O25" s="1852"/>
      <c r="P25" s="1311">
        <f t="shared" si="9"/>
        <v>0</v>
      </c>
      <c r="R25" s="1156">
        <f t="shared" si="5"/>
        <v>0</v>
      </c>
      <c r="S25" s="1157">
        <f t="shared" si="5"/>
        <v>0</v>
      </c>
    </row>
    <row r="26" spans="1:19">
      <c r="A26" s="1853"/>
      <c r="B26" s="49" t="s">
        <v>1838</v>
      </c>
      <c r="C26" s="58"/>
      <c r="D26" s="47">
        <f t="shared" si="6"/>
        <v>0</v>
      </c>
      <c r="E26" s="55">
        <f t="shared" si="1"/>
        <v>0</v>
      </c>
      <c r="F26" s="3021"/>
      <c r="G26" s="3022"/>
      <c r="H26" s="46">
        <f t="shared" si="7"/>
        <v>0</v>
      </c>
      <c r="I26" s="50">
        <f t="shared" si="2"/>
        <v>0</v>
      </c>
      <c r="J26" s="1300"/>
      <c r="K26" s="1306">
        <f t="shared" si="3"/>
        <v>0</v>
      </c>
      <c r="L26" s="1307">
        <f t="shared" si="4"/>
        <v>0</v>
      </c>
      <c r="M26" s="62">
        <f t="shared" si="8"/>
        <v>0</v>
      </c>
      <c r="N26" s="1854"/>
      <c r="O26" s="1855"/>
      <c r="P26" s="62">
        <f t="shared" si="9"/>
        <v>0</v>
      </c>
      <c r="R26" s="1156">
        <f t="shared" si="5"/>
        <v>0</v>
      </c>
      <c r="S26" s="1157">
        <f t="shared" si="5"/>
        <v>0</v>
      </c>
    </row>
    <row r="27" spans="1:19" ht="29.25" thickBot="1">
      <c r="A27" s="1853"/>
      <c r="B27" s="47"/>
      <c r="C27" s="1856" t="s">
        <v>1839</v>
      </c>
      <c r="D27" s="1301">
        <f>SUM(D19:D26)</f>
        <v>23188.06</v>
      </c>
      <c r="E27" s="1302">
        <f>IF(SUM(E19:E26)='数据-基础表'!BA5,SUM(E19:E26),IF(F27="地上面积有误","面积有误","地下面积有误"))</f>
        <v>46306.38</v>
      </c>
      <c r="F27" s="1301">
        <f>IF(SUM(F19:F26)=E8,SUM(F19:F26),"地上面积有误")</f>
        <v>15708.62</v>
      </c>
      <c r="G27" s="1303">
        <f>SUM(G19:G26)</f>
        <v>30597.759999999998</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t="str">
        <f>IF(SUM(R19:R26)=$D$3,SUM(R19:R26),SUM(R19:R26)&amp;"误差"&amp;ROUND(SUM(R19:R26)-$D$3,2))</f>
        <v>23188.06误差-0.01</v>
      </c>
      <c r="S27" s="1156">
        <f>IF(SUM(S19:S26)=$E$3,SUM(S19:S26),SUM(S19:S26)&amp;"误差"&amp;ROUND(SUM(S19:S26)-E3,2))</f>
        <v>46306.38</v>
      </c>
    </row>
    <row r="28" spans="1:19">
      <c r="A28" s="1853"/>
      <c r="B28" s="49" t="s">
        <v>1840</v>
      </c>
      <c r="C28" s="1168" t="s">
        <v>1841</v>
      </c>
      <c r="D28" s="47">
        <f>ROUND($D$3*E28/$E$3,2)</f>
        <v>0</v>
      </c>
      <c r="E28" s="55">
        <f>SUM(F28:G28)</f>
        <v>0</v>
      </c>
      <c r="F28" s="59">
        <f>'数据-基础表'!BQ5+'数据-基础表'!BS5</f>
        <v>0</v>
      </c>
      <c r="G28" s="60">
        <f>'数据-基础表'!BR5+'数据-基础表'!BT5</f>
        <v>0</v>
      </c>
      <c r="H28" s="2880"/>
      <c r="I28" s="2880"/>
      <c r="J28" s="2880"/>
      <c r="K28" s="2880"/>
      <c r="L28" s="2880"/>
      <c r="M28" s="2880"/>
      <c r="N28" s="2880"/>
      <c r="O28" s="2880"/>
      <c r="P28" s="2880"/>
    </row>
    <row r="29" spans="1:19">
      <c r="A29" s="1853"/>
      <c r="B29" s="49" t="s">
        <v>1840</v>
      </c>
      <c r="C29" s="1857" t="s">
        <v>1842</v>
      </c>
      <c r="D29" s="47">
        <f>ROUND($D$3*E29/$E$3,2)</f>
        <v>0</v>
      </c>
      <c r="E29" s="55">
        <f>SUM(F29:G29)</f>
        <v>0</v>
      </c>
      <c r="F29" s="61">
        <f>'数据-基础表'!BM5+'数据-基础表'!BO5</f>
        <v>0</v>
      </c>
      <c r="G29" s="62">
        <f>'数据-基础表'!BN5+'数据-基础表'!BP5</f>
        <v>0</v>
      </c>
      <c r="H29" s="2880"/>
      <c r="I29" s="2880"/>
      <c r="J29" s="2880"/>
      <c r="K29" s="2880"/>
      <c r="L29" s="2880"/>
      <c r="M29" s="2880"/>
      <c r="N29" s="2880"/>
      <c r="O29" s="2880"/>
      <c r="P29" s="2880"/>
    </row>
    <row r="30" spans="1:19" ht="15">
      <c r="A30" s="1853"/>
      <c r="B30" s="49"/>
      <c r="C30" s="1858" t="s">
        <v>1839</v>
      </c>
      <c r="D30" s="1301">
        <f>SUM(D28:D29)</f>
        <v>0</v>
      </c>
      <c r="E30" s="1301">
        <f>SUM(E28:E29)</f>
        <v>0</v>
      </c>
      <c r="F30" s="1301">
        <f>SUM(F28:F29)</f>
        <v>0</v>
      </c>
      <c r="G30" s="1303">
        <f>SUM(G28:G29)</f>
        <v>0</v>
      </c>
      <c r="H30" s="2880"/>
      <c r="I30" s="2880"/>
      <c r="J30" s="2880"/>
      <c r="K30" s="2880"/>
      <c r="L30" s="2880"/>
      <c r="M30" s="2880"/>
      <c r="N30" s="2880"/>
      <c r="O30" s="2880"/>
      <c r="P30" s="2880"/>
    </row>
    <row r="31" spans="1:19" ht="15.75" thickBot="1">
      <c r="A31" s="1859"/>
      <c r="B31" s="1860"/>
      <c r="C31" s="943" t="s">
        <v>1843</v>
      </c>
      <c r="D31" s="684">
        <f>D27+D30</f>
        <v>23188.06</v>
      </c>
      <c r="E31" s="684">
        <f>E27+E30</f>
        <v>46306.38</v>
      </c>
      <c r="F31" s="685">
        <f>F27+F30</f>
        <v>15708.62</v>
      </c>
      <c r="G31" s="686">
        <f>G27+G30</f>
        <v>30597.759999999998</v>
      </c>
      <c r="H31" s="2880"/>
      <c r="I31" s="2880"/>
      <c r="J31" s="2880"/>
      <c r="K31" s="2880"/>
      <c r="L31" s="2880"/>
      <c r="M31" s="2880"/>
      <c r="N31" s="2880"/>
      <c r="O31" s="2880"/>
      <c r="P31" s="2880"/>
    </row>
    <row r="32" spans="1:19">
      <c r="A32" s="1826"/>
      <c r="B32" s="1826" t="s">
        <v>1844</v>
      </c>
      <c r="C32" s="1826"/>
      <c r="D32" s="1826"/>
      <c r="E32" s="1183">
        <f>SUMIF(C19:C26,"*住宅*",E19:E26)</f>
        <v>15708.62</v>
      </c>
      <c r="F32" s="1826"/>
      <c r="G32" s="1826"/>
      <c r="H32" s="2880"/>
      <c r="I32" s="2880"/>
      <c r="J32" s="2880"/>
      <c r="K32" s="2880"/>
      <c r="L32" s="2880"/>
      <c r="M32" s="2880"/>
      <c r="N32" s="2880"/>
      <c r="O32" s="2880"/>
      <c r="P32" s="2880"/>
    </row>
    <row r="33" spans="4:7">
      <c r="D33" s="1861"/>
    </row>
    <row r="35" spans="4:7">
      <c r="G35" s="1821">
        <f>G27/F27</f>
        <v>1.9478324639592781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7"/>
  <sheetViews>
    <sheetView topLeftCell="G1" zoomScaleNormal="100" workbookViewId="0">
      <selection activeCell="L65" sqref="L65"/>
    </sheetView>
  </sheetViews>
  <sheetFormatPr defaultRowHeight="13.5"/>
  <cols>
    <col min="3" max="3" width="9.875" customWidth="1"/>
    <col min="4" max="4" width="9.75" customWidth="1"/>
    <col min="5" max="5" width="7.75" customWidth="1"/>
    <col min="10" max="10" width="9" customWidth="1"/>
    <col min="13" max="13" width="11.125" customWidth="1"/>
    <col min="14" max="14" width="9.125" customWidth="1"/>
    <col min="15" max="15" width="10.5" style="3073" customWidth="1"/>
    <col min="16" max="16" width="10.5" customWidth="1"/>
    <col min="18" max="18" width="11" customWidth="1"/>
  </cols>
  <sheetData>
    <row r="1" spans="1:22">
      <c r="A1" s="3071" t="s">
        <v>3058</v>
      </c>
      <c r="B1" s="3072"/>
      <c r="C1" s="3072"/>
      <c r="D1" s="3071" t="s">
        <v>3059</v>
      </c>
      <c r="E1" s="3071"/>
      <c r="F1" s="3071" t="s">
        <v>3060</v>
      </c>
      <c r="G1" s="3071"/>
      <c r="H1" s="3072"/>
      <c r="I1" s="3072"/>
      <c r="J1" s="3072"/>
      <c r="K1" s="3072"/>
      <c r="S1" s="3071" t="s">
        <v>3059</v>
      </c>
      <c r="T1" s="3071"/>
      <c r="U1" s="3071" t="s">
        <v>3060</v>
      </c>
      <c r="V1" s="3071"/>
    </row>
    <row r="2" spans="1:22">
      <c r="A2" s="3074"/>
      <c r="B2" s="3075"/>
      <c r="C2" s="3075"/>
      <c r="D2" s="3074" t="s">
        <v>3061</v>
      </c>
      <c r="E2" s="3074" t="s">
        <v>3062</v>
      </c>
      <c r="F2" s="3074" t="s">
        <v>3063</v>
      </c>
      <c r="G2" s="3074" t="s">
        <v>3064</v>
      </c>
      <c r="H2" s="3074" t="s">
        <v>3065</v>
      </c>
      <c r="I2" s="3074" t="s">
        <v>3066</v>
      </c>
      <c r="J2" s="3074" t="s">
        <v>3067</v>
      </c>
      <c r="K2" s="3074" t="s">
        <v>3068</v>
      </c>
      <c r="L2" s="3074"/>
      <c r="M2" s="3076"/>
      <c r="N2" s="3077" t="s">
        <v>3069</v>
      </c>
      <c r="O2" s="3078" t="s">
        <v>3069</v>
      </c>
      <c r="P2" s="3077" t="s">
        <v>3070</v>
      </c>
      <c r="Q2" s="3076">
        <v>0.6</v>
      </c>
      <c r="R2" s="3077" t="s">
        <v>3071</v>
      </c>
      <c r="S2" s="3074" t="s">
        <v>3061</v>
      </c>
      <c r="T2" s="3074" t="s">
        <v>3062</v>
      </c>
      <c r="U2" s="3074" t="s">
        <v>3063</v>
      </c>
      <c r="V2" s="3071" t="s">
        <v>3064</v>
      </c>
    </row>
    <row r="3" spans="1:22">
      <c r="A3" s="3074" t="s">
        <v>3072</v>
      </c>
      <c r="B3" s="3074" t="s">
        <v>3073</v>
      </c>
      <c r="C3" s="3074">
        <v>816.37</v>
      </c>
      <c r="D3" s="3075">
        <v>282.8</v>
      </c>
      <c r="E3" s="3075"/>
      <c r="F3" s="3075">
        <v>484.57</v>
      </c>
      <c r="G3" s="3075">
        <v>49</v>
      </c>
      <c r="H3" s="3075">
        <v>2</v>
      </c>
      <c r="I3" s="3075">
        <v>3</v>
      </c>
      <c r="J3" s="3075">
        <v>1</v>
      </c>
      <c r="K3" s="3075">
        <v>2</v>
      </c>
      <c r="L3" s="3076"/>
      <c r="M3" s="3077">
        <f>R3</f>
        <v>817.74</v>
      </c>
      <c r="N3" s="3077" t="s">
        <v>3070</v>
      </c>
      <c r="O3" s="3079">
        <v>0.6</v>
      </c>
      <c r="P3" s="3077" t="s">
        <v>3074</v>
      </c>
      <c r="Q3" s="3076">
        <v>0.45</v>
      </c>
      <c r="R3" s="3076">
        <v>817.74</v>
      </c>
      <c r="S3" s="3076">
        <v>282.56</v>
      </c>
      <c r="T3" s="3076"/>
      <c r="U3" s="3076">
        <f t="shared" ref="U3:U66" si="0">R3-S3</f>
        <v>535.18000000000006</v>
      </c>
    </row>
    <row r="4" spans="1:22">
      <c r="A4" s="3074" t="s">
        <v>3075</v>
      </c>
      <c r="B4" s="3074" t="s">
        <v>3073</v>
      </c>
      <c r="C4" s="3074">
        <v>816.37</v>
      </c>
      <c r="D4" s="3075">
        <v>282.8</v>
      </c>
      <c r="E4" s="3075"/>
      <c r="F4" s="3075">
        <v>484.57</v>
      </c>
      <c r="G4" s="3075">
        <v>49</v>
      </c>
      <c r="H4" s="3075">
        <v>2</v>
      </c>
      <c r="I4" s="3075">
        <v>3</v>
      </c>
      <c r="J4" s="3075">
        <v>1</v>
      </c>
      <c r="K4" s="3075">
        <v>2</v>
      </c>
      <c r="L4" s="3076"/>
      <c r="M4" s="3077">
        <f t="shared" ref="M4:M67" si="1">R4</f>
        <v>817.45</v>
      </c>
      <c r="N4" s="3077" t="s">
        <v>3070</v>
      </c>
      <c r="O4" s="3079">
        <v>0.6</v>
      </c>
      <c r="P4" s="3077" t="s">
        <v>3076</v>
      </c>
      <c r="Q4" s="3076">
        <v>0.3</v>
      </c>
      <c r="R4" s="3076">
        <v>817.45</v>
      </c>
      <c r="S4" s="3076">
        <v>282.56</v>
      </c>
      <c r="T4" s="3076"/>
      <c r="U4" s="3076">
        <f t="shared" si="0"/>
        <v>534.8900000000001</v>
      </c>
    </row>
    <row r="5" spans="1:22">
      <c r="A5" s="3074" t="s">
        <v>3077</v>
      </c>
      <c r="B5" s="3074" t="s">
        <v>3073</v>
      </c>
      <c r="C5" s="3074">
        <v>1202.82</v>
      </c>
      <c r="D5" s="3075">
        <v>435.55</v>
      </c>
      <c r="E5" s="3075"/>
      <c r="F5" s="3075">
        <v>669.27</v>
      </c>
      <c r="G5" s="3075">
        <v>98</v>
      </c>
      <c r="H5" s="3075">
        <v>2</v>
      </c>
      <c r="I5" s="3075">
        <v>3</v>
      </c>
      <c r="J5" s="3075">
        <v>1</v>
      </c>
      <c r="K5" s="3075">
        <v>4</v>
      </c>
      <c r="L5" s="3076"/>
      <c r="M5" s="3077">
        <f t="shared" si="1"/>
        <v>1215.04</v>
      </c>
      <c r="N5" s="3077" t="s">
        <v>3070</v>
      </c>
      <c r="O5" s="3079">
        <v>0.6</v>
      </c>
      <c r="P5" s="3077" t="s">
        <v>3078</v>
      </c>
      <c r="Q5" s="3076">
        <v>0.25</v>
      </c>
      <c r="R5" s="3076">
        <v>1215.04</v>
      </c>
      <c r="S5" s="3076">
        <v>435.56</v>
      </c>
      <c r="T5" s="3076"/>
      <c r="U5" s="3076">
        <f t="shared" si="0"/>
        <v>779.48</v>
      </c>
    </row>
    <row r="6" spans="1:22">
      <c r="A6" s="3074" t="s">
        <v>3079</v>
      </c>
      <c r="B6" s="3074" t="s">
        <v>3073</v>
      </c>
      <c r="C6" s="3074">
        <v>1799.5</v>
      </c>
      <c r="D6" s="3075">
        <v>652</v>
      </c>
      <c r="E6" s="3075"/>
      <c r="F6" s="3075">
        <v>1000.5</v>
      </c>
      <c r="G6" s="3075">
        <v>147</v>
      </c>
      <c r="H6" s="3075">
        <v>2</v>
      </c>
      <c r="I6" s="3075">
        <v>3</v>
      </c>
      <c r="J6" s="3075">
        <v>1</v>
      </c>
      <c r="K6" s="3075">
        <v>6</v>
      </c>
      <c r="L6" s="3076"/>
      <c r="M6" s="3077">
        <f t="shared" si="1"/>
        <v>1815.68</v>
      </c>
      <c r="N6" s="3077" t="s">
        <v>3070</v>
      </c>
      <c r="O6" s="3079">
        <v>0.6</v>
      </c>
      <c r="P6" s="3077" t="s">
        <v>3080</v>
      </c>
      <c r="Q6" s="3076">
        <v>0.2</v>
      </c>
      <c r="R6" s="3076">
        <v>1815.68</v>
      </c>
      <c r="S6" s="3076">
        <v>652.01</v>
      </c>
      <c r="T6" s="3076"/>
      <c r="U6" s="3076">
        <f t="shared" si="0"/>
        <v>1163.67</v>
      </c>
    </row>
    <row r="7" spans="1:22">
      <c r="A7" s="3074" t="s">
        <v>3081</v>
      </c>
      <c r="B7" s="3074" t="s">
        <v>3073</v>
      </c>
      <c r="C7" s="3074">
        <v>1799.5</v>
      </c>
      <c r="D7" s="3075">
        <v>652</v>
      </c>
      <c r="E7" s="3075"/>
      <c r="F7" s="3075">
        <v>1000.5</v>
      </c>
      <c r="G7" s="3075">
        <v>147</v>
      </c>
      <c r="H7" s="3075">
        <v>2</v>
      </c>
      <c r="I7" s="3075">
        <v>3</v>
      </c>
      <c r="J7" s="3075">
        <v>1</v>
      </c>
      <c r="K7" s="3075">
        <v>6</v>
      </c>
      <c r="L7" s="3076"/>
      <c r="M7" s="3077">
        <f t="shared" si="1"/>
        <v>1816.24</v>
      </c>
      <c r="N7" s="3077" t="s">
        <v>3070</v>
      </c>
      <c r="O7" s="3079">
        <v>0.6</v>
      </c>
      <c r="P7" s="3077" t="s">
        <v>3082</v>
      </c>
      <c r="Q7" s="3076">
        <v>0.1</v>
      </c>
      <c r="R7" s="3076">
        <v>1816.24</v>
      </c>
      <c r="S7" s="3076">
        <v>652.01</v>
      </c>
      <c r="T7" s="3076"/>
      <c r="U7" s="3076">
        <f t="shared" si="0"/>
        <v>1164.23</v>
      </c>
    </row>
    <row r="8" spans="1:22">
      <c r="A8" s="3074" t="s">
        <v>3083</v>
      </c>
      <c r="B8" s="3074" t="s">
        <v>3073</v>
      </c>
      <c r="C8" s="3074">
        <v>1202.82</v>
      </c>
      <c r="D8" s="3075">
        <v>435.55</v>
      </c>
      <c r="E8" s="3075"/>
      <c r="F8" s="3075">
        <v>669.27</v>
      </c>
      <c r="G8" s="3075">
        <v>98</v>
      </c>
      <c r="H8" s="3075">
        <v>2</v>
      </c>
      <c r="I8" s="3075">
        <v>3</v>
      </c>
      <c r="J8" s="3075">
        <v>1</v>
      </c>
      <c r="K8" s="3075">
        <v>4</v>
      </c>
      <c r="L8" s="3076"/>
      <c r="M8" s="3077">
        <f t="shared" si="1"/>
        <v>1215.04</v>
      </c>
      <c r="N8" s="3077" t="s">
        <v>3070</v>
      </c>
      <c r="O8" s="3079">
        <v>0.6</v>
      </c>
      <c r="P8" s="3077" t="s">
        <v>3084</v>
      </c>
      <c r="Q8" s="3076">
        <v>0</v>
      </c>
      <c r="R8" s="3076">
        <v>1215.04</v>
      </c>
      <c r="S8" s="3076">
        <v>435.56</v>
      </c>
      <c r="T8" s="3076"/>
      <c r="U8" s="3076">
        <f t="shared" si="0"/>
        <v>779.48</v>
      </c>
    </row>
    <row r="9" spans="1:22">
      <c r="A9" s="3074" t="s">
        <v>3085</v>
      </c>
      <c r="B9" s="3074" t="s">
        <v>3073</v>
      </c>
      <c r="C9" s="3074">
        <v>1799.5</v>
      </c>
      <c r="D9" s="3075">
        <v>652</v>
      </c>
      <c r="E9" s="3075"/>
      <c r="F9" s="3075">
        <v>1000.5</v>
      </c>
      <c r="G9" s="3075">
        <v>147</v>
      </c>
      <c r="H9" s="3075">
        <v>2</v>
      </c>
      <c r="I9" s="3075">
        <v>3</v>
      </c>
      <c r="J9" s="3075">
        <v>1</v>
      </c>
      <c r="K9" s="3075">
        <v>6</v>
      </c>
      <c r="L9" s="3076"/>
      <c r="M9" s="3077">
        <f t="shared" si="1"/>
        <v>1817.98</v>
      </c>
      <c r="N9" s="3077" t="s">
        <v>3070</v>
      </c>
      <c r="O9" s="3079">
        <v>0.6</v>
      </c>
      <c r="P9" s="3077" t="s">
        <v>3086</v>
      </c>
      <c r="Q9" s="3076">
        <v>0.8</v>
      </c>
      <c r="R9" s="3076">
        <v>1817.98</v>
      </c>
      <c r="S9" s="3076">
        <v>652.01</v>
      </c>
      <c r="T9" s="3076"/>
      <c r="U9" s="3076">
        <f t="shared" si="0"/>
        <v>1165.97</v>
      </c>
    </row>
    <row r="10" spans="1:22">
      <c r="A10" s="3074" t="s">
        <v>3087</v>
      </c>
      <c r="B10" s="3074" t="s">
        <v>3073</v>
      </c>
      <c r="C10" s="3074">
        <v>1202.82</v>
      </c>
      <c r="D10" s="3075">
        <v>435.55</v>
      </c>
      <c r="E10" s="3075"/>
      <c r="F10" s="3075">
        <v>669.27</v>
      </c>
      <c r="G10" s="3075">
        <v>98</v>
      </c>
      <c r="H10" s="3075">
        <v>2</v>
      </c>
      <c r="I10" s="3075">
        <v>3</v>
      </c>
      <c r="J10" s="3075">
        <v>1</v>
      </c>
      <c r="K10" s="3075">
        <v>4</v>
      </c>
      <c r="L10" s="3076"/>
      <c r="M10" s="3077">
        <f t="shared" si="1"/>
        <v>1213.94</v>
      </c>
      <c r="N10" s="3077" t="s">
        <v>3070</v>
      </c>
      <c r="O10" s="3079">
        <v>0.6</v>
      </c>
      <c r="P10" s="3077" t="s">
        <v>3088</v>
      </c>
      <c r="Q10" s="3076">
        <v>1</v>
      </c>
      <c r="R10" s="3076">
        <v>1213.94</v>
      </c>
      <c r="S10" s="3076">
        <v>435.56</v>
      </c>
      <c r="T10" s="3076"/>
      <c r="U10" s="3076">
        <f t="shared" si="0"/>
        <v>778.38000000000011</v>
      </c>
    </row>
    <row r="11" spans="1:22">
      <c r="A11" s="3074" t="s">
        <v>3089</v>
      </c>
      <c r="B11" s="3074" t="s">
        <v>3073</v>
      </c>
      <c r="C11" s="3074">
        <v>1202.82</v>
      </c>
      <c r="D11" s="3075">
        <v>435.55</v>
      </c>
      <c r="E11" s="3075"/>
      <c r="F11" s="3075">
        <v>669.27</v>
      </c>
      <c r="G11" s="3075">
        <v>98</v>
      </c>
      <c r="H11" s="3075">
        <v>2</v>
      </c>
      <c r="I11" s="3075">
        <v>3</v>
      </c>
      <c r="J11" s="3075">
        <v>1</v>
      </c>
      <c r="K11" s="3075">
        <v>4</v>
      </c>
      <c r="L11" s="3076"/>
      <c r="M11" s="3077">
        <f t="shared" si="1"/>
        <v>1213.94</v>
      </c>
      <c r="N11" s="3077" t="s">
        <v>3070</v>
      </c>
      <c r="O11" s="3079">
        <v>0.6</v>
      </c>
      <c r="P11" s="3076"/>
      <c r="Q11" s="3076"/>
      <c r="R11" s="3076">
        <v>1213.94</v>
      </c>
      <c r="S11" s="3076">
        <v>435.56</v>
      </c>
      <c r="T11" s="3076"/>
      <c r="U11" s="3076">
        <f t="shared" si="0"/>
        <v>778.38000000000011</v>
      </c>
    </row>
    <row r="12" spans="1:22">
      <c r="A12" s="3074" t="s">
        <v>3090</v>
      </c>
      <c r="B12" s="3074" t="s">
        <v>3073</v>
      </c>
      <c r="C12" s="3074">
        <v>1799.5</v>
      </c>
      <c r="D12" s="3075">
        <v>652</v>
      </c>
      <c r="E12" s="3075"/>
      <c r="F12" s="3075">
        <v>1000.5</v>
      </c>
      <c r="G12" s="3075">
        <v>147</v>
      </c>
      <c r="H12" s="3075">
        <v>2</v>
      </c>
      <c r="I12" s="3075">
        <v>3</v>
      </c>
      <c r="J12" s="3075">
        <v>1</v>
      </c>
      <c r="K12" s="3075">
        <v>6</v>
      </c>
      <c r="L12" s="3076"/>
      <c r="M12" s="3077">
        <f t="shared" si="1"/>
        <v>1817.92</v>
      </c>
      <c r="N12" s="3077" t="s">
        <v>3070</v>
      </c>
      <c r="O12" s="3079">
        <v>0.6</v>
      </c>
      <c r="P12" s="3076"/>
      <c r="Q12" s="3076"/>
      <c r="R12" s="3076">
        <v>1817.92</v>
      </c>
      <c r="S12" s="3076">
        <v>652.01</v>
      </c>
      <c r="T12" s="3076"/>
      <c r="U12" s="3076">
        <f t="shared" si="0"/>
        <v>1165.9100000000001</v>
      </c>
    </row>
    <row r="13" spans="1:22">
      <c r="A13" s="3074" t="s">
        <v>3091</v>
      </c>
      <c r="B13" s="3074" t="s">
        <v>3073</v>
      </c>
      <c r="C13" s="3074">
        <v>1799.5</v>
      </c>
      <c r="D13" s="3075">
        <v>652</v>
      </c>
      <c r="E13" s="3075"/>
      <c r="F13" s="3075">
        <v>1000.5</v>
      </c>
      <c r="G13" s="3075">
        <v>147</v>
      </c>
      <c r="H13" s="3075">
        <v>2</v>
      </c>
      <c r="I13" s="3075">
        <v>3</v>
      </c>
      <c r="J13" s="3075">
        <v>1</v>
      </c>
      <c r="K13" s="3075">
        <v>6</v>
      </c>
      <c r="L13" s="3076"/>
      <c r="M13" s="3077">
        <f t="shared" si="1"/>
        <v>1817.96</v>
      </c>
      <c r="N13" s="3077" t="s">
        <v>3070</v>
      </c>
      <c r="O13" s="3079">
        <v>0.6</v>
      </c>
      <c r="P13" s="3076"/>
      <c r="Q13" s="3076"/>
      <c r="R13" s="3076">
        <v>1817.96</v>
      </c>
      <c r="S13" s="3076">
        <v>652.01</v>
      </c>
      <c r="T13" s="3076"/>
      <c r="U13" s="3076">
        <f t="shared" si="0"/>
        <v>1165.95</v>
      </c>
    </row>
    <row r="14" spans="1:22">
      <c r="A14" s="3074" t="s">
        <v>3092</v>
      </c>
      <c r="B14" s="3074" t="s">
        <v>3073</v>
      </c>
      <c r="C14" s="3074">
        <v>1202.82</v>
      </c>
      <c r="D14" s="3075">
        <v>435.55</v>
      </c>
      <c r="E14" s="3075"/>
      <c r="F14" s="3075">
        <v>669.27</v>
      </c>
      <c r="G14" s="3075">
        <v>98</v>
      </c>
      <c r="H14" s="3075">
        <v>2</v>
      </c>
      <c r="I14" s="3075">
        <v>3</v>
      </c>
      <c r="J14" s="3075">
        <v>1</v>
      </c>
      <c r="K14" s="3075">
        <v>4</v>
      </c>
      <c r="L14" s="3076"/>
      <c r="M14" s="3077">
        <f t="shared" si="1"/>
        <v>1213.94</v>
      </c>
      <c r="N14" s="3077" t="s">
        <v>3070</v>
      </c>
      <c r="O14" s="3079">
        <v>0.6</v>
      </c>
      <c r="P14" s="3076"/>
      <c r="Q14" s="3076"/>
      <c r="R14" s="3076">
        <v>1213.94</v>
      </c>
      <c r="S14" s="3076">
        <v>435.56</v>
      </c>
      <c r="T14" s="3076"/>
      <c r="U14" s="3076">
        <f t="shared" si="0"/>
        <v>778.38000000000011</v>
      </c>
    </row>
    <row r="15" spans="1:22">
      <c r="A15" s="3074" t="s">
        <v>3093</v>
      </c>
      <c r="B15" s="3074" t="s">
        <v>3073</v>
      </c>
      <c r="C15" s="3074">
        <v>1799.5</v>
      </c>
      <c r="D15" s="3075">
        <v>652</v>
      </c>
      <c r="E15" s="3075"/>
      <c r="F15" s="3075">
        <v>1000.5</v>
      </c>
      <c r="G15" s="3075">
        <v>147</v>
      </c>
      <c r="H15" s="3075">
        <v>2</v>
      </c>
      <c r="I15" s="3075">
        <v>3</v>
      </c>
      <c r="J15" s="3075">
        <v>1</v>
      </c>
      <c r="K15" s="3075">
        <v>6</v>
      </c>
      <c r="L15" s="3076"/>
      <c r="M15" s="3077">
        <f t="shared" si="1"/>
        <v>1816.88</v>
      </c>
      <c r="N15" s="3077" t="s">
        <v>3070</v>
      </c>
      <c r="O15" s="3079">
        <v>0.6</v>
      </c>
      <c r="P15" s="3076"/>
      <c r="Q15" s="3076"/>
      <c r="R15" s="3076">
        <v>1816.88</v>
      </c>
      <c r="S15" s="3076">
        <v>652.01</v>
      </c>
      <c r="T15" s="3076"/>
      <c r="U15" s="3076">
        <f t="shared" si="0"/>
        <v>1164.8700000000001</v>
      </c>
    </row>
    <row r="16" spans="1:22">
      <c r="A16" s="3074" t="s">
        <v>3094</v>
      </c>
      <c r="B16" s="3074" t="s">
        <v>3073</v>
      </c>
      <c r="C16" s="3074">
        <v>1202.82</v>
      </c>
      <c r="D16" s="3075">
        <v>435.55</v>
      </c>
      <c r="E16" s="3075"/>
      <c r="F16" s="3075">
        <v>669.27</v>
      </c>
      <c r="G16" s="3075">
        <v>98</v>
      </c>
      <c r="H16" s="3075">
        <v>2</v>
      </c>
      <c r="I16" s="3075">
        <v>3</v>
      </c>
      <c r="J16" s="3075">
        <v>1</v>
      </c>
      <c r="K16" s="3075">
        <v>4</v>
      </c>
      <c r="L16" s="3076"/>
      <c r="M16" s="3077">
        <f t="shared" si="1"/>
        <v>1215.04</v>
      </c>
      <c r="N16" s="3077" t="s">
        <v>3070</v>
      </c>
      <c r="O16" s="3079">
        <v>0.6</v>
      </c>
      <c r="P16" s="3076"/>
      <c r="Q16" s="3076"/>
      <c r="R16" s="3076">
        <v>1215.04</v>
      </c>
      <c r="S16" s="3076">
        <v>435.56</v>
      </c>
      <c r="T16" s="3076"/>
      <c r="U16" s="3076">
        <f t="shared" si="0"/>
        <v>779.48</v>
      </c>
    </row>
    <row r="17" spans="1:21">
      <c r="A17" s="3074" t="s">
        <v>3095</v>
      </c>
      <c r="B17" s="3074" t="s">
        <v>3073</v>
      </c>
      <c r="C17" s="3074">
        <v>619.78</v>
      </c>
      <c r="D17" s="3075">
        <v>225.49</v>
      </c>
      <c r="E17" s="3075"/>
      <c r="F17" s="3075">
        <v>345.29</v>
      </c>
      <c r="G17" s="3075">
        <v>49</v>
      </c>
      <c r="H17" s="3075">
        <v>2</v>
      </c>
      <c r="I17" s="3075">
        <v>3</v>
      </c>
      <c r="J17" s="3075">
        <v>1</v>
      </c>
      <c r="K17" s="3075">
        <v>2</v>
      </c>
      <c r="L17" s="3076"/>
      <c r="M17" s="3077">
        <f t="shared" si="1"/>
        <v>622.58000000000004</v>
      </c>
      <c r="N17" s="3077" t="s">
        <v>3070</v>
      </c>
      <c r="O17" s="3079">
        <v>0.6</v>
      </c>
      <c r="P17" s="3076"/>
      <c r="Q17" s="3076"/>
      <c r="R17" s="3076">
        <v>622.58000000000004</v>
      </c>
      <c r="S17" s="3076">
        <v>225.49</v>
      </c>
      <c r="T17" s="3076"/>
      <c r="U17" s="3076">
        <f t="shared" si="0"/>
        <v>397.09000000000003</v>
      </c>
    </row>
    <row r="18" spans="1:21">
      <c r="A18" s="3074" t="s">
        <v>3096</v>
      </c>
      <c r="B18" s="3074" t="s">
        <v>3073</v>
      </c>
      <c r="C18" s="3074">
        <v>927.51</v>
      </c>
      <c r="D18" s="3075">
        <v>337.54</v>
      </c>
      <c r="E18" s="3075"/>
      <c r="F18" s="3075">
        <v>516.47</v>
      </c>
      <c r="G18" s="3075">
        <v>73.5</v>
      </c>
      <c r="H18" s="3075">
        <v>2</v>
      </c>
      <c r="I18" s="3075">
        <v>3</v>
      </c>
      <c r="J18" s="3075">
        <v>1</v>
      </c>
      <c r="K18" s="3075">
        <v>3</v>
      </c>
      <c r="L18" s="3076"/>
      <c r="M18" s="3077">
        <f t="shared" si="1"/>
        <v>935.79</v>
      </c>
      <c r="N18" s="3077" t="s">
        <v>3070</v>
      </c>
      <c r="O18" s="3079">
        <v>0.6</v>
      </c>
      <c r="P18" s="3076"/>
      <c r="Q18" s="3076"/>
      <c r="R18" s="3076">
        <v>935.79</v>
      </c>
      <c r="S18" s="3076">
        <v>337.54</v>
      </c>
      <c r="T18" s="3076"/>
      <c r="U18" s="3076">
        <f t="shared" si="0"/>
        <v>598.25</v>
      </c>
    </row>
    <row r="19" spans="1:21">
      <c r="A19" s="3074" t="s">
        <v>3097</v>
      </c>
      <c r="B19" s="3074" t="s">
        <v>3073</v>
      </c>
      <c r="C19" s="3074">
        <v>1799.5</v>
      </c>
      <c r="D19" s="3075">
        <v>652</v>
      </c>
      <c r="E19" s="3075"/>
      <c r="F19" s="3075">
        <v>1000.5</v>
      </c>
      <c r="G19" s="3075">
        <v>147</v>
      </c>
      <c r="H19" s="3075">
        <v>2</v>
      </c>
      <c r="I19" s="3075">
        <v>3</v>
      </c>
      <c r="J19" s="3075">
        <v>1</v>
      </c>
      <c r="K19" s="3075">
        <v>6</v>
      </c>
      <c r="L19" s="3076"/>
      <c r="M19" s="3077">
        <f t="shared" si="1"/>
        <v>1816.88</v>
      </c>
      <c r="N19" s="3077" t="s">
        <v>3070</v>
      </c>
      <c r="O19" s="3079">
        <v>0.6</v>
      </c>
      <c r="P19" s="3076"/>
      <c r="Q19" s="3076"/>
      <c r="R19" s="3076">
        <v>1816.88</v>
      </c>
      <c r="S19" s="3076">
        <v>652.01</v>
      </c>
      <c r="T19" s="3076"/>
      <c r="U19" s="3076">
        <f t="shared" si="0"/>
        <v>1164.8700000000001</v>
      </c>
    </row>
    <row r="20" spans="1:21">
      <c r="A20" s="3074" t="s">
        <v>3098</v>
      </c>
      <c r="B20" s="3074" t="s">
        <v>3073</v>
      </c>
      <c r="C20" s="3074">
        <v>1202.82</v>
      </c>
      <c r="D20" s="3075">
        <v>435.55</v>
      </c>
      <c r="E20" s="3075"/>
      <c r="F20" s="3075">
        <v>669.27</v>
      </c>
      <c r="G20" s="3075">
        <v>98</v>
      </c>
      <c r="H20" s="3075">
        <v>2</v>
      </c>
      <c r="I20" s="3075">
        <v>3</v>
      </c>
      <c r="J20" s="3075">
        <v>1</v>
      </c>
      <c r="K20" s="3075">
        <v>4</v>
      </c>
      <c r="L20" s="3076"/>
      <c r="M20" s="3077">
        <f t="shared" si="1"/>
        <v>1215.04</v>
      </c>
      <c r="N20" s="3077" t="s">
        <v>3070</v>
      </c>
      <c r="O20" s="3079">
        <v>0.6</v>
      </c>
      <c r="P20" s="3076"/>
      <c r="Q20" s="3076"/>
      <c r="R20" s="3076">
        <v>1215.04</v>
      </c>
      <c r="S20" s="3076">
        <v>435.56</v>
      </c>
      <c r="T20" s="3076"/>
      <c r="U20" s="3076">
        <f t="shared" si="0"/>
        <v>779.48</v>
      </c>
    </row>
    <row r="21" spans="1:21">
      <c r="A21" s="3074" t="s">
        <v>3099</v>
      </c>
      <c r="B21" s="3074" t="s">
        <v>3073</v>
      </c>
      <c r="C21" s="3074">
        <v>1799.5</v>
      </c>
      <c r="D21" s="3075">
        <v>652</v>
      </c>
      <c r="E21" s="3075"/>
      <c r="F21" s="3075">
        <v>1000.5</v>
      </c>
      <c r="G21" s="3075">
        <v>147</v>
      </c>
      <c r="H21" s="3075">
        <v>2</v>
      </c>
      <c r="I21" s="3075">
        <v>3</v>
      </c>
      <c r="J21" s="3075">
        <v>1</v>
      </c>
      <c r="K21" s="3075">
        <v>6</v>
      </c>
      <c r="L21" s="3076"/>
      <c r="M21" s="3077">
        <f t="shared" si="1"/>
        <v>1817.96</v>
      </c>
      <c r="N21" s="3077" t="s">
        <v>3070</v>
      </c>
      <c r="O21" s="3079">
        <v>0.6</v>
      </c>
      <c r="P21" s="3076"/>
      <c r="Q21" s="3076"/>
      <c r="R21" s="3076">
        <v>1817.96</v>
      </c>
      <c r="S21" s="3076">
        <v>652.01</v>
      </c>
      <c r="T21" s="3076"/>
      <c r="U21" s="3076">
        <f t="shared" si="0"/>
        <v>1165.95</v>
      </c>
    </row>
    <row r="22" spans="1:21">
      <c r="A22" s="3074" t="s">
        <v>3100</v>
      </c>
      <c r="B22" s="3074" t="s">
        <v>3073</v>
      </c>
      <c r="C22" s="3074">
        <v>1202.82</v>
      </c>
      <c r="D22" s="3075">
        <v>435.55</v>
      </c>
      <c r="E22" s="3075"/>
      <c r="F22" s="3075">
        <v>669.27</v>
      </c>
      <c r="G22" s="3075">
        <v>98</v>
      </c>
      <c r="H22" s="3075">
        <v>2</v>
      </c>
      <c r="I22" s="3075">
        <v>3</v>
      </c>
      <c r="J22" s="3075">
        <v>1</v>
      </c>
      <c r="K22" s="3075">
        <v>4</v>
      </c>
      <c r="L22" s="3076"/>
      <c r="M22" s="3077">
        <f t="shared" si="1"/>
        <v>1213.4000000000001</v>
      </c>
      <c r="N22" s="3077" t="s">
        <v>3070</v>
      </c>
      <c r="O22" s="3079">
        <v>0.6</v>
      </c>
      <c r="P22" s="3076"/>
      <c r="Q22" s="3076"/>
      <c r="R22" s="3076">
        <v>1213.4000000000001</v>
      </c>
      <c r="S22" s="3076">
        <v>435.56</v>
      </c>
      <c r="T22" s="3076"/>
      <c r="U22" s="3076">
        <f t="shared" si="0"/>
        <v>777.84000000000015</v>
      </c>
    </row>
    <row r="23" spans="1:21">
      <c r="A23" s="3074" t="s">
        <v>3101</v>
      </c>
      <c r="B23" s="3074" t="s">
        <v>3073</v>
      </c>
      <c r="C23" s="3074">
        <v>1202.82</v>
      </c>
      <c r="D23" s="3075">
        <v>435.55</v>
      </c>
      <c r="E23" s="3075"/>
      <c r="F23" s="3075">
        <v>669.27</v>
      </c>
      <c r="G23" s="3075">
        <v>98</v>
      </c>
      <c r="H23" s="3075">
        <v>2</v>
      </c>
      <c r="I23" s="3075">
        <v>3</v>
      </c>
      <c r="J23" s="3075">
        <v>1</v>
      </c>
      <c r="K23" s="3075">
        <v>4</v>
      </c>
      <c r="L23" s="3076"/>
      <c r="M23" s="3077">
        <f t="shared" si="1"/>
        <v>1213.94</v>
      </c>
      <c r="N23" s="3077" t="s">
        <v>3070</v>
      </c>
      <c r="O23" s="3079">
        <v>0.6</v>
      </c>
      <c r="P23" s="3076"/>
      <c r="Q23" s="3076"/>
      <c r="R23" s="3076">
        <v>1213.94</v>
      </c>
      <c r="S23" s="3076">
        <v>435.56</v>
      </c>
      <c r="T23" s="3076"/>
      <c r="U23" s="3076">
        <f t="shared" si="0"/>
        <v>778.38000000000011</v>
      </c>
    </row>
    <row r="24" spans="1:21">
      <c r="A24" s="3074" t="s">
        <v>3102</v>
      </c>
      <c r="B24" s="3074" t="s">
        <v>3073</v>
      </c>
      <c r="C24" s="3074">
        <v>1799.5</v>
      </c>
      <c r="D24" s="3075">
        <v>652</v>
      </c>
      <c r="E24" s="3075"/>
      <c r="F24" s="3075">
        <v>1000.5</v>
      </c>
      <c r="G24" s="3075">
        <v>147</v>
      </c>
      <c r="H24" s="3075">
        <v>2</v>
      </c>
      <c r="I24" s="3075">
        <v>3</v>
      </c>
      <c r="J24" s="3075">
        <v>1</v>
      </c>
      <c r="K24" s="3075">
        <v>6</v>
      </c>
      <c r="L24" s="3076"/>
      <c r="M24" s="3077">
        <f t="shared" si="1"/>
        <v>1817.98</v>
      </c>
      <c r="N24" s="3077" t="s">
        <v>3070</v>
      </c>
      <c r="O24" s="3079">
        <v>0.6</v>
      </c>
      <c r="P24" s="3076"/>
      <c r="Q24" s="3076"/>
      <c r="R24" s="3076">
        <v>1817.98</v>
      </c>
      <c r="S24" s="3076">
        <v>652.01</v>
      </c>
      <c r="T24" s="3076"/>
      <c r="U24" s="3076">
        <f t="shared" si="0"/>
        <v>1165.97</v>
      </c>
    </row>
    <row r="25" spans="1:21">
      <c r="A25" s="3074" t="s">
        <v>3103</v>
      </c>
      <c r="B25" s="3074" t="s">
        <v>3073</v>
      </c>
      <c r="C25" s="3074">
        <v>1799.5</v>
      </c>
      <c r="D25" s="3075">
        <v>652</v>
      </c>
      <c r="E25" s="3075"/>
      <c r="F25" s="3075">
        <v>1000.5</v>
      </c>
      <c r="G25" s="3075">
        <v>147</v>
      </c>
      <c r="H25" s="3075">
        <v>2</v>
      </c>
      <c r="I25" s="3075">
        <v>3</v>
      </c>
      <c r="J25" s="3075">
        <v>1</v>
      </c>
      <c r="K25" s="3075">
        <v>6</v>
      </c>
      <c r="L25" s="3076"/>
      <c r="M25" s="3077">
        <f t="shared" si="1"/>
        <v>1818.18</v>
      </c>
      <c r="N25" s="3077" t="s">
        <v>3070</v>
      </c>
      <c r="O25" s="3079">
        <v>0.6</v>
      </c>
      <c r="P25" s="3076"/>
      <c r="Q25" s="3076"/>
      <c r="R25" s="3076">
        <v>1818.18</v>
      </c>
      <c r="S25" s="3076">
        <v>652.01</v>
      </c>
      <c r="T25" s="3076"/>
      <c r="U25" s="3076">
        <f t="shared" si="0"/>
        <v>1166.17</v>
      </c>
    </row>
    <row r="26" spans="1:21">
      <c r="A26" s="3074" t="s">
        <v>3104</v>
      </c>
      <c r="B26" s="3074" t="s">
        <v>3073</v>
      </c>
      <c r="C26" s="3074">
        <v>1202.82</v>
      </c>
      <c r="D26" s="3075">
        <v>435.55</v>
      </c>
      <c r="E26" s="3075"/>
      <c r="F26" s="3075">
        <v>669.27</v>
      </c>
      <c r="G26" s="3075">
        <v>98</v>
      </c>
      <c r="H26" s="3075">
        <v>2</v>
      </c>
      <c r="I26" s="3075">
        <v>3</v>
      </c>
      <c r="J26" s="3075">
        <v>1</v>
      </c>
      <c r="K26" s="3075">
        <v>4</v>
      </c>
      <c r="L26" s="3076"/>
      <c r="M26" s="3077">
        <f t="shared" si="1"/>
        <v>1213.94</v>
      </c>
      <c r="N26" s="3077" t="s">
        <v>3070</v>
      </c>
      <c r="O26" s="3079">
        <v>0.6</v>
      </c>
      <c r="P26" s="3076"/>
      <c r="Q26" s="3076"/>
      <c r="R26" s="3076">
        <v>1213.94</v>
      </c>
      <c r="S26" s="3076">
        <v>435.56</v>
      </c>
      <c r="T26" s="3076"/>
      <c r="U26" s="3076">
        <f t="shared" si="0"/>
        <v>778.38000000000011</v>
      </c>
    </row>
    <row r="27" spans="1:21">
      <c r="A27" s="3074" t="s">
        <v>3105</v>
      </c>
      <c r="B27" s="3074" t="s">
        <v>3073</v>
      </c>
      <c r="C27" s="3074">
        <v>816.37</v>
      </c>
      <c r="D27" s="3075">
        <v>282.8</v>
      </c>
      <c r="E27" s="3075"/>
      <c r="F27" s="3075">
        <v>484.57</v>
      </c>
      <c r="G27" s="3075">
        <v>49</v>
      </c>
      <c r="H27" s="3075">
        <v>2</v>
      </c>
      <c r="I27" s="3075">
        <v>3</v>
      </c>
      <c r="J27" s="3075">
        <v>1</v>
      </c>
      <c r="K27" s="3075">
        <v>2</v>
      </c>
      <c r="L27" s="3076"/>
      <c r="M27" s="3077">
        <f t="shared" si="1"/>
        <v>817.45</v>
      </c>
      <c r="N27" s="3077" t="s">
        <v>3070</v>
      </c>
      <c r="O27" s="3079">
        <v>0.6</v>
      </c>
      <c r="P27" s="3076"/>
      <c r="Q27" s="3076"/>
      <c r="R27" s="3076">
        <v>817.45</v>
      </c>
      <c r="S27" s="3076">
        <v>282.56</v>
      </c>
      <c r="T27" s="3076"/>
      <c r="U27" s="3076">
        <f t="shared" si="0"/>
        <v>534.8900000000001</v>
      </c>
    </row>
    <row r="28" spans="1:21">
      <c r="A28" s="3074" t="s">
        <v>3106</v>
      </c>
      <c r="B28" s="3074" t="s">
        <v>3073</v>
      </c>
      <c r="C28" s="3074">
        <v>1626.24</v>
      </c>
      <c r="D28" s="3075">
        <v>564.07000000000005</v>
      </c>
      <c r="E28" s="3075"/>
      <c r="F28" s="3075">
        <v>964.17</v>
      </c>
      <c r="G28" s="3075">
        <v>98</v>
      </c>
      <c r="H28" s="3075">
        <v>2</v>
      </c>
      <c r="I28" s="3075">
        <v>3</v>
      </c>
      <c r="J28" s="3075">
        <v>1</v>
      </c>
      <c r="K28" s="3075">
        <v>4</v>
      </c>
      <c r="L28" s="3076"/>
      <c r="M28" s="3077">
        <f t="shared" si="1"/>
        <v>1629.12</v>
      </c>
      <c r="N28" s="3077" t="s">
        <v>3070</v>
      </c>
      <c r="O28" s="3079">
        <v>0.6</v>
      </c>
      <c r="P28" s="3076"/>
      <c r="Q28" s="3076"/>
      <c r="R28" s="3076">
        <v>1629.12</v>
      </c>
      <c r="S28" s="3076">
        <v>563.59</v>
      </c>
      <c r="T28" s="3076"/>
      <c r="U28" s="3076">
        <f t="shared" si="0"/>
        <v>1065.5299999999997</v>
      </c>
    </row>
    <row r="29" spans="1:21">
      <c r="A29" s="3074" t="s">
        <v>3107</v>
      </c>
      <c r="B29" s="3074" t="s">
        <v>3073</v>
      </c>
      <c r="C29" s="3074">
        <v>1799.5</v>
      </c>
      <c r="D29" s="3075">
        <v>652</v>
      </c>
      <c r="E29" s="3075"/>
      <c r="F29" s="3075">
        <v>1000.5</v>
      </c>
      <c r="G29" s="3075">
        <v>147</v>
      </c>
      <c r="H29" s="3075">
        <v>2</v>
      </c>
      <c r="I29" s="3075">
        <v>3</v>
      </c>
      <c r="J29" s="3075">
        <v>1</v>
      </c>
      <c r="K29" s="3075">
        <v>6</v>
      </c>
      <c r="L29" s="3076"/>
      <c r="M29" s="3077">
        <f t="shared" si="1"/>
        <v>1815.68</v>
      </c>
      <c r="N29" s="3077" t="s">
        <v>3070</v>
      </c>
      <c r="O29" s="3079">
        <v>0.6</v>
      </c>
      <c r="P29" s="3076"/>
      <c r="Q29" s="3076"/>
      <c r="R29" s="3076">
        <v>1815.68</v>
      </c>
      <c r="S29" s="3076">
        <v>652.01</v>
      </c>
      <c r="T29" s="3076"/>
      <c r="U29" s="3076">
        <f t="shared" si="0"/>
        <v>1163.67</v>
      </c>
    </row>
    <row r="30" spans="1:21">
      <c r="A30" s="3074" t="s">
        <v>3108</v>
      </c>
      <c r="B30" s="3074" t="s">
        <v>3073</v>
      </c>
      <c r="C30" s="3074">
        <v>1799.5</v>
      </c>
      <c r="D30" s="3075">
        <v>652</v>
      </c>
      <c r="E30" s="3075"/>
      <c r="F30" s="3075">
        <v>1000.5</v>
      </c>
      <c r="G30" s="3075">
        <v>147</v>
      </c>
      <c r="H30" s="3075">
        <v>2</v>
      </c>
      <c r="I30" s="3075">
        <v>3</v>
      </c>
      <c r="J30" s="3075">
        <v>1</v>
      </c>
      <c r="K30" s="3075">
        <v>6</v>
      </c>
      <c r="L30" s="3076"/>
      <c r="M30" s="3077">
        <f t="shared" si="1"/>
        <v>1816.88</v>
      </c>
      <c r="N30" s="3077" t="s">
        <v>3070</v>
      </c>
      <c r="O30" s="3079">
        <v>0.6</v>
      </c>
      <c r="P30" s="3076"/>
      <c r="Q30" s="3076"/>
      <c r="R30" s="3076">
        <v>1816.88</v>
      </c>
      <c r="S30" s="3076">
        <v>652.01</v>
      </c>
      <c r="T30" s="3076"/>
      <c r="U30" s="3076">
        <f t="shared" si="0"/>
        <v>1164.8700000000001</v>
      </c>
    </row>
    <row r="31" spans="1:21">
      <c r="A31" s="3074" t="s">
        <v>3109</v>
      </c>
      <c r="B31" s="3074" t="s">
        <v>3073</v>
      </c>
      <c r="C31" s="3074">
        <v>922.90000000000009</v>
      </c>
      <c r="D31" s="3075">
        <v>337.54</v>
      </c>
      <c r="E31" s="3075"/>
      <c r="F31" s="3075">
        <v>511.86</v>
      </c>
      <c r="G31" s="3075">
        <v>73.5</v>
      </c>
      <c r="H31" s="3075">
        <v>2</v>
      </c>
      <c r="I31" s="3075">
        <v>3</v>
      </c>
      <c r="J31" s="3075">
        <v>1</v>
      </c>
      <c r="K31" s="3075">
        <v>3</v>
      </c>
      <c r="L31" s="3076"/>
      <c r="M31" s="3077">
        <f t="shared" si="1"/>
        <v>931.22</v>
      </c>
      <c r="N31" s="3077" t="s">
        <v>3070</v>
      </c>
      <c r="O31" s="3079">
        <v>0.6</v>
      </c>
      <c r="P31" s="3076"/>
      <c r="Q31" s="3076"/>
      <c r="R31" s="3076">
        <v>931.22</v>
      </c>
      <c r="S31" s="3076">
        <v>337.54</v>
      </c>
      <c r="T31" s="3076"/>
      <c r="U31" s="3076">
        <f t="shared" si="0"/>
        <v>593.68000000000006</v>
      </c>
    </row>
    <row r="32" spans="1:21">
      <c r="A32" s="3074" t="s">
        <v>3110</v>
      </c>
      <c r="B32" s="3074" t="s">
        <v>3073</v>
      </c>
      <c r="C32" s="3074">
        <v>922.90000000000009</v>
      </c>
      <c r="D32" s="3075">
        <v>337.54</v>
      </c>
      <c r="E32" s="3075"/>
      <c r="F32" s="3075">
        <v>511.86</v>
      </c>
      <c r="G32" s="3075">
        <v>73.5</v>
      </c>
      <c r="H32" s="3075">
        <v>2</v>
      </c>
      <c r="I32" s="3075">
        <v>3</v>
      </c>
      <c r="J32" s="3075">
        <v>1</v>
      </c>
      <c r="K32" s="3075">
        <v>3</v>
      </c>
      <c r="L32" s="3076"/>
      <c r="M32" s="3077">
        <f t="shared" si="1"/>
        <v>930.61</v>
      </c>
      <c r="N32" s="3077" t="s">
        <v>3070</v>
      </c>
      <c r="O32" s="3079">
        <v>0.6</v>
      </c>
      <c r="P32" s="3076"/>
      <c r="Q32" s="3076"/>
      <c r="R32" s="3076">
        <v>930.61</v>
      </c>
      <c r="S32" s="3076">
        <v>337.54</v>
      </c>
      <c r="T32" s="3076"/>
      <c r="U32" s="3076">
        <f t="shared" si="0"/>
        <v>593.06999999999994</v>
      </c>
    </row>
    <row r="33" spans="1:21">
      <c r="A33" s="3074" t="s">
        <v>3111</v>
      </c>
      <c r="B33" s="3074" t="s">
        <v>3073</v>
      </c>
      <c r="C33" s="3074">
        <v>1799.5</v>
      </c>
      <c r="D33" s="3075">
        <v>652</v>
      </c>
      <c r="E33" s="3075"/>
      <c r="F33" s="3075">
        <v>1000.5</v>
      </c>
      <c r="G33" s="3075">
        <v>147</v>
      </c>
      <c r="H33" s="3075">
        <v>2</v>
      </c>
      <c r="I33" s="3075">
        <v>3</v>
      </c>
      <c r="J33" s="3075">
        <v>1</v>
      </c>
      <c r="K33" s="3075">
        <v>6</v>
      </c>
      <c r="L33" s="3076"/>
      <c r="M33" s="3077">
        <f t="shared" si="1"/>
        <v>1816.88</v>
      </c>
      <c r="N33" s="3077" t="s">
        <v>3070</v>
      </c>
      <c r="O33" s="3079">
        <v>0.6</v>
      </c>
      <c r="P33" s="3076"/>
      <c r="Q33" s="3076"/>
      <c r="R33" s="3076">
        <v>1816.88</v>
      </c>
      <c r="S33" s="3076">
        <v>652.01</v>
      </c>
      <c r="T33" s="3076"/>
      <c r="U33" s="3076">
        <f t="shared" si="0"/>
        <v>1164.8700000000001</v>
      </c>
    </row>
    <row r="34" spans="1:21">
      <c r="A34" s="3074" t="s">
        <v>3112</v>
      </c>
      <c r="B34" s="3074" t="s">
        <v>3073</v>
      </c>
      <c r="C34" s="3074">
        <v>1799.5</v>
      </c>
      <c r="D34" s="3075">
        <v>652</v>
      </c>
      <c r="E34" s="3075"/>
      <c r="F34" s="3075">
        <v>1000.5</v>
      </c>
      <c r="G34" s="3075">
        <v>147</v>
      </c>
      <c r="H34" s="3075">
        <v>2</v>
      </c>
      <c r="I34" s="3075">
        <v>3</v>
      </c>
      <c r="J34" s="3075">
        <v>1</v>
      </c>
      <c r="K34" s="3075">
        <v>6</v>
      </c>
      <c r="L34" s="3076"/>
      <c r="M34" s="3077">
        <f t="shared" si="1"/>
        <v>1816.32</v>
      </c>
      <c r="N34" s="3077" t="s">
        <v>3070</v>
      </c>
      <c r="O34" s="3079">
        <v>0.6</v>
      </c>
      <c r="P34" s="3076"/>
      <c r="Q34" s="3076"/>
      <c r="R34" s="3076">
        <v>1816.32</v>
      </c>
      <c r="S34" s="3076">
        <v>652.01</v>
      </c>
      <c r="T34" s="3076"/>
      <c r="U34" s="3076">
        <f t="shared" si="0"/>
        <v>1164.31</v>
      </c>
    </row>
    <row r="35" spans="1:21">
      <c r="A35" s="3074" t="s">
        <v>3113</v>
      </c>
      <c r="B35" s="3074" t="s">
        <v>3073</v>
      </c>
      <c r="C35" s="3074">
        <v>1799.5</v>
      </c>
      <c r="D35" s="3075">
        <v>652</v>
      </c>
      <c r="E35" s="3075"/>
      <c r="F35" s="3075">
        <v>1000.5</v>
      </c>
      <c r="G35" s="3075">
        <v>147</v>
      </c>
      <c r="H35" s="3075">
        <v>2</v>
      </c>
      <c r="I35" s="3075">
        <v>3</v>
      </c>
      <c r="J35" s="3075">
        <v>1</v>
      </c>
      <c r="K35" s="3075">
        <v>6</v>
      </c>
      <c r="L35" s="3076"/>
      <c r="M35" s="3077">
        <f t="shared" si="1"/>
        <v>1816.04</v>
      </c>
      <c r="N35" s="3077" t="s">
        <v>3070</v>
      </c>
      <c r="O35" s="3079">
        <v>0.6</v>
      </c>
      <c r="P35" s="3076"/>
      <c r="Q35" s="3076"/>
      <c r="R35" s="3076">
        <v>1816.04</v>
      </c>
      <c r="S35" s="3076">
        <v>652.01</v>
      </c>
      <c r="T35" s="3076"/>
      <c r="U35" s="3076">
        <f t="shared" si="0"/>
        <v>1164.03</v>
      </c>
    </row>
    <row r="36" spans="1:21">
      <c r="A36" s="3074" t="s">
        <v>3114</v>
      </c>
      <c r="B36" s="3074" t="s">
        <v>3073</v>
      </c>
      <c r="C36" s="3074">
        <v>1511.08</v>
      </c>
      <c r="D36" s="3075">
        <v>547.6</v>
      </c>
      <c r="E36" s="3075"/>
      <c r="F36" s="3075">
        <v>840.98</v>
      </c>
      <c r="G36" s="3075">
        <v>122.5</v>
      </c>
      <c r="H36" s="3075">
        <v>2</v>
      </c>
      <c r="I36" s="3075">
        <v>3</v>
      </c>
      <c r="J36" s="3075">
        <v>1</v>
      </c>
      <c r="K36" s="3075">
        <v>5</v>
      </c>
      <c r="L36" s="3076"/>
      <c r="M36" s="3077">
        <f t="shared" si="1"/>
        <v>1525.08</v>
      </c>
      <c r="N36" s="3077" t="s">
        <v>3070</v>
      </c>
      <c r="O36" s="3079">
        <v>0.6</v>
      </c>
      <c r="P36" s="3076"/>
      <c r="Q36" s="3076"/>
      <c r="R36" s="3076">
        <v>1525.08</v>
      </c>
      <c r="S36" s="3076">
        <v>547.61</v>
      </c>
      <c r="T36" s="3076"/>
      <c r="U36" s="3076">
        <f t="shared" si="0"/>
        <v>977.46999999999991</v>
      </c>
    </row>
    <row r="37" spans="1:21">
      <c r="A37" s="3074" t="s">
        <v>3115</v>
      </c>
      <c r="B37" s="3074" t="s">
        <v>3073</v>
      </c>
      <c r="C37" s="3074">
        <v>1509.47</v>
      </c>
      <c r="D37" s="3075">
        <v>547.6</v>
      </c>
      <c r="E37" s="3075"/>
      <c r="F37" s="3075">
        <v>839.37</v>
      </c>
      <c r="G37" s="3075">
        <v>122.5</v>
      </c>
      <c r="H37" s="3075">
        <v>2</v>
      </c>
      <c r="I37" s="3075">
        <v>3</v>
      </c>
      <c r="J37" s="3075">
        <v>1</v>
      </c>
      <c r="K37" s="3075">
        <v>5</v>
      </c>
      <c r="L37" s="3076"/>
      <c r="M37" s="3077">
        <f t="shared" si="1"/>
        <v>1523.29</v>
      </c>
      <c r="N37" s="3077" t="s">
        <v>3070</v>
      </c>
      <c r="O37" s="3079">
        <v>0.6</v>
      </c>
      <c r="P37" s="3076"/>
      <c r="Q37" s="3076"/>
      <c r="R37" s="3076">
        <v>1523.29</v>
      </c>
      <c r="S37" s="3076">
        <v>547.61</v>
      </c>
      <c r="T37" s="3076"/>
      <c r="U37" s="3076">
        <f t="shared" si="0"/>
        <v>975.68</v>
      </c>
    </row>
    <row r="38" spans="1:21">
      <c r="A38" s="3074" t="s">
        <v>3116</v>
      </c>
      <c r="B38" s="3074" t="s">
        <v>3073</v>
      </c>
      <c r="C38" s="3074">
        <v>1799.5</v>
      </c>
      <c r="D38" s="3075">
        <v>652</v>
      </c>
      <c r="E38" s="3075"/>
      <c r="F38" s="3075">
        <v>1000.5</v>
      </c>
      <c r="G38" s="3075">
        <v>147</v>
      </c>
      <c r="H38" s="3075">
        <v>2</v>
      </c>
      <c r="I38" s="3075">
        <v>3</v>
      </c>
      <c r="J38" s="3075">
        <v>1</v>
      </c>
      <c r="K38" s="3075">
        <v>6</v>
      </c>
      <c r="L38" s="3076"/>
      <c r="M38" s="3077">
        <f t="shared" si="1"/>
        <v>1815.68</v>
      </c>
      <c r="N38" s="3077" t="s">
        <v>3070</v>
      </c>
      <c r="O38" s="3079">
        <v>0.6</v>
      </c>
      <c r="P38" s="3076"/>
      <c r="Q38" s="3076"/>
      <c r="R38" s="3076">
        <v>1815.68</v>
      </c>
      <c r="S38" s="3076">
        <v>652.01</v>
      </c>
      <c r="T38" s="3076"/>
      <c r="U38" s="3076">
        <f t="shared" si="0"/>
        <v>1163.67</v>
      </c>
    </row>
    <row r="39" spans="1:21">
      <c r="A39" s="3074" t="s">
        <v>3117</v>
      </c>
      <c r="B39" s="3074" t="s">
        <v>3073</v>
      </c>
      <c r="C39" s="3074">
        <v>1799.5</v>
      </c>
      <c r="D39" s="3075">
        <v>652</v>
      </c>
      <c r="E39" s="3075"/>
      <c r="F39" s="3075">
        <v>1000.5</v>
      </c>
      <c r="G39" s="3075">
        <v>147</v>
      </c>
      <c r="H39" s="3075">
        <v>2</v>
      </c>
      <c r="I39" s="3075">
        <v>3</v>
      </c>
      <c r="J39" s="3075">
        <v>1</v>
      </c>
      <c r="K39" s="3075">
        <v>6</v>
      </c>
      <c r="L39" s="3076"/>
      <c r="M39" s="3077">
        <f t="shared" si="1"/>
        <v>1815.68</v>
      </c>
      <c r="N39" s="3077" t="s">
        <v>3070</v>
      </c>
      <c r="O39" s="3079">
        <v>0.6</v>
      </c>
      <c r="P39" s="3076"/>
      <c r="Q39" s="3076"/>
      <c r="R39" s="3076">
        <v>1815.68</v>
      </c>
      <c r="S39" s="3076">
        <v>652.01</v>
      </c>
      <c r="T39" s="3076"/>
      <c r="U39" s="3076">
        <f t="shared" si="0"/>
        <v>1163.67</v>
      </c>
    </row>
    <row r="40" spans="1:21">
      <c r="A40" s="3074" t="s">
        <v>3118</v>
      </c>
      <c r="B40" s="3074" t="s">
        <v>3073</v>
      </c>
      <c r="C40" s="3074">
        <v>1799.5</v>
      </c>
      <c r="D40" s="3075">
        <v>652</v>
      </c>
      <c r="E40" s="3075"/>
      <c r="F40" s="3075">
        <v>1000.5</v>
      </c>
      <c r="G40" s="3075">
        <v>147</v>
      </c>
      <c r="H40" s="3075">
        <v>2</v>
      </c>
      <c r="I40" s="3075">
        <v>3</v>
      </c>
      <c r="J40" s="3075">
        <v>1</v>
      </c>
      <c r="K40" s="3075">
        <v>6</v>
      </c>
      <c r="L40" s="3076"/>
      <c r="M40" s="3077">
        <f t="shared" si="1"/>
        <v>1817.52</v>
      </c>
      <c r="N40" s="3077" t="s">
        <v>3070</v>
      </c>
      <c r="O40" s="3079">
        <v>0.6</v>
      </c>
      <c r="P40" s="3076"/>
      <c r="Q40" s="3076"/>
      <c r="R40" s="3076">
        <v>1817.52</v>
      </c>
      <c r="S40" s="3076">
        <v>652.01</v>
      </c>
      <c r="T40" s="3076"/>
      <c r="U40" s="3076">
        <f t="shared" si="0"/>
        <v>1165.51</v>
      </c>
    </row>
    <row r="41" spans="1:21">
      <c r="A41" s="3074" t="s">
        <v>3119</v>
      </c>
      <c r="B41" s="3074" t="s">
        <v>3073</v>
      </c>
      <c r="C41" s="3074">
        <v>1510.45</v>
      </c>
      <c r="D41" s="3075">
        <v>547.6</v>
      </c>
      <c r="E41" s="3075"/>
      <c r="F41" s="3075">
        <v>840.35</v>
      </c>
      <c r="G41" s="3075">
        <v>122.5</v>
      </c>
      <c r="H41" s="3075">
        <v>2</v>
      </c>
      <c r="I41" s="3075">
        <v>3</v>
      </c>
      <c r="J41" s="3075">
        <v>1</v>
      </c>
      <c r="K41" s="3075">
        <v>5</v>
      </c>
      <c r="L41" s="3076"/>
      <c r="M41" s="3077">
        <f t="shared" si="1"/>
        <v>1524.39</v>
      </c>
      <c r="N41" s="3077" t="s">
        <v>3070</v>
      </c>
      <c r="O41" s="3079">
        <v>0.6</v>
      </c>
      <c r="P41" s="3076"/>
      <c r="Q41" s="3076"/>
      <c r="R41" s="3076">
        <v>1524.39</v>
      </c>
      <c r="S41" s="3076">
        <v>547.61</v>
      </c>
      <c r="T41" s="3076"/>
      <c r="U41" s="3076">
        <f t="shared" si="0"/>
        <v>976.78000000000009</v>
      </c>
    </row>
    <row r="42" spans="1:21">
      <c r="A42" s="3074" t="s">
        <v>3120</v>
      </c>
      <c r="B42" s="3074" t="s">
        <v>3073</v>
      </c>
      <c r="C42" s="3074">
        <v>1799.5</v>
      </c>
      <c r="D42" s="3075">
        <v>652</v>
      </c>
      <c r="E42" s="3075"/>
      <c r="F42" s="3075">
        <v>1000.5</v>
      </c>
      <c r="G42" s="3075">
        <v>147</v>
      </c>
      <c r="H42" s="3075">
        <v>2</v>
      </c>
      <c r="I42" s="3075">
        <v>3</v>
      </c>
      <c r="J42" s="3075">
        <v>1</v>
      </c>
      <c r="K42" s="3075">
        <v>6</v>
      </c>
      <c r="L42" s="3076"/>
      <c r="M42" s="3077">
        <f t="shared" si="1"/>
        <v>1816.32</v>
      </c>
      <c r="N42" s="3077" t="s">
        <v>3070</v>
      </c>
      <c r="O42" s="3079">
        <v>0.6</v>
      </c>
      <c r="P42" s="3076"/>
      <c r="Q42" s="3076"/>
      <c r="R42" s="3076">
        <v>1816.32</v>
      </c>
      <c r="S42" s="3076">
        <v>652.01</v>
      </c>
      <c r="T42" s="3076"/>
      <c r="U42" s="3076">
        <f t="shared" si="0"/>
        <v>1164.31</v>
      </c>
    </row>
    <row r="43" spans="1:21">
      <c r="A43" s="3074" t="s">
        <v>3121</v>
      </c>
      <c r="B43" s="3074" t="s">
        <v>3073</v>
      </c>
      <c r="C43" s="3074">
        <v>1799.5</v>
      </c>
      <c r="D43" s="3075">
        <v>652</v>
      </c>
      <c r="E43" s="3075"/>
      <c r="F43" s="3075">
        <v>1000.5</v>
      </c>
      <c r="G43" s="3075">
        <v>147</v>
      </c>
      <c r="H43" s="3075">
        <v>2</v>
      </c>
      <c r="I43" s="3075">
        <v>3</v>
      </c>
      <c r="J43" s="3075">
        <v>1</v>
      </c>
      <c r="K43" s="3075">
        <v>6</v>
      </c>
      <c r="L43" s="3076"/>
      <c r="M43" s="3077">
        <f t="shared" si="1"/>
        <v>1816.32</v>
      </c>
      <c r="N43" s="3077" t="s">
        <v>3070</v>
      </c>
      <c r="O43" s="3079">
        <v>0.6</v>
      </c>
      <c r="P43" s="3076"/>
      <c r="Q43" s="3076"/>
      <c r="R43" s="3076">
        <v>1816.32</v>
      </c>
      <c r="S43" s="3076">
        <v>652.01</v>
      </c>
      <c r="T43" s="3076"/>
      <c r="U43" s="3076">
        <f t="shared" si="0"/>
        <v>1164.31</v>
      </c>
    </row>
    <row r="44" spans="1:21">
      <c r="A44" s="3074" t="s">
        <v>3122</v>
      </c>
      <c r="B44" s="3074" t="s">
        <v>3073</v>
      </c>
      <c r="C44" s="3074">
        <v>1799.5</v>
      </c>
      <c r="D44" s="3075">
        <v>652</v>
      </c>
      <c r="E44" s="3075"/>
      <c r="F44" s="3075">
        <v>1000.5</v>
      </c>
      <c r="G44" s="3075">
        <v>147</v>
      </c>
      <c r="H44" s="3075">
        <v>2</v>
      </c>
      <c r="I44" s="3075">
        <v>3</v>
      </c>
      <c r="J44" s="3075">
        <v>1</v>
      </c>
      <c r="K44" s="3075">
        <v>6</v>
      </c>
      <c r="L44" s="3076"/>
      <c r="M44" s="3077">
        <f t="shared" si="1"/>
        <v>1816.88</v>
      </c>
      <c r="N44" s="3077" t="s">
        <v>3070</v>
      </c>
      <c r="O44" s="3079">
        <v>0.6</v>
      </c>
      <c r="P44" s="3076"/>
      <c r="Q44" s="3076"/>
      <c r="R44" s="3076">
        <v>1816.88</v>
      </c>
      <c r="S44" s="3076">
        <v>652.01</v>
      </c>
      <c r="T44" s="3076"/>
      <c r="U44" s="3076">
        <f t="shared" si="0"/>
        <v>1164.8700000000001</v>
      </c>
    </row>
    <row r="45" spans="1:21">
      <c r="A45" s="3074" t="s">
        <v>3123</v>
      </c>
      <c r="B45" s="3074" t="s">
        <v>3073</v>
      </c>
      <c r="C45" s="3074">
        <v>1799.5</v>
      </c>
      <c r="D45" s="3075">
        <v>652</v>
      </c>
      <c r="E45" s="3075"/>
      <c r="F45" s="3075">
        <v>1000.5</v>
      </c>
      <c r="G45" s="3075">
        <v>147</v>
      </c>
      <c r="H45" s="3075">
        <v>2</v>
      </c>
      <c r="I45" s="3075">
        <v>3</v>
      </c>
      <c r="J45" s="3075">
        <v>1</v>
      </c>
      <c r="K45" s="3075">
        <v>6</v>
      </c>
      <c r="L45" s="3076"/>
      <c r="M45" s="3077">
        <f t="shared" si="1"/>
        <v>1816.88</v>
      </c>
      <c r="N45" s="3077" t="s">
        <v>3070</v>
      </c>
      <c r="O45" s="3079">
        <v>0.6</v>
      </c>
      <c r="P45" s="3076"/>
      <c r="Q45" s="3076"/>
      <c r="R45" s="3076">
        <v>1816.88</v>
      </c>
      <c r="S45" s="3076">
        <v>652.01</v>
      </c>
      <c r="T45" s="3076"/>
      <c r="U45" s="3076">
        <f t="shared" si="0"/>
        <v>1164.8700000000001</v>
      </c>
    </row>
    <row r="46" spans="1:21">
      <c r="A46" s="3074" t="s">
        <v>3124</v>
      </c>
      <c r="B46" s="3074" t="s">
        <v>3073</v>
      </c>
      <c r="C46" s="3074">
        <v>1799.5</v>
      </c>
      <c r="D46" s="3075">
        <v>652</v>
      </c>
      <c r="E46" s="3075"/>
      <c r="F46" s="3075">
        <v>1000.5</v>
      </c>
      <c r="G46" s="3075">
        <v>147</v>
      </c>
      <c r="H46" s="3075">
        <v>2</v>
      </c>
      <c r="I46" s="3075">
        <v>3</v>
      </c>
      <c r="J46" s="3075">
        <v>1</v>
      </c>
      <c r="K46" s="3075">
        <v>6</v>
      </c>
      <c r="L46" s="3076"/>
      <c r="M46" s="3077">
        <f t="shared" si="1"/>
        <v>1815.68</v>
      </c>
      <c r="N46" s="3077" t="s">
        <v>3070</v>
      </c>
      <c r="O46" s="3079">
        <v>0.6</v>
      </c>
      <c r="P46" s="3076"/>
      <c r="Q46" s="3076"/>
      <c r="R46" s="3076">
        <v>1815.68</v>
      </c>
      <c r="S46" s="3076">
        <v>652.01</v>
      </c>
      <c r="T46" s="3076"/>
      <c r="U46" s="3076">
        <f t="shared" si="0"/>
        <v>1163.67</v>
      </c>
    </row>
    <row r="47" spans="1:21">
      <c r="A47" s="3074" t="s">
        <v>3125</v>
      </c>
      <c r="B47" s="3074" t="s">
        <v>3073</v>
      </c>
      <c r="C47" s="3074">
        <v>1202.82</v>
      </c>
      <c r="D47" s="3075">
        <v>435.55</v>
      </c>
      <c r="E47" s="3075"/>
      <c r="F47" s="3075">
        <v>669.27</v>
      </c>
      <c r="G47" s="3075">
        <v>98</v>
      </c>
      <c r="H47" s="3075">
        <v>2</v>
      </c>
      <c r="I47" s="3075">
        <v>3</v>
      </c>
      <c r="J47" s="3075">
        <v>1</v>
      </c>
      <c r="K47" s="3075">
        <v>4</v>
      </c>
      <c r="L47" s="3076"/>
      <c r="M47" s="3077">
        <f t="shared" si="1"/>
        <v>1213.4000000000001</v>
      </c>
      <c r="N47" s="3077" t="s">
        <v>3070</v>
      </c>
      <c r="O47" s="3079">
        <v>0.6</v>
      </c>
      <c r="P47" s="3076"/>
      <c r="Q47" s="3076"/>
      <c r="R47" s="3076">
        <v>1213.4000000000001</v>
      </c>
      <c r="S47" s="3076">
        <v>435.56</v>
      </c>
      <c r="T47" s="3076"/>
      <c r="U47" s="3076">
        <f t="shared" si="0"/>
        <v>777.84000000000015</v>
      </c>
    </row>
    <row r="48" spans="1:21">
      <c r="A48" s="3074" t="s">
        <v>3126</v>
      </c>
      <c r="B48" s="3074" t="s">
        <v>3073</v>
      </c>
      <c r="C48" s="3074">
        <v>1229.8400000000001</v>
      </c>
      <c r="D48" s="3075">
        <v>449.6</v>
      </c>
      <c r="E48" s="3075"/>
      <c r="F48" s="3075">
        <v>682.24</v>
      </c>
      <c r="G48" s="3075">
        <v>98</v>
      </c>
      <c r="H48" s="3075">
        <v>2</v>
      </c>
      <c r="I48" s="3075">
        <v>3</v>
      </c>
      <c r="J48" s="3075">
        <v>1</v>
      </c>
      <c r="K48" s="3075">
        <v>4</v>
      </c>
      <c r="L48" s="3076"/>
      <c r="M48" s="3077">
        <f t="shared" si="1"/>
        <v>1240.74</v>
      </c>
      <c r="N48" s="3077" t="s">
        <v>3070</v>
      </c>
      <c r="O48" s="3079">
        <v>0.6</v>
      </c>
      <c r="P48" s="3076"/>
      <c r="Q48" s="3076"/>
      <c r="R48" s="3076">
        <v>1240.74</v>
      </c>
      <c r="S48" s="3076">
        <v>449.59</v>
      </c>
      <c r="T48" s="3076"/>
      <c r="U48" s="3076">
        <f t="shared" si="0"/>
        <v>791.15000000000009</v>
      </c>
    </row>
    <row r="49" spans="1:21">
      <c r="A49" s="3074" t="s">
        <v>3127</v>
      </c>
      <c r="B49" s="3074" t="s">
        <v>3073</v>
      </c>
      <c r="C49" s="3074">
        <v>1799.5</v>
      </c>
      <c r="D49" s="3075">
        <v>652</v>
      </c>
      <c r="E49" s="3075"/>
      <c r="F49" s="3075">
        <v>1000.5</v>
      </c>
      <c r="G49" s="3075">
        <v>147</v>
      </c>
      <c r="H49" s="3075">
        <v>2</v>
      </c>
      <c r="I49" s="3075">
        <v>3</v>
      </c>
      <c r="J49" s="3075">
        <v>1</v>
      </c>
      <c r="K49" s="3075">
        <v>6</v>
      </c>
      <c r="L49" s="3076"/>
      <c r="M49" s="3077">
        <f t="shared" si="1"/>
        <v>1816.32</v>
      </c>
      <c r="N49" s="3077" t="s">
        <v>3070</v>
      </c>
      <c r="O49" s="3079">
        <v>0.6</v>
      </c>
      <c r="P49" s="3076"/>
      <c r="Q49" s="3076"/>
      <c r="R49" s="3076">
        <v>1816.32</v>
      </c>
      <c r="S49" s="3076">
        <v>652.01</v>
      </c>
      <c r="T49" s="3076"/>
      <c r="U49" s="3076">
        <f t="shared" si="0"/>
        <v>1164.31</v>
      </c>
    </row>
    <row r="50" spans="1:21">
      <c r="A50" s="3074" t="s">
        <v>3128</v>
      </c>
      <c r="B50" s="3074" t="s">
        <v>3073</v>
      </c>
      <c r="C50" s="3074">
        <v>1229.8400000000001</v>
      </c>
      <c r="D50" s="3075">
        <v>449.6</v>
      </c>
      <c r="E50" s="3075"/>
      <c r="F50" s="3075">
        <v>682.24</v>
      </c>
      <c r="G50" s="3075">
        <v>98</v>
      </c>
      <c r="H50" s="3075">
        <v>2</v>
      </c>
      <c r="I50" s="3075">
        <v>3</v>
      </c>
      <c r="J50" s="3075">
        <v>1</v>
      </c>
      <c r="K50" s="3075">
        <v>4</v>
      </c>
      <c r="L50" s="3076"/>
      <c r="M50" s="3077">
        <f t="shared" si="1"/>
        <v>1240.81</v>
      </c>
      <c r="N50" s="3077" t="s">
        <v>3070</v>
      </c>
      <c r="O50" s="3079">
        <v>0.6</v>
      </c>
      <c r="P50" s="3076"/>
      <c r="Q50" s="3076"/>
      <c r="R50" s="3076">
        <v>1240.81</v>
      </c>
      <c r="S50" s="3076">
        <v>449.59</v>
      </c>
      <c r="T50" s="3076"/>
      <c r="U50" s="3076">
        <f t="shared" si="0"/>
        <v>791.22</v>
      </c>
    </row>
    <row r="51" spans="1:21">
      <c r="A51" s="3074" t="s">
        <v>3129</v>
      </c>
      <c r="B51" s="3074" t="s">
        <v>3073</v>
      </c>
      <c r="C51" s="3074">
        <v>2397.12</v>
      </c>
      <c r="D51" s="3075">
        <v>868.45</v>
      </c>
      <c r="E51" s="3075"/>
      <c r="F51" s="3075">
        <v>1332.67</v>
      </c>
      <c r="G51" s="3075">
        <v>196</v>
      </c>
      <c r="H51" s="3075">
        <v>2</v>
      </c>
      <c r="I51" s="3075">
        <v>3</v>
      </c>
      <c r="J51" s="3075">
        <v>1</v>
      </c>
      <c r="K51" s="3075">
        <v>8</v>
      </c>
      <c r="L51" s="3076"/>
      <c r="M51" s="3077">
        <f t="shared" si="1"/>
        <v>2418.6799999999998</v>
      </c>
      <c r="N51" s="3077" t="s">
        <v>3070</v>
      </c>
      <c r="O51" s="3079">
        <v>0.6</v>
      </c>
      <c r="P51" s="3076"/>
      <c r="Q51" s="3076"/>
      <c r="R51" s="3076">
        <v>2418.6799999999998</v>
      </c>
      <c r="S51" s="3076">
        <v>868.47</v>
      </c>
      <c r="T51" s="3076"/>
      <c r="U51" s="3076">
        <f t="shared" si="0"/>
        <v>1550.2099999999998</v>
      </c>
    </row>
    <row r="52" spans="1:21">
      <c r="A52" s="3074" t="s">
        <v>3130</v>
      </c>
      <c r="B52" s="3074" t="s">
        <v>3073</v>
      </c>
      <c r="C52" s="3074">
        <v>1799.5</v>
      </c>
      <c r="D52" s="3075">
        <v>652</v>
      </c>
      <c r="E52" s="3075"/>
      <c r="F52" s="3075">
        <v>1000.5</v>
      </c>
      <c r="G52" s="3075">
        <v>147</v>
      </c>
      <c r="H52" s="3075">
        <v>2</v>
      </c>
      <c r="I52" s="3075">
        <v>3</v>
      </c>
      <c r="J52" s="3075">
        <v>1</v>
      </c>
      <c r="K52" s="3075">
        <v>6</v>
      </c>
      <c r="L52" s="3076"/>
      <c r="M52" s="3077">
        <f t="shared" si="1"/>
        <v>1815.68</v>
      </c>
      <c r="N52" s="3077" t="s">
        <v>3070</v>
      </c>
      <c r="O52" s="3079">
        <v>0.6</v>
      </c>
      <c r="P52" s="3076"/>
      <c r="Q52" s="3076"/>
      <c r="R52" s="3076">
        <v>1815.68</v>
      </c>
      <c r="S52" s="3076">
        <v>652.01</v>
      </c>
      <c r="T52" s="3076"/>
      <c r="U52" s="3076">
        <f t="shared" si="0"/>
        <v>1163.67</v>
      </c>
    </row>
    <row r="53" spans="1:21">
      <c r="A53" s="3074" t="s">
        <v>3131</v>
      </c>
      <c r="B53" s="3074" t="s">
        <v>3073</v>
      </c>
      <c r="C53" s="3074">
        <v>1799.5</v>
      </c>
      <c r="D53" s="3075">
        <v>652</v>
      </c>
      <c r="E53" s="3075"/>
      <c r="F53" s="3075">
        <v>1000.5</v>
      </c>
      <c r="G53" s="3075">
        <v>147</v>
      </c>
      <c r="H53" s="3075">
        <v>2</v>
      </c>
      <c r="I53" s="3075">
        <v>3</v>
      </c>
      <c r="J53" s="3075">
        <v>1</v>
      </c>
      <c r="K53" s="3075">
        <v>6</v>
      </c>
      <c r="L53" s="3076"/>
      <c r="M53" s="3077">
        <f t="shared" si="1"/>
        <v>1815.68</v>
      </c>
      <c r="N53" s="3077" t="s">
        <v>3070</v>
      </c>
      <c r="O53" s="3079">
        <v>0.6</v>
      </c>
      <c r="P53" s="3076"/>
      <c r="Q53" s="3076"/>
      <c r="R53" s="3076">
        <v>1815.68</v>
      </c>
      <c r="S53" s="3076">
        <v>652.01</v>
      </c>
      <c r="T53" s="3076"/>
      <c r="U53" s="3076">
        <f t="shared" si="0"/>
        <v>1163.67</v>
      </c>
    </row>
    <row r="54" spans="1:21">
      <c r="A54" s="3074" t="s">
        <v>3132</v>
      </c>
      <c r="B54" s="3074" t="s">
        <v>3073</v>
      </c>
      <c r="C54" s="3074">
        <v>2397.12</v>
      </c>
      <c r="D54" s="3075">
        <v>868.45</v>
      </c>
      <c r="E54" s="3075"/>
      <c r="F54" s="3075">
        <v>1332.67</v>
      </c>
      <c r="G54" s="3075">
        <v>196</v>
      </c>
      <c r="H54" s="3075">
        <v>2</v>
      </c>
      <c r="I54" s="3075">
        <v>3</v>
      </c>
      <c r="J54" s="3075">
        <v>1</v>
      </c>
      <c r="K54" s="3075">
        <v>8</v>
      </c>
      <c r="L54" s="3076"/>
      <c r="M54" s="3077">
        <f t="shared" si="1"/>
        <v>2419.2399999999998</v>
      </c>
      <c r="N54" s="3077" t="s">
        <v>3070</v>
      </c>
      <c r="O54" s="3079">
        <v>0.6</v>
      </c>
      <c r="P54" s="3076"/>
      <c r="Q54" s="3076"/>
      <c r="R54" s="3076">
        <v>2419.2399999999998</v>
      </c>
      <c r="S54" s="3076">
        <v>868.47</v>
      </c>
      <c r="T54" s="3076"/>
      <c r="U54" s="3076">
        <f t="shared" si="0"/>
        <v>1550.7699999999998</v>
      </c>
    </row>
    <row r="55" spans="1:21">
      <c r="A55" s="3074" t="s">
        <v>3133</v>
      </c>
      <c r="B55" s="3074" t="s">
        <v>3073</v>
      </c>
      <c r="C55" s="3074">
        <v>2397.12</v>
      </c>
      <c r="D55" s="3075">
        <v>868.45</v>
      </c>
      <c r="E55" s="3075"/>
      <c r="F55" s="3075">
        <v>1332.67</v>
      </c>
      <c r="G55" s="3075">
        <v>196</v>
      </c>
      <c r="H55" s="3075">
        <v>2</v>
      </c>
      <c r="I55" s="3075">
        <v>3</v>
      </c>
      <c r="J55" s="3075">
        <v>1</v>
      </c>
      <c r="K55" s="3075">
        <v>8</v>
      </c>
      <c r="L55" s="3076"/>
      <c r="M55" s="3077">
        <f t="shared" si="1"/>
        <v>2418.62</v>
      </c>
      <c r="N55" s="3077" t="s">
        <v>3070</v>
      </c>
      <c r="O55" s="3079">
        <v>0.6</v>
      </c>
      <c r="P55" s="3076"/>
      <c r="Q55" s="3076"/>
      <c r="R55" s="3076">
        <v>2418.62</v>
      </c>
      <c r="S55" s="3076">
        <v>868.47</v>
      </c>
      <c r="T55" s="3076"/>
      <c r="U55" s="3076">
        <f t="shared" si="0"/>
        <v>1550.1499999999999</v>
      </c>
    </row>
    <row r="56" spans="1:21">
      <c r="A56" s="3074" t="s">
        <v>3134</v>
      </c>
      <c r="B56" s="3074" t="s">
        <v>3073</v>
      </c>
      <c r="C56" s="3074">
        <v>1163.2</v>
      </c>
      <c r="D56" s="3075">
        <v>351.38</v>
      </c>
      <c r="E56" s="3075"/>
      <c r="F56" s="3075">
        <v>762.82</v>
      </c>
      <c r="G56" s="3075">
        <v>49</v>
      </c>
      <c r="H56" s="3075">
        <v>2</v>
      </c>
      <c r="I56" s="3075">
        <v>3</v>
      </c>
      <c r="J56" s="3075">
        <v>1</v>
      </c>
      <c r="K56" s="3075">
        <v>2</v>
      </c>
      <c r="L56" s="3076"/>
      <c r="M56" s="3077">
        <f t="shared" si="1"/>
        <v>1170.81</v>
      </c>
      <c r="N56" s="3077" t="s">
        <v>3070</v>
      </c>
      <c r="O56" s="3079">
        <v>0.6</v>
      </c>
      <c r="P56" s="3076"/>
      <c r="Q56" s="3076"/>
      <c r="R56" s="3076">
        <v>1170.81</v>
      </c>
      <c r="S56" s="3076">
        <v>351.38</v>
      </c>
      <c r="T56" s="3076"/>
      <c r="U56" s="3076">
        <f t="shared" si="0"/>
        <v>819.43</v>
      </c>
    </row>
    <row r="57" spans="1:21">
      <c r="A57" s="3074" t="s">
        <v>3135</v>
      </c>
      <c r="B57" s="3074" t="s">
        <v>3073</v>
      </c>
      <c r="C57" s="3074">
        <v>1163.2</v>
      </c>
      <c r="D57" s="3075">
        <v>351.38</v>
      </c>
      <c r="E57" s="3075"/>
      <c r="F57" s="3075">
        <v>762.82</v>
      </c>
      <c r="G57" s="3075">
        <v>49</v>
      </c>
      <c r="H57" s="3075">
        <v>2</v>
      </c>
      <c r="I57" s="3075">
        <v>3</v>
      </c>
      <c r="J57" s="3075">
        <v>1</v>
      </c>
      <c r="K57" s="3075">
        <v>2</v>
      </c>
      <c r="L57" s="3076"/>
      <c r="M57" s="3077">
        <f t="shared" si="1"/>
        <v>1170.81</v>
      </c>
      <c r="N57" s="3077" t="s">
        <v>3070</v>
      </c>
      <c r="O57" s="3079">
        <v>0.6</v>
      </c>
      <c r="P57" s="3076"/>
      <c r="Q57" s="3076"/>
      <c r="R57" s="3076">
        <v>1170.81</v>
      </c>
      <c r="S57" s="3076">
        <v>351.38</v>
      </c>
      <c r="T57" s="3076"/>
      <c r="U57" s="3076">
        <f t="shared" si="0"/>
        <v>819.43</v>
      </c>
    </row>
    <row r="58" spans="1:21">
      <c r="A58" s="3074" t="s">
        <v>3136</v>
      </c>
      <c r="B58" s="3074" t="s">
        <v>3073</v>
      </c>
      <c r="C58" s="3074">
        <v>2397.12</v>
      </c>
      <c r="D58" s="3075">
        <v>868.45</v>
      </c>
      <c r="E58" s="3075"/>
      <c r="F58" s="3075">
        <v>1332.67</v>
      </c>
      <c r="G58" s="3075">
        <v>196</v>
      </c>
      <c r="H58" s="3075">
        <v>2</v>
      </c>
      <c r="I58" s="3075">
        <v>3</v>
      </c>
      <c r="J58" s="3075">
        <v>1</v>
      </c>
      <c r="K58" s="3075">
        <v>8</v>
      </c>
      <c r="L58" s="3076"/>
      <c r="M58" s="3077">
        <f t="shared" si="1"/>
        <v>2418.62</v>
      </c>
      <c r="N58" s="3077" t="s">
        <v>3070</v>
      </c>
      <c r="O58" s="3079">
        <v>0.6</v>
      </c>
      <c r="P58" s="3076"/>
      <c r="Q58" s="3076"/>
      <c r="R58" s="3076">
        <v>2418.62</v>
      </c>
      <c r="S58" s="3076">
        <v>868.47</v>
      </c>
      <c r="T58" s="3076"/>
      <c r="U58" s="3076">
        <f t="shared" si="0"/>
        <v>1550.1499999999999</v>
      </c>
    </row>
    <row r="59" spans="1:21">
      <c r="A59" s="3074" t="s">
        <v>3137</v>
      </c>
      <c r="B59" s="3074" t="s">
        <v>3073</v>
      </c>
      <c r="C59" s="3074">
        <v>2397.12</v>
      </c>
      <c r="D59" s="3075">
        <v>868.45</v>
      </c>
      <c r="E59" s="3075"/>
      <c r="F59" s="3075">
        <v>1332.67</v>
      </c>
      <c r="G59" s="3075">
        <v>196</v>
      </c>
      <c r="H59" s="3075">
        <v>2</v>
      </c>
      <c r="I59" s="3075">
        <v>3</v>
      </c>
      <c r="J59" s="3075">
        <v>1</v>
      </c>
      <c r="K59" s="3075">
        <v>8</v>
      </c>
      <c r="L59" s="3076"/>
      <c r="M59" s="3077">
        <f t="shared" si="1"/>
        <v>2418.62</v>
      </c>
      <c r="N59" s="3077" t="s">
        <v>3070</v>
      </c>
      <c r="O59" s="3079">
        <v>0.6</v>
      </c>
      <c r="P59" s="3076"/>
      <c r="Q59" s="3076"/>
      <c r="R59" s="3076">
        <v>2418.62</v>
      </c>
      <c r="S59" s="3076">
        <v>868.47</v>
      </c>
      <c r="T59" s="3076"/>
      <c r="U59" s="3076">
        <f t="shared" si="0"/>
        <v>1550.1499999999999</v>
      </c>
    </row>
    <row r="60" spans="1:21">
      <c r="A60" s="3074" t="s">
        <v>3138</v>
      </c>
      <c r="B60" s="3074" t="s">
        <v>3073</v>
      </c>
      <c r="C60" s="3074">
        <v>1799.5</v>
      </c>
      <c r="D60" s="3075">
        <v>652</v>
      </c>
      <c r="E60" s="3075"/>
      <c r="F60" s="3075">
        <v>1000.5</v>
      </c>
      <c r="G60" s="3075">
        <v>147</v>
      </c>
      <c r="H60" s="3075">
        <v>2</v>
      </c>
      <c r="I60" s="3075">
        <v>3</v>
      </c>
      <c r="J60" s="3075">
        <v>1</v>
      </c>
      <c r="K60" s="3075">
        <v>6</v>
      </c>
      <c r="L60" s="3076"/>
      <c r="M60" s="3077">
        <f t="shared" si="1"/>
        <v>1817.52</v>
      </c>
      <c r="N60" s="3077" t="s">
        <v>3070</v>
      </c>
      <c r="O60" s="3079">
        <v>0.6</v>
      </c>
      <c r="P60" s="3076"/>
      <c r="Q60" s="3076"/>
      <c r="R60" s="3076">
        <v>1817.52</v>
      </c>
      <c r="S60" s="3076">
        <v>652.01</v>
      </c>
      <c r="T60" s="3076"/>
      <c r="U60" s="3076">
        <f t="shared" si="0"/>
        <v>1165.51</v>
      </c>
    </row>
    <row r="61" spans="1:21">
      <c r="A61" s="3074" t="s">
        <v>3139</v>
      </c>
      <c r="B61" s="3074" t="s">
        <v>3073</v>
      </c>
      <c r="C61" s="3074">
        <v>1799.5</v>
      </c>
      <c r="D61" s="3075">
        <v>652</v>
      </c>
      <c r="E61" s="3075"/>
      <c r="F61" s="3075">
        <v>1000.5</v>
      </c>
      <c r="G61" s="3075">
        <v>147</v>
      </c>
      <c r="H61" s="3075">
        <v>2</v>
      </c>
      <c r="I61" s="3075">
        <v>3</v>
      </c>
      <c r="J61" s="3075">
        <v>1</v>
      </c>
      <c r="K61" s="3075">
        <v>6</v>
      </c>
      <c r="L61" s="3076"/>
      <c r="M61" s="3077">
        <f t="shared" si="1"/>
        <v>1817.1</v>
      </c>
      <c r="N61" s="3077" t="s">
        <v>3070</v>
      </c>
      <c r="O61" s="3079">
        <v>0.6</v>
      </c>
      <c r="P61" s="3076"/>
      <c r="Q61" s="3076"/>
      <c r="R61" s="3076">
        <v>1817.1</v>
      </c>
      <c r="S61" s="3076">
        <v>652.01</v>
      </c>
      <c r="T61" s="3076"/>
      <c r="U61" s="3076">
        <f t="shared" si="0"/>
        <v>1165.0899999999999</v>
      </c>
    </row>
    <row r="62" spans="1:21">
      <c r="A62" s="3074" t="s">
        <v>3140</v>
      </c>
      <c r="B62" s="3074" t="s">
        <v>3073</v>
      </c>
      <c r="C62" s="3074">
        <v>2397.12</v>
      </c>
      <c r="D62" s="3075">
        <v>868.45</v>
      </c>
      <c r="E62" s="3075"/>
      <c r="F62" s="3075">
        <v>1332.67</v>
      </c>
      <c r="G62" s="3075">
        <v>196</v>
      </c>
      <c r="H62" s="3075">
        <v>2</v>
      </c>
      <c r="I62" s="3075">
        <v>3</v>
      </c>
      <c r="J62" s="3075">
        <v>1</v>
      </c>
      <c r="K62" s="3075">
        <v>8</v>
      </c>
      <c r="L62" s="3076"/>
      <c r="M62" s="3077">
        <f t="shared" si="1"/>
        <v>2419.88</v>
      </c>
      <c r="N62" s="3077" t="s">
        <v>3070</v>
      </c>
      <c r="O62" s="3079">
        <v>0.6</v>
      </c>
      <c r="P62" s="3076"/>
      <c r="Q62" s="3076"/>
      <c r="R62" s="3076">
        <v>2419.88</v>
      </c>
      <c r="S62" s="3076">
        <v>868.47</v>
      </c>
      <c r="T62" s="3076"/>
      <c r="U62" s="3076">
        <f t="shared" si="0"/>
        <v>1551.41</v>
      </c>
    </row>
    <row r="63" spans="1:21">
      <c r="A63" s="3074" t="s">
        <v>3141</v>
      </c>
      <c r="B63" s="3074" t="s">
        <v>3073</v>
      </c>
      <c r="C63" s="3074">
        <v>1228.76</v>
      </c>
      <c r="D63" s="3075">
        <v>449.6</v>
      </c>
      <c r="E63" s="3075"/>
      <c r="F63" s="3075">
        <v>681.16</v>
      </c>
      <c r="G63" s="3075">
        <v>98</v>
      </c>
      <c r="H63" s="3075">
        <v>2</v>
      </c>
      <c r="I63" s="3075">
        <v>3</v>
      </c>
      <c r="J63" s="3075">
        <v>1</v>
      </c>
      <c r="K63" s="3075">
        <v>4</v>
      </c>
      <c r="L63" s="3076"/>
      <c r="M63" s="3077">
        <f t="shared" si="1"/>
        <v>1240.22</v>
      </c>
      <c r="N63" s="3077" t="s">
        <v>3070</v>
      </c>
      <c r="O63" s="3079">
        <v>0.6</v>
      </c>
      <c r="P63" s="3076"/>
      <c r="Q63" s="3076"/>
      <c r="R63" s="3076">
        <v>1240.22</v>
      </c>
      <c r="S63" s="3076">
        <v>449.59</v>
      </c>
      <c r="T63" s="3076"/>
      <c r="U63" s="3076">
        <f t="shared" si="0"/>
        <v>790.63000000000011</v>
      </c>
    </row>
    <row r="64" spans="1:21">
      <c r="A64" s="3074" t="s">
        <v>3142</v>
      </c>
      <c r="B64" s="3074" t="s">
        <v>3073</v>
      </c>
      <c r="C64" s="3074">
        <v>922.90000000000009</v>
      </c>
      <c r="D64" s="3075">
        <v>337.54</v>
      </c>
      <c r="E64" s="3075"/>
      <c r="F64" s="3075">
        <v>511.86</v>
      </c>
      <c r="G64" s="3075">
        <v>73.5</v>
      </c>
      <c r="H64" s="3075">
        <v>2</v>
      </c>
      <c r="I64" s="3075">
        <v>3</v>
      </c>
      <c r="J64" s="3075">
        <v>1</v>
      </c>
      <c r="K64" s="3075">
        <v>3</v>
      </c>
      <c r="L64" s="3076"/>
      <c r="M64" s="3077">
        <f t="shared" si="1"/>
        <v>931.94</v>
      </c>
      <c r="N64" s="3077" t="s">
        <v>3070</v>
      </c>
      <c r="O64" s="3079">
        <v>0.6</v>
      </c>
      <c r="P64" s="3076"/>
      <c r="Q64" s="3076"/>
      <c r="R64" s="3076">
        <v>931.94</v>
      </c>
      <c r="S64" s="3076">
        <v>337.54</v>
      </c>
      <c r="T64" s="3076"/>
      <c r="U64" s="3076">
        <f t="shared" si="0"/>
        <v>594.40000000000009</v>
      </c>
    </row>
    <row r="65" spans="1:21">
      <c r="A65" s="3074" t="s">
        <v>3143</v>
      </c>
      <c r="B65" s="3074" t="s">
        <v>3073</v>
      </c>
      <c r="C65" s="3074">
        <v>1799.5</v>
      </c>
      <c r="D65" s="3075">
        <v>652</v>
      </c>
      <c r="E65" s="3075"/>
      <c r="F65" s="3075">
        <v>1000.5</v>
      </c>
      <c r="G65" s="3075">
        <v>147</v>
      </c>
      <c r="H65" s="3075">
        <v>2</v>
      </c>
      <c r="I65" s="3075">
        <v>3</v>
      </c>
      <c r="J65" s="3075">
        <v>1</v>
      </c>
      <c r="K65" s="3075">
        <v>6</v>
      </c>
      <c r="L65" s="3076"/>
      <c r="M65" s="3077">
        <f t="shared" si="1"/>
        <v>1816.88</v>
      </c>
      <c r="N65" s="3077" t="s">
        <v>3070</v>
      </c>
      <c r="O65" s="3079">
        <v>0.6</v>
      </c>
      <c r="P65" s="3076"/>
      <c r="Q65" s="3076"/>
      <c r="R65" s="3076">
        <v>1816.88</v>
      </c>
      <c r="S65" s="3076">
        <v>652.01</v>
      </c>
      <c r="T65" s="3076"/>
      <c r="U65" s="3076">
        <f t="shared" si="0"/>
        <v>1164.8700000000001</v>
      </c>
    </row>
    <row r="66" spans="1:21">
      <c r="A66" s="3074" t="s">
        <v>3144</v>
      </c>
      <c r="B66" s="3074" t="s">
        <v>3073</v>
      </c>
      <c r="C66" s="3074">
        <v>2397.12</v>
      </c>
      <c r="D66" s="3075">
        <v>868.45</v>
      </c>
      <c r="E66" s="3075"/>
      <c r="F66" s="3075">
        <v>1332.67</v>
      </c>
      <c r="G66" s="3075">
        <v>196</v>
      </c>
      <c r="H66" s="3075">
        <v>2</v>
      </c>
      <c r="I66" s="3075">
        <v>3</v>
      </c>
      <c r="J66" s="3075">
        <v>1</v>
      </c>
      <c r="K66" s="3075">
        <v>8</v>
      </c>
      <c r="L66" s="3076"/>
      <c r="M66" s="3077">
        <f t="shared" si="1"/>
        <v>2419.88</v>
      </c>
      <c r="N66" s="3077" t="s">
        <v>3070</v>
      </c>
      <c r="O66" s="3079">
        <v>0.6</v>
      </c>
      <c r="P66" s="3076"/>
      <c r="Q66" s="3076"/>
      <c r="R66" s="3076">
        <v>2419.88</v>
      </c>
      <c r="S66" s="3076">
        <v>868.47</v>
      </c>
      <c r="T66" s="3076"/>
      <c r="U66" s="3076">
        <f t="shared" si="0"/>
        <v>1551.41</v>
      </c>
    </row>
    <row r="67" spans="1:21">
      <c r="A67" s="3074" t="s">
        <v>3145</v>
      </c>
      <c r="B67" s="3074" t="s">
        <v>3073</v>
      </c>
      <c r="C67" s="3074">
        <v>1626.24</v>
      </c>
      <c r="D67" s="3075">
        <v>564.07000000000005</v>
      </c>
      <c r="E67" s="3075"/>
      <c r="F67" s="3075">
        <v>964.17</v>
      </c>
      <c r="G67" s="3075">
        <v>98</v>
      </c>
      <c r="H67" s="3075">
        <v>2</v>
      </c>
      <c r="I67" s="3075">
        <v>3</v>
      </c>
      <c r="J67" s="3075">
        <v>1</v>
      </c>
      <c r="K67" s="3075">
        <v>4</v>
      </c>
      <c r="L67" s="3076"/>
      <c r="M67" s="3077">
        <f t="shared" si="1"/>
        <v>1629.12</v>
      </c>
      <c r="N67" s="3077" t="s">
        <v>3070</v>
      </c>
      <c r="O67" s="3079">
        <v>0.6</v>
      </c>
      <c r="P67" s="3076"/>
      <c r="Q67" s="3076"/>
      <c r="R67" s="3076">
        <v>1629.12</v>
      </c>
      <c r="S67" s="3076">
        <v>563.59</v>
      </c>
      <c r="T67" s="3076"/>
      <c r="U67" s="3076">
        <f t="shared" ref="U67:U85" si="2">R67-S67</f>
        <v>1065.5299999999997</v>
      </c>
    </row>
    <row r="68" spans="1:21">
      <c r="A68" s="3074" t="s">
        <v>3146</v>
      </c>
      <c r="B68" s="3074" t="s">
        <v>3073</v>
      </c>
      <c r="C68" s="3074">
        <v>1626.24</v>
      </c>
      <c r="D68" s="3075">
        <v>564.07000000000005</v>
      </c>
      <c r="E68" s="3075"/>
      <c r="F68" s="3075">
        <v>964.17</v>
      </c>
      <c r="G68" s="3075">
        <v>98</v>
      </c>
      <c r="H68" s="3075">
        <v>2</v>
      </c>
      <c r="I68" s="3075">
        <v>3</v>
      </c>
      <c r="J68" s="3075">
        <v>1</v>
      </c>
      <c r="K68" s="3075">
        <v>4</v>
      </c>
      <c r="L68" s="3076"/>
      <c r="M68" s="3077">
        <f t="shared" ref="M68:M85" si="3">R68</f>
        <v>1629.12</v>
      </c>
      <c r="N68" s="3077" t="s">
        <v>3070</v>
      </c>
      <c r="O68" s="3079">
        <v>0.6</v>
      </c>
      <c r="P68" s="3076"/>
      <c r="Q68" s="3076"/>
      <c r="R68" s="3076">
        <v>1629.12</v>
      </c>
      <c r="S68" s="3076">
        <v>563.59</v>
      </c>
      <c r="T68" s="3076"/>
      <c r="U68" s="3076">
        <f t="shared" si="2"/>
        <v>1065.5299999999997</v>
      </c>
    </row>
    <row r="69" spans="1:21">
      <c r="A69" s="3074" t="s">
        <v>3147</v>
      </c>
      <c r="B69" s="3074" t="s">
        <v>3073</v>
      </c>
      <c r="C69" s="3074">
        <v>1219.1500000000001</v>
      </c>
      <c r="D69" s="3075">
        <v>423.44</v>
      </c>
      <c r="E69" s="3075"/>
      <c r="F69" s="3075">
        <v>722.21</v>
      </c>
      <c r="G69" s="3075">
        <v>73.5</v>
      </c>
      <c r="H69" s="3075">
        <v>2</v>
      </c>
      <c r="I69" s="3075">
        <v>3</v>
      </c>
      <c r="J69" s="3075">
        <v>1</v>
      </c>
      <c r="K69" s="3075">
        <v>3</v>
      </c>
      <c r="L69" s="3076"/>
      <c r="M69" s="3077">
        <f t="shared" si="3"/>
        <v>1223.45</v>
      </c>
      <c r="N69" s="3077" t="s">
        <v>3070</v>
      </c>
      <c r="O69" s="3079">
        <v>0.6</v>
      </c>
      <c r="P69" s="3076"/>
      <c r="Q69" s="3076"/>
      <c r="R69" s="3080">
        <v>1223.45</v>
      </c>
      <c r="S69" s="3076">
        <v>423.08</v>
      </c>
      <c r="T69" s="3076"/>
      <c r="U69" s="3076">
        <f t="shared" si="2"/>
        <v>800.37000000000012</v>
      </c>
    </row>
    <row r="70" spans="1:21">
      <c r="A70" s="3074" t="s">
        <v>3148</v>
      </c>
      <c r="B70" s="3074" t="s">
        <v>3073</v>
      </c>
      <c r="C70" s="3074">
        <v>1799.5</v>
      </c>
      <c r="D70" s="3075">
        <v>652</v>
      </c>
      <c r="E70" s="3075"/>
      <c r="F70" s="3075">
        <v>1000.5</v>
      </c>
      <c r="G70" s="3075">
        <v>147</v>
      </c>
      <c r="H70" s="3075">
        <v>2</v>
      </c>
      <c r="I70" s="3075">
        <v>3</v>
      </c>
      <c r="J70" s="3075">
        <v>1</v>
      </c>
      <c r="K70" s="3075">
        <v>6</v>
      </c>
      <c r="L70" s="3076"/>
      <c r="M70" s="3077">
        <f t="shared" si="3"/>
        <v>1816.88</v>
      </c>
      <c r="N70" s="3077" t="s">
        <v>3070</v>
      </c>
      <c r="O70" s="3079">
        <v>0.6</v>
      </c>
      <c r="P70" s="3076"/>
      <c r="Q70" s="3076"/>
      <c r="R70" s="3076">
        <v>1816.88</v>
      </c>
      <c r="S70" s="3076">
        <v>652.01</v>
      </c>
      <c r="T70" s="3076"/>
      <c r="U70" s="3076">
        <f t="shared" si="2"/>
        <v>1164.8700000000001</v>
      </c>
    </row>
    <row r="71" spans="1:21">
      <c r="A71" s="3074" t="s">
        <v>3149</v>
      </c>
      <c r="B71" s="3074" t="s">
        <v>3073</v>
      </c>
      <c r="C71" s="3074">
        <v>1202.82</v>
      </c>
      <c r="D71" s="3075">
        <v>435.55</v>
      </c>
      <c r="E71" s="3075"/>
      <c r="F71" s="3075">
        <v>669.27</v>
      </c>
      <c r="G71" s="3075">
        <v>98</v>
      </c>
      <c r="H71" s="3075">
        <v>2</v>
      </c>
      <c r="I71" s="3075">
        <v>3</v>
      </c>
      <c r="J71" s="3075">
        <v>1</v>
      </c>
      <c r="K71" s="3075">
        <v>4</v>
      </c>
      <c r="L71" s="3076"/>
      <c r="M71" s="3077">
        <f t="shared" si="3"/>
        <v>1212.72</v>
      </c>
      <c r="N71" s="3077" t="s">
        <v>3070</v>
      </c>
      <c r="O71" s="3079">
        <v>0.6</v>
      </c>
      <c r="P71" s="3076"/>
      <c r="Q71" s="3076"/>
      <c r="R71" s="3076">
        <v>1212.72</v>
      </c>
      <c r="S71" s="3076">
        <v>435.56</v>
      </c>
      <c r="T71" s="3076"/>
      <c r="U71" s="3076">
        <f t="shared" si="2"/>
        <v>777.16000000000008</v>
      </c>
    </row>
    <row r="72" spans="1:21">
      <c r="A72" s="3074" t="s">
        <v>3150</v>
      </c>
      <c r="B72" s="3074" t="s">
        <v>3073</v>
      </c>
      <c r="C72" s="3074">
        <v>1202.82</v>
      </c>
      <c r="D72" s="3075">
        <v>435.55</v>
      </c>
      <c r="E72" s="3075"/>
      <c r="F72" s="3075">
        <v>669.27</v>
      </c>
      <c r="G72" s="3075">
        <v>98</v>
      </c>
      <c r="H72" s="3075">
        <v>2</v>
      </c>
      <c r="I72" s="3075">
        <v>3</v>
      </c>
      <c r="J72" s="3075">
        <v>1</v>
      </c>
      <c r="K72" s="3075">
        <v>4</v>
      </c>
      <c r="L72" s="3076"/>
      <c r="M72" s="3077">
        <f t="shared" si="3"/>
        <v>1212.72</v>
      </c>
      <c r="N72" s="3077" t="s">
        <v>3070</v>
      </c>
      <c r="O72" s="3079">
        <v>0.6</v>
      </c>
      <c r="P72" s="3076"/>
      <c r="Q72" s="3076"/>
      <c r="R72" s="3076">
        <v>1212.72</v>
      </c>
      <c r="S72" s="3076">
        <v>435.56</v>
      </c>
      <c r="T72" s="3076"/>
      <c r="U72" s="3076">
        <f t="shared" si="2"/>
        <v>777.16000000000008</v>
      </c>
    </row>
    <row r="73" spans="1:21">
      <c r="A73" s="3074" t="s">
        <v>3151</v>
      </c>
      <c r="B73" s="3074" t="s">
        <v>3073</v>
      </c>
      <c r="C73" s="3074">
        <v>1799.5</v>
      </c>
      <c r="D73" s="3075">
        <v>652</v>
      </c>
      <c r="E73" s="3075"/>
      <c r="F73" s="3075">
        <v>1000.5</v>
      </c>
      <c r="G73" s="3075">
        <v>147</v>
      </c>
      <c r="H73" s="3075">
        <v>2</v>
      </c>
      <c r="I73" s="3075">
        <v>3</v>
      </c>
      <c r="J73" s="3075">
        <v>1</v>
      </c>
      <c r="K73" s="3075">
        <v>6</v>
      </c>
      <c r="L73" s="3076"/>
      <c r="M73" s="3077">
        <f t="shared" si="3"/>
        <v>1815.68</v>
      </c>
      <c r="N73" s="3077" t="s">
        <v>3070</v>
      </c>
      <c r="O73" s="3079">
        <v>0.6</v>
      </c>
      <c r="P73" s="3076"/>
      <c r="Q73" s="3076"/>
      <c r="R73" s="3076">
        <v>1815.68</v>
      </c>
      <c r="S73" s="3076">
        <v>652.01</v>
      </c>
      <c r="T73" s="3076"/>
      <c r="U73" s="3076">
        <f t="shared" si="2"/>
        <v>1163.67</v>
      </c>
    </row>
    <row r="74" spans="1:21">
      <c r="A74" s="3074" t="s">
        <v>3152</v>
      </c>
      <c r="B74" s="3074" t="s">
        <v>3073</v>
      </c>
      <c r="C74" s="3074">
        <v>1799.5</v>
      </c>
      <c r="D74" s="3075">
        <v>652</v>
      </c>
      <c r="E74" s="3075"/>
      <c r="F74" s="3075">
        <v>1000.5</v>
      </c>
      <c r="G74" s="3075">
        <v>147</v>
      </c>
      <c r="H74" s="3075">
        <v>2</v>
      </c>
      <c r="I74" s="3075">
        <v>3</v>
      </c>
      <c r="J74" s="3075">
        <v>1</v>
      </c>
      <c r="K74" s="3075">
        <v>6</v>
      </c>
      <c r="L74" s="3076"/>
      <c r="M74" s="3077">
        <f t="shared" si="3"/>
        <v>1817.52</v>
      </c>
      <c r="N74" s="3077" t="s">
        <v>3070</v>
      </c>
      <c r="O74" s="3079">
        <v>0.6</v>
      </c>
      <c r="P74" s="3076"/>
      <c r="Q74" s="3076"/>
      <c r="R74" s="3076">
        <v>1817.52</v>
      </c>
      <c r="S74" s="3076">
        <v>652.01</v>
      </c>
      <c r="T74" s="3076"/>
      <c r="U74" s="3076">
        <f t="shared" si="2"/>
        <v>1165.51</v>
      </c>
    </row>
    <row r="75" spans="1:21">
      <c r="A75" s="3074" t="s">
        <v>3153</v>
      </c>
      <c r="B75" s="3074" t="s">
        <v>3073</v>
      </c>
      <c r="C75" s="3074">
        <v>1202.82</v>
      </c>
      <c r="D75" s="3075">
        <v>435.55</v>
      </c>
      <c r="E75" s="3075"/>
      <c r="F75" s="3075">
        <v>669.27</v>
      </c>
      <c r="G75" s="3075">
        <v>98</v>
      </c>
      <c r="H75" s="3075">
        <v>2</v>
      </c>
      <c r="I75" s="3075">
        <v>3</v>
      </c>
      <c r="J75" s="3075">
        <v>1</v>
      </c>
      <c r="K75" s="3075">
        <v>4</v>
      </c>
      <c r="L75" s="3076"/>
      <c r="M75" s="3077">
        <f t="shared" si="3"/>
        <v>1213.94</v>
      </c>
      <c r="N75" s="3077" t="s">
        <v>3070</v>
      </c>
      <c r="O75" s="3079">
        <v>0.6</v>
      </c>
      <c r="P75" s="3076"/>
      <c r="Q75" s="3076"/>
      <c r="R75" s="3076">
        <v>1213.94</v>
      </c>
      <c r="S75" s="3076">
        <v>435.56</v>
      </c>
      <c r="T75" s="3076"/>
      <c r="U75" s="3076">
        <f t="shared" si="2"/>
        <v>778.38000000000011</v>
      </c>
    </row>
    <row r="76" spans="1:21">
      <c r="A76" s="3074" t="s">
        <v>3154</v>
      </c>
      <c r="B76" s="3074" t="s">
        <v>3073</v>
      </c>
      <c r="C76" s="3074">
        <v>1799.5</v>
      </c>
      <c r="D76" s="3075">
        <v>652</v>
      </c>
      <c r="E76" s="3075"/>
      <c r="F76" s="3075">
        <v>1000.5</v>
      </c>
      <c r="G76" s="3075">
        <v>147</v>
      </c>
      <c r="H76" s="3075">
        <v>2</v>
      </c>
      <c r="I76" s="3075">
        <v>3</v>
      </c>
      <c r="J76" s="3075">
        <v>1</v>
      </c>
      <c r="K76" s="3075">
        <v>6</v>
      </c>
      <c r="L76" s="3076"/>
      <c r="M76" s="3077">
        <f t="shared" si="3"/>
        <v>1816.04</v>
      </c>
      <c r="N76" s="3077" t="s">
        <v>3070</v>
      </c>
      <c r="O76" s="3079">
        <v>0.6</v>
      </c>
      <c r="P76" s="3076"/>
      <c r="Q76" s="3076"/>
      <c r="R76" s="3076">
        <v>1816.04</v>
      </c>
      <c r="S76" s="3076">
        <v>652.01</v>
      </c>
      <c r="T76" s="3076"/>
      <c r="U76" s="3076">
        <f t="shared" si="2"/>
        <v>1164.03</v>
      </c>
    </row>
    <row r="77" spans="1:21">
      <c r="A77" s="3074" t="s">
        <v>3155</v>
      </c>
      <c r="B77" s="3074" t="s">
        <v>3073</v>
      </c>
      <c r="C77" s="3074">
        <v>1202.82</v>
      </c>
      <c r="D77" s="3075">
        <v>435.55</v>
      </c>
      <c r="E77" s="3075"/>
      <c r="F77" s="3075">
        <v>669.27</v>
      </c>
      <c r="G77" s="3075">
        <v>98</v>
      </c>
      <c r="H77" s="3075">
        <v>2</v>
      </c>
      <c r="I77" s="3075">
        <v>3</v>
      </c>
      <c r="J77" s="3075">
        <v>1</v>
      </c>
      <c r="K77" s="3075">
        <v>4</v>
      </c>
      <c r="L77" s="3076"/>
      <c r="M77" s="3077">
        <f t="shared" si="3"/>
        <v>1214.1400000000001</v>
      </c>
      <c r="N77" s="3077" t="s">
        <v>3070</v>
      </c>
      <c r="O77" s="3079">
        <v>0.6</v>
      </c>
      <c r="P77" s="3076"/>
      <c r="Q77" s="3076"/>
      <c r="R77" s="3076">
        <v>1214.1400000000001</v>
      </c>
      <c r="S77" s="3076">
        <v>435.56</v>
      </c>
      <c r="T77" s="3076"/>
      <c r="U77" s="3076">
        <f t="shared" si="2"/>
        <v>778.58000000000015</v>
      </c>
    </row>
    <row r="78" spans="1:21">
      <c r="A78" s="3074" t="s">
        <v>3156</v>
      </c>
      <c r="B78" s="3074" t="s">
        <v>3073</v>
      </c>
      <c r="C78" s="3074">
        <v>1203.48</v>
      </c>
      <c r="D78" s="3075">
        <v>435.55</v>
      </c>
      <c r="E78" s="3075"/>
      <c r="F78" s="3075">
        <v>669.93</v>
      </c>
      <c r="G78" s="3075">
        <v>98</v>
      </c>
      <c r="H78" s="3075">
        <v>2</v>
      </c>
      <c r="I78" s="3075">
        <v>3</v>
      </c>
      <c r="J78" s="3075">
        <v>1</v>
      </c>
      <c r="K78" s="3075">
        <v>4</v>
      </c>
      <c r="L78" s="3076"/>
      <c r="M78" s="3077">
        <f t="shared" si="3"/>
        <v>1214.6199999999999</v>
      </c>
      <c r="N78" s="3077" t="s">
        <v>3070</v>
      </c>
      <c r="O78" s="3079">
        <v>0.6</v>
      </c>
      <c r="P78" s="3076"/>
      <c r="Q78" s="3076"/>
      <c r="R78" s="3076">
        <v>1214.6199999999999</v>
      </c>
      <c r="S78" s="3076">
        <v>435.56</v>
      </c>
      <c r="T78" s="3076"/>
      <c r="U78" s="3076">
        <f t="shared" si="2"/>
        <v>779.06</v>
      </c>
    </row>
    <row r="79" spans="1:21">
      <c r="A79" s="3074" t="s">
        <v>3157</v>
      </c>
      <c r="B79" s="3074" t="s">
        <v>3073</v>
      </c>
      <c r="C79" s="3074">
        <v>1799.5</v>
      </c>
      <c r="D79" s="3075">
        <v>652</v>
      </c>
      <c r="E79" s="3075"/>
      <c r="F79" s="3075">
        <v>1000.5</v>
      </c>
      <c r="G79" s="3075">
        <v>147</v>
      </c>
      <c r="H79" s="3075">
        <v>2</v>
      </c>
      <c r="I79" s="3075">
        <v>3</v>
      </c>
      <c r="J79" s="3075">
        <v>1</v>
      </c>
      <c r="K79" s="3075">
        <v>6</v>
      </c>
      <c r="L79" s="3076"/>
      <c r="M79" s="3077">
        <f t="shared" si="3"/>
        <v>1816.88</v>
      </c>
      <c r="N79" s="3077" t="s">
        <v>3070</v>
      </c>
      <c r="O79" s="3079">
        <v>0.6</v>
      </c>
      <c r="P79" s="3076"/>
      <c r="Q79" s="3076"/>
      <c r="R79" s="3076">
        <v>1816.88</v>
      </c>
      <c r="S79" s="3076">
        <v>652.01</v>
      </c>
      <c r="T79" s="3076"/>
      <c r="U79" s="3076">
        <f t="shared" si="2"/>
        <v>1164.8700000000001</v>
      </c>
    </row>
    <row r="80" spans="1:21">
      <c r="A80" s="3074" t="s">
        <v>3158</v>
      </c>
      <c r="B80" s="3074" t="s">
        <v>3073</v>
      </c>
      <c r="C80" s="3074">
        <v>1202.82</v>
      </c>
      <c r="D80" s="3075">
        <v>435.55</v>
      </c>
      <c r="E80" s="3075"/>
      <c r="F80" s="3075">
        <v>669.27</v>
      </c>
      <c r="G80" s="3075">
        <v>98</v>
      </c>
      <c r="H80" s="3075">
        <v>2</v>
      </c>
      <c r="I80" s="3075">
        <v>3</v>
      </c>
      <c r="J80" s="3075">
        <v>1</v>
      </c>
      <c r="K80" s="3075">
        <v>4</v>
      </c>
      <c r="L80" s="3076"/>
      <c r="M80" s="3077">
        <f t="shared" si="3"/>
        <v>1214.6199999999999</v>
      </c>
      <c r="N80" s="3077" t="s">
        <v>3070</v>
      </c>
      <c r="O80" s="3079">
        <v>0.6</v>
      </c>
      <c r="P80" s="3076"/>
      <c r="Q80" s="3076"/>
      <c r="R80" s="3076">
        <v>1214.6199999999999</v>
      </c>
      <c r="S80" s="3076">
        <v>435.56</v>
      </c>
      <c r="T80" s="3076"/>
      <c r="U80" s="3076">
        <f t="shared" si="2"/>
        <v>779.06</v>
      </c>
    </row>
    <row r="81" spans="1:21">
      <c r="A81" s="3074" t="s">
        <v>3159</v>
      </c>
      <c r="B81" s="3074" t="s">
        <v>3073</v>
      </c>
      <c r="C81" s="3074">
        <v>1799.5</v>
      </c>
      <c r="D81" s="3075">
        <v>652</v>
      </c>
      <c r="E81" s="3075"/>
      <c r="F81" s="3075">
        <v>1000.5</v>
      </c>
      <c r="G81" s="3075">
        <v>147</v>
      </c>
      <c r="H81" s="3075">
        <v>2</v>
      </c>
      <c r="I81" s="3075">
        <v>3</v>
      </c>
      <c r="J81" s="3075">
        <v>1</v>
      </c>
      <c r="K81" s="3075">
        <v>6</v>
      </c>
      <c r="L81" s="3076"/>
      <c r="M81" s="3077">
        <f t="shared" si="3"/>
        <v>1816.88</v>
      </c>
      <c r="N81" s="3077" t="s">
        <v>3070</v>
      </c>
      <c r="O81" s="3079">
        <v>0.6</v>
      </c>
      <c r="P81" s="3076"/>
      <c r="Q81" s="3076"/>
      <c r="R81" s="3076">
        <v>1816.88</v>
      </c>
      <c r="S81" s="3076">
        <v>652.01</v>
      </c>
      <c r="T81" s="3076"/>
      <c r="U81" s="3076">
        <f t="shared" si="2"/>
        <v>1164.8700000000001</v>
      </c>
    </row>
    <row r="82" spans="1:21">
      <c r="A82" s="3074" t="s">
        <v>3160</v>
      </c>
      <c r="B82" s="3074" t="s">
        <v>3073</v>
      </c>
      <c r="C82" s="3074">
        <v>1799.5</v>
      </c>
      <c r="D82" s="3075">
        <v>652</v>
      </c>
      <c r="E82" s="3075"/>
      <c r="F82" s="3075">
        <v>1000.5</v>
      </c>
      <c r="G82" s="3075">
        <v>147</v>
      </c>
      <c r="H82" s="3075">
        <v>2</v>
      </c>
      <c r="I82" s="3075">
        <v>3</v>
      </c>
      <c r="J82" s="3075">
        <v>1</v>
      </c>
      <c r="K82" s="3075">
        <v>6</v>
      </c>
      <c r="L82" s="3076"/>
      <c r="M82" s="3077">
        <f t="shared" si="3"/>
        <v>1816.88</v>
      </c>
      <c r="N82" s="3077" t="s">
        <v>3070</v>
      </c>
      <c r="O82" s="3079">
        <v>0.6</v>
      </c>
      <c r="P82" s="3076"/>
      <c r="Q82" s="3076"/>
      <c r="R82" s="3076">
        <v>1816.88</v>
      </c>
      <c r="S82" s="3076">
        <v>652.01</v>
      </c>
      <c r="T82" s="3076"/>
      <c r="U82" s="3076">
        <f t="shared" si="2"/>
        <v>1164.8700000000001</v>
      </c>
    </row>
    <row r="83" spans="1:21">
      <c r="A83" s="3074" t="s">
        <v>3161</v>
      </c>
      <c r="B83" s="3074" t="s">
        <v>3073</v>
      </c>
      <c r="C83" s="3074">
        <v>1202.82</v>
      </c>
      <c r="D83" s="3075">
        <v>435.55</v>
      </c>
      <c r="E83" s="3075"/>
      <c r="F83" s="3075">
        <v>669.27</v>
      </c>
      <c r="G83" s="3075">
        <v>98</v>
      </c>
      <c r="H83" s="3075">
        <v>2</v>
      </c>
      <c r="I83" s="3075">
        <v>3</v>
      </c>
      <c r="J83" s="3075">
        <v>1</v>
      </c>
      <c r="K83" s="3075">
        <v>4</v>
      </c>
      <c r="L83" s="3076"/>
      <c r="M83" s="3077">
        <f t="shared" si="3"/>
        <v>1213.94</v>
      </c>
      <c r="N83" s="3077" t="s">
        <v>3070</v>
      </c>
      <c r="O83" s="3079">
        <v>0.6</v>
      </c>
      <c r="P83" s="3076"/>
      <c r="Q83" s="3076"/>
      <c r="R83" s="3076">
        <v>1213.94</v>
      </c>
      <c r="S83" s="3076">
        <v>435.56</v>
      </c>
      <c r="T83" s="3076"/>
      <c r="U83" s="3076">
        <f t="shared" si="2"/>
        <v>778.38000000000011</v>
      </c>
    </row>
    <row r="84" spans="1:21">
      <c r="A84" s="3074" t="s">
        <v>3162</v>
      </c>
      <c r="B84" s="3074" t="s">
        <v>3073</v>
      </c>
      <c r="C84" s="3074">
        <v>1202.82</v>
      </c>
      <c r="D84" s="3075">
        <v>435.55</v>
      </c>
      <c r="E84" s="3075"/>
      <c r="F84" s="3075">
        <v>669.27</v>
      </c>
      <c r="G84" s="3075">
        <v>98</v>
      </c>
      <c r="H84" s="3075">
        <v>2</v>
      </c>
      <c r="I84" s="3075">
        <v>3</v>
      </c>
      <c r="J84" s="3075">
        <v>1</v>
      </c>
      <c r="K84" s="3075">
        <v>4</v>
      </c>
      <c r="L84" s="3076"/>
      <c r="M84" s="3077">
        <f t="shared" si="3"/>
        <v>1213.78</v>
      </c>
      <c r="N84" s="3077" t="s">
        <v>3070</v>
      </c>
      <c r="O84" s="3079">
        <v>0.6</v>
      </c>
      <c r="P84" s="3076"/>
      <c r="Q84" s="3076"/>
      <c r="R84" s="3076">
        <v>1213.78</v>
      </c>
      <c r="S84" s="3076">
        <v>435.56</v>
      </c>
      <c r="T84" s="3076"/>
      <c r="U84" s="3076">
        <f t="shared" si="2"/>
        <v>778.22</v>
      </c>
    </row>
    <row r="85" spans="1:21">
      <c r="A85" s="3074" t="s">
        <v>3163</v>
      </c>
      <c r="B85" s="3074" t="s">
        <v>3073</v>
      </c>
      <c r="C85" s="3074">
        <v>1799.5</v>
      </c>
      <c r="D85" s="3075">
        <v>652</v>
      </c>
      <c r="E85" s="3075"/>
      <c r="F85" s="3075">
        <v>1000.5</v>
      </c>
      <c r="G85" s="3075">
        <v>147</v>
      </c>
      <c r="H85" s="3075">
        <v>2</v>
      </c>
      <c r="I85" s="3075">
        <v>3</v>
      </c>
      <c r="J85" s="3075">
        <v>1</v>
      </c>
      <c r="K85" s="3075">
        <v>6</v>
      </c>
      <c r="L85" s="3076"/>
      <c r="M85" s="3077">
        <f t="shared" si="3"/>
        <v>1816.32</v>
      </c>
      <c r="N85" s="3077" t="s">
        <v>3070</v>
      </c>
      <c r="O85" s="3079">
        <v>0.6</v>
      </c>
      <c r="P85" s="3076"/>
      <c r="Q85" s="3076"/>
      <c r="R85" s="3076">
        <v>1816.32</v>
      </c>
      <c r="S85" s="3076">
        <v>652.01</v>
      </c>
      <c r="T85" s="3076"/>
      <c r="U85" s="3076">
        <f t="shared" si="2"/>
        <v>1164.31</v>
      </c>
    </row>
    <row r="86" spans="1:21">
      <c r="A86" s="3074" t="s">
        <v>37</v>
      </c>
      <c r="B86" s="3075"/>
      <c r="C86" s="3074">
        <f>SUM(C3:C85)</f>
        <v>129624.39</v>
      </c>
      <c r="D86" s="3074">
        <f>SUM(D3:D85)</f>
        <v>46712.660000000018</v>
      </c>
      <c r="E86" s="3074"/>
      <c r="F86" s="3074">
        <f>SUM(F3:F85)</f>
        <v>72621.729999999967</v>
      </c>
      <c r="G86" s="3074">
        <v>10290</v>
      </c>
      <c r="H86" s="3075"/>
      <c r="I86" s="3075"/>
      <c r="J86" s="3075"/>
      <c r="K86" s="3075">
        <v>420</v>
      </c>
      <c r="L86" s="3077" t="s">
        <v>3164</v>
      </c>
      <c r="M86" s="3077">
        <v>0</v>
      </c>
      <c r="N86" s="3077"/>
      <c r="O86" s="3079">
        <v>0</v>
      </c>
      <c r="P86" s="3076"/>
      <c r="Q86" s="3076"/>
      <c r="R86" s="3076">
        <v>38228.400000000001</v>
      </c>
      <c r="S86" s="3076"/>
      <c r="T86" s="3076">
        <f>R86</f>
        <v>38228.400000000001</v>
      </c>
      <c r="U86" s="3076"/>
    </row>
    <row r="87" spans="1:21">
      <c r="A87" s="3071" t="s">
        <v>3165</v>
      </c>
      <c r="B87" s="3071" t="s">
        <v>3166</v>
      </c>
      <c r="C87" s="3071">
        <v>450</v>
      </c>
      <c r="D87" s="3072"/>
      <c r="E87" s="3072">
        <v>300</v>
      </c>
      <c r="F87" s="3072"/>
      <c r="G87" s="3072">
        <v>150</v>
      </c>
      <c r="H87" s="3072"/>
      <c r="I87" s="3072"/>
      <c r="J87" s="3072"/>
      <c r="K87" s="3072"/>
      <c r="M87" s="3081">
        <v>450</v>
      </c>
      <c r="N87" s="3081" t="s">
        <v>3070</v>
      </c>
      <c r="O87" s="3079">
        <v>0.6</v>
      </c>
      <c r="R87" s="3082">
        <f>SUM(R3:R86)</f>
        <v>168999.5</v>
      </c>
      <c r="S87" s="3082">
        <f>SUM(S3:S86)</f>
        <v>46710.839999999989</v>
      </c>
      <c r="T87" s="3082">
        <f>T86</f>
        <v>38228.400000000001</v>
      </c>
      <c r="U87" s="3082">
        <f>SUM(U3:U86)</f>
        <v>84060.26</v>
      </c>
    </row>
    <row r="88" spans="1:21">
      <c r="A88" s="3071" t="s">
        <v>48</v>
      </c>
      <c r="B88" s="3072"/>
      <c r="C88" s="3072">
        <f>E88+F88+G88</f>
        <v>50636.86</v>
      </c>
      <c r="D88" s="3072"/>
      <c r="E88" s="3072">
        <v>129</v>
      </c>
      <c r="F88" s="3072">
        <v>46509.14</v>
      </c>
      <c r="G88" s="3072">
        <v>3998.72</v>
      </c>
      <c r="H88" s="3072"/>
      <c r="I88" s="3072"/>
      <c r="J88" s="3072"/>
      <c r="K88" s="3072"/>
      <c r="L88" s="3081" t="s">
        <v>3167</v>
      </c>
      <c r="M88" s="3081">
        <f>T87+V100</f>
        <v>39574.06</v>
      </c>
      <c r="N88" s="3081" t="s">
        <v>3070</v>
      </c>
      <c r="O88" s="3079">
        <v>0.6</v>
      </c>
    </row>
    <row r="89" spans="1:21">
      <c r="A89" s="3074" t="s">
        <v>3168</v>
      </c>
      <c r="B89" s="3074" t="s">
        <v>3073</v>
      </c>
      <c r="C89" s="3072"/>
      <c r="D89" s="3072"/>
      <c r="E89" s="3072"/>
      <c r="F89" s="3072"/>
      <c r="G89" s="3072"/>
      <c r="H89" s="3072"/>
      <c r="I89" s="3072"/>
      <c r="J89" s="3072"/>
      <c r="K89" s="3072"/>
      <c r="L89" s="3081"/>
      <c r="M89" s="3081">
        <f>[1]洋房测绘!N85</f>
        <v>9685.0600000000013</v>
      </c>
      <c r="N89" s="3081" t="s">
        <v>3169</v>
      </c>
      <c r="O89" s="3083">
        <f>ROUND(20%+40%*Q89/P89,2)</f>
        <v>0.4</v>
      </c>
      <c r="P89">
        <f>M109</f>
        <v>8</v>
      </c>
      <c r="Q89">
        <v>4</v>
      </c>
    </row>
    <row r="90" spans="1:21">
      <c r="A90" s="3084" t="s">
        <v>3170</v>
      </c>
      <c r="B90" s="3074" t="s">
        <v>3073</v>
      </c>
      <c r="C90" s="3072"/>
      <c r="D90" s="3072"/>
      <c r="E90" s="3072"/>
      <c r="F90" s="3072"/>
      <c r="G90" s="3072"/>
      <c r="H90" s="3072"/>
      <c r="I90" s="3072"/>
      <c r="J90" s="3072"/>
      <c r="K90" s="3072"/>
      <c r="L90" s="3081"/>
      <c r="M90" s="3081">
        <f>[1]规证!C110</f>
        <v>8835.02</v>
      </c>
      <c r="N90" s="3081" t="s">
        <v>3169</v>
      </c>
      <c r="O90" s="3083">
        <f>ROUND(20%+40%*Q90/P90,2)</f>
        <v>0.4</v>
      </c>
      <c r="P90">
        <f t="shared" ref="P90:P96" si="4">M110</f>
        <v>8</v>
      </c>
      <c r="Q90">
        <v>4</v>
      </c>
    </row>
    <row r="91" spans="1:21">
      <c r="A91" s="3074" t="s">
        <v>3171</v>
      </c>
      <c r="B91" s="3074" t="s">
        <v>3073</v>
      </c>
      <c r="C91" s="3072"/>
      <c r="D91" s="3072"/>
      <c r="E91" s="3072"/>
      <c r="F91" s="3072"/>
      <c r="G91" s="3072"/>
      <c r="H91" s="3072"/>
      <c r="I91" s="3072"/>
      <c r="J91" s="3072"/>
      <c r="K91" s="3072"/>
      <c r="L91" s="3081"/>
      <c r="M91" s="3081">
        <f>[1]洋房测绘!N93</f>
        <v>8755.9699999999993</v>
      </c>
      <c r="N91" s="3081" t="s">
        <v>3172</v>
      </c>
      <c r="O91" s="3083">
        <f t="shared" ref="O91:O96" si="5">ROUND(20%+40%*Q91/P91,2)</f>
        <v>0.45</v>
      </c>
      <c r="P91">
        <f t="shared" si="4"/>
        <v>8</v>
      </c>
      <c r="Q91">
        <v>5</v>
      </c>
    </row>
    <row r="92" spans="1:21">
      <c r="A92" s="3074" t="s">
        <v>3173</v>
      </c>
      <c r="B92" s="3074" t="s">
        <v>3073</v>
      </c>
      <c r="C92" s="3072"/>
      <c r="D92" s="3072"/>
      <c r="E92" s="3072"/>
      <c r="F92" s="3072"/>
      <c r="G92" s="3072"/>
      <c r="H92" s="3072"/>
      <c r="I92" s="3072"/>
      <c r="J92" s="3072"/>
      <c r="K92" s="3072"/>
      <c r="L92" s="3081"/>
      <c r="M92" s="3081">
        <f>[1]洋房测绘!N97</f>
        <v>7769.9500000000007</v>
      </c>
      <c r="N92" s="3081" t="s">
        <v>3174</v>
      </c>
      <c r="O92" s="3083">
        <f t="shared" si="5"/>
        <v>0.5</v>
      </c>
      <c r="P92">
        <f t="shared" si="4"/>
        <v>8</v>
      </c>
      <c r="Q92">
        <v>6</v>
      </c>
    </row>
    <row r="93" spans="1:21">
      <c r="A93" s="3074" t="s">
        <v>3175</v>
      </c>
      <c r="B93" s="3074" t="s">
        <v>3073</v>
      </c>
      <c r="C93" s="3072"/>
      <c r="D93" s="3072"/>
      <c r="E93" s="3072"/>
      <c r="F93" s="3072"/>
      <c r="G93" s="3072"/>
      <c r="H93" s="3072"/>
      <c r="I93" s="3072"/>
      <c r="J93" s="3072"/>
      <c r="K93" s="3072"/>
      <c r="L93" s="3081"/>
      <c r="M93" s="3081">
        <f>[1]洋房测绘!N101</f>
        <v>6077.8399999999992</v>
      </c>
      <c r="N93" s="3081" t="s">
        <v>3172</v>
      </c>
      <c r="O93" s="3083">
        <f t="shared" si="5"/>
        <v>0.45</v>
      </c>
      <c r="P93">
        <f t="shared" si="4"/>
        <v>8</v>
      </c>
      <c r="Q93">
        <v>5</v>
      </c>
    </row>
    <row r="94" spans="1:21">
      <c r="A94" s="3074" t="s">
        <v>3176</v>
      </c>
      <c r="B94" s="3074" t="s">
        <v>3073</v>
      </c>
      <c r="C94" s="3072"/>
      <c r="D94" s="3072"/>
      <c r="E94" s="3072"/>
      <c r="F94" s="3072"/>
      <c r="G94" s="3072"/>
      <c r="H94" s="3072"/>
      <c r="I94" s="3072"/>
      <c r="J94" s="3072"/>
      <c r="K94" s="3072"/>
      <c r="L94" s="3081"/>
      <c r="M94" s="3081">
        <f>[1]洋房测绘!N107</f>
        <v>5381.22</v>
      </c>
      <c r="N94" s="3081" t="s">
        <v>3172</v>
      </c>
      <c r="O94" s="3083">
        <f t="shared" si="5"/>
        <v>0.49</v>
      </c>
      <c r="P94">
        <f t="shared" si="4"/>
        <v>7</v>
      </c>
      <c r="Q94">
        <v>5</v>
      </c>
    </row>
    <row r="95" spans="1:21">
      <c r="A95" s="3074" t="s">
        <v>3177</v>
      </c>
      <c r="B95" s="3074" t="s">
        <v>3073</v>
      </c>
      <c r="C95" s="3072"/>
      <c r="D95" s="3072"/>
      <c r="E95" s="3072"/>
      <c r="F95" s="3072"/>
      <c r="G95" s="3072"/>
      <c r="H95" s="3072"/>
      <c r="I95" s="3072"/>
      <c r="J95" s="3072"/>
      <c r="K95" s="3072"/>
      <c r="L95" s="3081"/>
      <c r="M95" s="3081">
        <f>[1]洋房测绘!N113</f>
        <v>5381.2100000000009</v>
      </c>
      <c r="N95" s="3081" t="s">
        <v>3178</v>
      </c>
      <c r="O95" s="3083">
        <f t="shared" si="5"/>
        <v>0.31</v>
      </c>
      <c r="P95">
        <f t="shared" si="4"/>
        <v>7</v>
      </c>
      <c r="Q95">
        <v>2</v>
      </c>
    </row>
    <row r="96" spans="1:21">
      <c r="A96" s="3074" t="s">
        <v>3179</v>
      </c>
      <c r="B96" s="3074" t="s">
        <v>3073</v>
      </c>
      <c r="C96" s="3072"/>
      <c r="D96" s="3072"/>
      <c r="E96" s="3072"/>
      <c r="F96" s="3072"/>
      <c r="G96" s="3072"/>
      <c r="H96" s="3072"/>
      <c r="I96" s="3072"/>
      <c r="J96" s="3072"/>
      <c r="K96" s="3072"/>
      <c r="L96" s="3081"/>
      <c r="M96" s="3081">
        <f>[1]洋房测绘!N119</f>
        <v>5381.1000000000013</v>
      </c>
      <c r="N96" s="3081" t="s">
        <v>3178</v>
      </c>
      <c r="O96" s="3083">
        <f t="shared" si="5"/>
        <v>0.31</v>
      </c>
      <c r="P96">
        <f t="shared" si="4"/>
        <v>7</v>
      </c>
      <c r="Q96">
        <v>2</v>
      </c>
    </row>
    <row r="97" spans="1:22">
      <c r="A97" s="3074" t="s">
        <v>3180</v>
      </c>
      <c r="B97" s="3074" t="s">
        <v>3181</v>
      </c>
      <c r="C97" s="3072"/>
      <c r="D97" s="3072"/>
      <c r="E97" s="3072"/>
      <c r="F97" s="3072"/>
      <c r="G97" s="3072"/>
      <c r="H97" s="3072"/>
      <c r="I97" s="3072"/>
      <c r="J97" s="3072"/>
      <c r="K97" s="3072"/>
      <c r="L97" s="3081"/>
      <c r="M97" s="3081">
        <f>C117</f>
        <v>1000</v>
      </c>
      <c r="N97" s="3081" t="s">
        <v>3182</v>
      </c>
      <c r="O97" s="3083">
        <v>0</v>
      </c>
    </row>
    <row r="98" spans="1:22">
      <c r="A98" s="3072"/>
      <c r="B98" s="3072"/>
      <c r="C98" s="3072">
        <f>C86+C88+C87</f>
        <v>180711.25</v>
      </c>
      <c r="D98" s="3072"/>
      <c r="E98" s="3072"/>
      <c r="F98" s="3072">
        <v>10280</v>
      </c>
      <c r="G98" s="3072"/>
      <c r="H98" s="3072"/>
      <c r="I98" s="3072"/>
      <c r="J98" s="3072"/>
      <c r="K98" s="3072"/>
      <c r="M98" s="3081">
        <f>SUM(M3:M97)-M86</f>
        <v>229062.52999999997</v>
      </c>
      <c r="O98" s="3083">
        <f>ROUND(SUMPRODUCT(M3:M97,O3:O97)/M98,2)</f>
        <v>0.55000000000000004</v>
      </c>
    </row>
    <row r="99" spans="1:22">
      <c r="U99" s="3081" t="s">
        <v>3183</v>
      </c>
      <c r="V99" s="3081" t="s">
        <v>3184</v>
      </c>
    </row>
    <row r="100" spans="1:22">
      <c r="N100">
        <v>0.64323254210551095</v>
      </c>
      <c r="R100">
        <v>167776.05</v>
      </c>
      <c r="U100">
        <v>39574.06</v>
      </c>
      <c r="V100" s="3082">
        <f>U100-R86</f>
        <v>1345.6599999999962</v>
      </c>
    </row>
    <row r="101" spans="1:22">
      <c r="B101" s="3327" t="s">
        <v>37</v>
      </c>
      <c r="C101" s="3327" t="s">
        <v>3059</v>
      </c>
      <c r="D101" s="3327"/>
      <c r="E101" s="3327"/>
      <c r="F101" s="3327"/>
      <c r="G101" s="3327" t="s">
        <v>3060</v>
      </c>
      <c r="H101" s="3327"/>
      <c r="I101" s="3327"/>
      <c r="J101" s="3327"/>
      <c r="K101" s="3327"/>
      <c r="L101" s="3071"/>
      <c r="P101" s="3085">
        <f>R87+V100+B104</f>
        <v>228837.91</v>
      </c>
    </row>
    <row r="102" spans="1:22">
      <c r="B102" s="3328"/>
      <c r="C102" s="3074" t="s">
        <v>3061</v>
      </c>
      <c r="D102" s="3074" t="s">
        <v>3064</v>
      </c>
      <c r="E102" s="3074" t="s">
        <v>3185</v>
      </c>
      <c r="F102" s="3074" t="s">
        <v>1343</v>
      </c>
      <c r="G102" s="3074" t="s">
        <v>3063</v>
      </c>
      <c r="H102" s="3074" t="s">
        <v>3186</v>
      </c>
      <c r="I102" s="3074" t="s">
        <v>3064</v>
      </c>
      <c r="J102" s="3074" t="s">
        <v>3185</v>
      </c>
      <c r="K102" s="3074" t="s">
        <v>1343</v>
      </c>
      <c r="L102" s="3071"/>
      <c r="N102" s="3081" t="s">
        <v>3187</v>
      </c>
      <c r="S102" s="3071" t="s">
        <v>3188</v>
      </c>
      <c r="T102" s="3071" t="s">
        <v>3189</v>
      </c>
      <c r="U102" s="3071" t="s">
        <v>3190</v>
      </c>
    </row>
    <row r="103" spans="1:22">
      <c r="A103" s="3075"/>
      <c r="B103" s="3075">
        <f>SUM(C103:K103)</f>
        <v>170431.25</v>
      </c>
      <c r="C103" s="3075">
        <v>46712.66</v>
      </c>
      <c r="D103" s="3075">
        <v>300</v>
      </c>
      <c r="E103" s="3075"/>
      <c r="F103" s="3075"/>
      <c r="G103" s="3075">
        <v>72621.73</v>
      </c>
      <c r="H103" s="3075">
        <v>36358.14</v>
      </c>
      <c r="I103" s="3075">
        <v>14438.72</v>
      </c>
      <c r="J103" s="3075"/>
      <c r="K103" s="3075"/>
      <c r="L103" s="3072"/>
      <c r="M103" s="3081" t="s">
        <v>4503</v>
      </c>
      <c r="N103">
        <v>10280</v>
      </c>
      <c r="S103" s="3072">
        <f>R86-H103</f>
        <v>1870.260000000002</v>
      </c>
      <c r="T103" s="3072">
        <f>S87-C103</f>
        <v>-1.8200000000142609</v>
      </c>
      <c r="U103" s="3072">
        <f>U87-G103</f>
        <v>11438.529999999999</v>
      </c>
    </row>
    <row r="104" spans="1:22" s="3082" customFormat="1">
      <c r="A104" s="3086"/>
      <c r="B104" s="3086">
        <f>SUM(C104:K104)</f>
        <v>58492.749999999993</v>
      </c>
      <c r="C104" s="3086">
        <v>42524.34</v>
      </c>
      <c r="D104" s="3086">
        <v>168</v>
      </c>
      <c r="E104" s="3086">
        <v>1870</v>
      </c>
      <c r="F104" s="3086">
        <v>250</v>
      </c>
      <c r="G104" s="3086">
        <v>10172.129999999999</v>
      </c>
      <c r="H104" s="3086"/>
      <c r="I104" s="3086">
        <v>3228.2799999999997</v>
      </c>
      <c r="J104" s="3086">
        <v>50</v>
      </c>
      <c r="K104" s="3086">
        <v>230</v>
      </c>
      <c r="L104" s="3087"/>
      <c r="O104" s="3088"/>
    </row>
    <row r="105" spans="1:22">
      <c r="A105" s="3075"/>
      <c r="B105" s="3075">
        <f>SUM(C105:K105)</f>
        <v>228924</v>
      </c>
      <c r="C105" s="3075">
        <v>89237</v>
      </c>
      <c r="D105" s="3075">
        <v>468</v>
      </c>
      <c r="E105" s="3075">
        <v>1870</v>
      </c>
      <c r="F105" s="3075">
        <v>250</v>
      </c>
      <c r="G105" s="3075">
        <v>82793.859999999971</v>
      </c>
      <c r="H105" s="3075">
        <v>36358.14</v>
      </c>
      <c r="I105" s="3075">
        <v>17667</v>
      </c>
      <c r="J105" s="3075">
        <v>50</v>
      </c>
      <c r="K105" s="3075">
        <v>230</v>
      </c>
      <c r="L105" s="3072"/>
      <c r="S105">
        <v>67032.62</v>
      </c>
      <c r="U105">
        <v>104497.3</v>
      </c>
      <c r="V105">
        <v>62324.57</v>
      </c>
    </row>
    <row r="106" spans="1:22">
      <c r="B106" s="3072"/>
      <c r="C106" s="3072"/>
      <c r="D106" s="3072"/>
      <c r="E106" s="3072"/>
      <c r="F106" s="3072"/>
      <c r="G106" s="3072"/>
      <c r="S106">
        <f>R86+I124</f>
        <v>65277.4</v>
      </c>
      <c r="U106">
        <f>U87+G104+F124</f>
        <v>158635.39000000001</v>
      </c>
    </row>
    <row r="107" spans="1:22">
      <c r="A107" s="3074" t="s">
        <v>3191</v>
      </c>
      <c r="B107" s="3075"/>
      <c r="C107" s="3075"/>
      <c r="D107" s="3074" t="s">
        <v>3059</v>
      </c>
      <c r="E107" s="3074"/>
      <c r="F107" s="3074"/>
      <c r="G107" s="3074"/>
      <c r="H107" s="3074" t="s">
        <v>3060</v>
      </c>
      <c r="I107" s="3074"/>
      <c r="J107" s="3075"/>
      <c r="K107" s="3075"/>
      <c r="L107" s="3075"/>
      <c r="M107" s="3075"/>
      <c r="N107" s="3075"/>
      <c r="O107" s="3089"/>
      <c r="P107" s="3075"/>
      <c r="Q107" s="3075"/>
    </row>
    <row r="108" spans="1:22">
      <c r="A108" s="3074"/>
      <c r="B108" s="3075"/>
      <c r="C108" s="3074" t="s">
        <v>37</v>
      </c>
      <c r="D108" s="3074" t="s">
        <v>3061</v>
      </c>
      <c r="E108" s="3074" t="s">
        <v>3064</v>
      </c>
      <c r="F108" s="3074" t="s">
        <v>3185</v>
      </c>
      <c r="G108" s="3074" t="s">
        <v>1343</v>
      </c>
      <c r="H108" s="3074" t="s">
        <v>3063</v>
      </c>
      <c r="I108" s="3074" t="s">
        <v>3064</v>
      </c>
      <c r="J108" s="3074" t="s">
        <v>3185</v>
      </c>
      <c r="K108" s="3074" t="s">
        <v>1343</v>
      </c>
      <c r="L108" s="3074"/>
      <c r="M108" s="3074" t="s">
        <v>3065</v>
      </c>
      <c r="N108" s="3074" t="s">
        <v>3066</v>
      </c>
      <c r="O108" s="3090" t="s">
        <v>3067</v>
      </c>
      <c r="P108" s="3074" t="s">
        <v>3068</v>
      </c>
      <c r="Q108" s="3074" t="s">
        <v>3192</v>
      </c>
    </row>
    <row r="109" spans="1:22">
      <c r="A109" s="3074" t="s">
        <v>3168</v>
      </c>
      <c r="B109" s="3074" t="s">
        <v>3073</v>
      </c>
      <c r="C109" s="3075">
        <f>SUM(D109:K109)</f>
        <v>9627.16</v>
      </c>
      <c r="D109" s="3075">
        <v>6972.46</v>
      </c>
      <c r="E109" s="3075"/>
      <c r="F109" s="3075"/>
      <c r="G109" s="3075"/>
      <c r="H109" s="3075">
        <v>1536.46</v>
      </c>
      <c r="I109" s="3075">
        <v>1118.24</v>
      </c>
      <c r="J109" s="3075"/>
      <c r="K109" s="3075"/>
      <c r="L109" s="3075"/>
      <c r="M109" s="3075">
        <v>8</v>
      </c>
      <c r="N109" s="3075">
        <v>3</v>
      </c>
      <c r="O109" s="3075">
        <v>1</v>
      </c>
      <c r="P109" s="3075">
        <v>48</v>
      </c>
      <c r="Q109" s="3075">
        <v>6115.4</v>
      </c>
      <c r="R109">
        <f>D109-Q109</f>
        <v>857.0600000000004</v>
      </c>
      <c r="S109">
        <f>ROUND(R109/(D109/P109),0)</f>
        <v>6</v>
      </c>
    </row>
    <row r="110" spans="1:22">
      <c r="A110" s="3084" t="s">
        <v>3170</v>
      </c>
      <c r="B110" s="3074" t="s">
        <v>3073</v>
      </c>
      <c r="C110" s="3075">
        <f>SUM(D110:K110)</f>
        <v>8835.02</v>
      </c>
      <c r="D110" s="3075">
        <v>6984.06</v>
      </c>
      <c r="E110" s="3075"/>
      <c r="F110" s="3075"/>
      <c r="G110" s="3075"/>
      <c r="H110" s="3075">
        <v>1622.72</v>
      </c>
      <c r="I110" s="3075">
        <v>228.24</v>
      </c>
      <c r="J110" s="3075"/>
      <c r="K110" s="3075"/>
      <c r="L110" s="3075"/>
      <c r="M110" s="3075">
        <v>8</v>
      </c>
      <c r="N110" s="3075">
        <v>3</v>
      </c>
      <c r="O110" s="3075">
        <v>1</v>
      </c>
      <c r="P110" s="3075">
        <v>48</v>
      </c>
      <c r="Q110" s="3075">
        <v>6115.4</v>
      </c>
      <c r="R110">
        <f>D110-Q110</f>
        <v>868.66000000000076</v>
      </c>
      <c r="S110">
        <f t="shared" ref="S110:S115" si="6">ROUND(R110/(D110/P110),0)</f>
        <v>6</v>
      </c>
      <c r="U110">
        <f>C110-R110</f>
        <v>7966.36</v>
      </c>
    </row>
    <row r="111" spans="1:22">
      <c r="A111" s="3074" t="s">
        <v>3171</v>
      </c>
      <c r="B111" s="3074" t="s">
        <v>3073</v>
      </c>
      <c r="C111" s="3075">
        <f t="shared" ref="C111:C117" si="7">SUM(D111:K111)</f>
        <v>8835.07</v>
      </c>
      <c r="D111" s="3075">
        <v>6975.06</v>
      </c>
      <c r="E111" s="3075"/>
      <c r="F111" s="3075"/>
      <c r="G111" s="3075"/>
      <c r="H111" s="3075">
        <v>1631.77</v>
      </c>
      <c r="I111" s="3075">
        <v>228.24</v>
      </c>
      <c r="J111" s="3075"/>
      <c r="K111" s="3075"/>
      <c r="L111" s="3075"/>
      <c r="M111" s="3075">
        <v>8</v>
      </c>
      <c r="N111" s="3075">
        <v>3</v>
      </c>
      <c r="O111" s="3075">
        <v>1</v>
      </c>
      <c r="P111" s="3075">
        <v>48</v>
      </c>
      <c r="Q111" s="3075">
        <v>6115.4</v>
      </c>
      <c r="R111">
        <f>D111-Q111</f>
        <v>859.66000000000076</v>
      </c>
      <c r="S111">
        <f t="shared" si="6"/>
        <v>6</v>
      </c>
    </row>
    <row r="112" spans="1:22">
      <c r="A112" s="3074" t="s">
        <v>3173</v>
      </c>
      <c r="B112" s="3074" t="s">
        <v>3073</v>
      </c>
      <c r="C112" s="3075">
        <f t="shared" si="7"/>
        <v>7910.56</v>
      </c>
      <c r="D112" s="3075">
        <v>4540.51</v>
      </c>
      <c r="E112" s="3075">
        <v>78</v>
      </c>
      <c r="F112" s="3075">
        <v>650</v>
      </c>
      <c r="G112" s="3075">
        <v>250</v>
      </c>
      <c r="H112" s="3075">
        <v>1294.5899999999999</v>
      </c>
      <c r="I112" s="3075">
        <v>867.46</v>
      </c>
      <c r="J112" s="3075"/>
      <c r="K112" s="3075">
        <v>230</v>
      </c>
      <c r="L112" s="3075"/>
      <c r="M112" s="3075">
        <v>8</v>
      </c>
      <c r="N112" s="3075">
        <v>3</v>
      </c>
      <c r="O112" s="3075">
        <v>1</v>
      </c>
      <c r="P112" s="3075">
        <v>30</v>
      </c>
      <c r="Q112" s="3075">
        <v>4191.8999999999996</v>
      </c>
      <c r="R112">
        <f>D112-Q112</f>
        <v>348.61000000000058</v>
      </c>
      <c r="S112">
        <f t="shared" si="6"/>
        <v>2</v>
      </c>
    </row>
    <row r="113" spans="1:20">
      <c r="A113" s="3074" t="s">
        <v>3175</v>
      </c>
      <c r="B113" s="3074" t="s">
        <v>3073</v>
      </c>
      <c r="C113" s="3075">
        <f t="shared" si="7"/>
        <v>6088.81</v>
      </c>
      <c r="D113" s="3075">
        <v>4545.8500000000004</v>
      </c>
      <c r="E113" s="3075">
        <v>90</v>
      </c>
      <c r="F113" s="3075">
        <v>220</v>
      </c>
      <c r="G113" s="3075"/>
      <c r="H113" s="3075">
        <v>897.65</v>
      </c>
      <c r="I113" s="3075">
        <v>285.31</v>
      </c>
      <c r="J113" s="3075">
        <v>50</v>
      </c>
      <c r="K113" s="3075"/>
      <c r="L113" s="3075"/>
      <c r="M113" s="3075">
        <v>8</v>
      </c>
      <c r="N113" s="3075">
        <v>3</v>
      </c>
      <c r="O113" s="3075">
        <v>1</v>
      </c>
      <c r="P113" s="3075">
        <v>30</v>
      </c>
      <c r="Q113" s="3075">
        <v>4191.8999999999996</v>
      </c>
      <c r="R113">
        <f>D113-Q113</f>
        <v>353.95000000000073</v>
      </c>
      <c r="S113">
        <f t="shared" si="6"/>
        <v>2</v>
      </c>
    </row>
    <row r="114" spans="1:20">
      <c r="A114" s="3074" t="s">
        <v>3176</v>
      </c>
      <c r="B114" s="3074" t="s">
        <v>3073</v>
      </c>
      <c r="C114" s="3075">
        <f t="shared" si="7"/>
        <v>5398.7100000000009</v>
      </c>
      <c r="D114" s="3075">
        <v>4168.8</v>
      </c>
      <c r="E114" s="3075"/>
      <c r="F114" s="3075"/>
      <c r="G114" s="3075"/>
      <c r="H114" s="3075">
        <v>1062.98</v>
      </c>
      <c r="I114" s="3075">
        <v>166.93</v>
      </c>
      <c r="J114" s="3075"/>
      <c r="K114" s="3075"/>
      <c r="L114" s="3075"/>
      <c r="M114" s="3075">
        <v>7</v>
      </c>
      <c r="N114" s="3075">
        <v>3</v>
      </c>
      <c r="O114" s="3075">
        <v>1</v>
      </c>
      <c r="P114" s="3075">
        <v>28</v>
      </c>
      <c r="Q114" s="3075">
        <v>1364</v>
      </c>
      <c r="R114">
        <f t="shared" ref="R114:R116" si="8">D114-Q114</f>
        <v>2804.8</v>
      </c>
      <c r="S114">
        <f>ROUND(R114/(D114/P114),0)</f>
        <v>19</v>
      </c>
    </row>
    <row r="115" spans="1:20">
      <c r="A115" s="3074" t="s">
        <v>3177</v>
      </c>
      <c r="B115" s="3074" t="s">
        <v>3073</v>
      </c>
      <c r="C115" s="3075">
        <f t="shared" si="7"/>
        <v>5398.7100000000009</v>
      </c>
      <c r="D115" s="3075">
        <v>4168.8</v>
      </c>
      <c r="E115" s="3075"/>
      <c r="F115" s="3075"/>
      <c r="G115" s="3075"/>
      <c r="H115" s="3075">
        <v>1062.98</v>
      </c>
      <c r="I115" s="3075">
        <v>166.93</v>
      </c>
      <c r="J115" s="3075"/>
      <c r="K115" s="3075"/>
      <c r="L115" s="3075"/>
      <c r="M115" s="3075">
        <v>7</v>
      </c>
      <c r="N115" s="3075">
        <v>3</v>
      </c>
      <c r="O115" s="3075">
        <v>1</v>
      </c>
      <c r="P115" s="3075">
        <v>28</v>
      </c>
      <c r="Q115" s="3075">
        <v>0</v>
      </c>
      <c r="R115">
        <f t="shared" si="8"/>
        <v>4168.8</v>
      </c>
      <c r="S115">
        <f t="shared" si="6"/>
        <v>28</v>
      </c>
    </row>
    <row r="116" spans="1:20">
      <c r="A116" s="3074" t="s">
        <v>3179</v>
      </c>
      <c r="B116" s="3074" t="s">
        <v>3073</v>
      </c>
      <c r="C116" s="3075">
        <f t="shared" si="7"/>
        <v>5398.7100000000009</v>
      </c>
      <c r="D116" s="3075">
        <v>4168.8</v>
      </c>
      <c r="E116" s="3075"/>
      <c r="F116" s="3075"/>
      <c r="G116" s="3075"/>
      <c r="H116" s="3075">
        <v>1062.98</v>
      </c>
      <c r="I116" s="3075">
        <v>166.93</v>
      </c>
      <c r="J116" s="3075"/>
      <c r="K116" s="3075"/>
      <c r="L116" s="3075"/>
      <c r="M116" s="3075">
        <v>7</v>
      </c>
      <c r="N116" s="3075">
        <v>3</v>
      </c>
      <c r="O116" s="3075">
        <v>1</v>
      </c>
      <c r="P116" s="3075">
        <v>28</v>
      </c>
      <c r="Q116" s="3075">
        <v>3582.1</v>
      </c>
      <c r="R116">
        <f t="shared" si="8"/>
        <v>586.70000000000027</v>
      </c>
      <c r="S116">
        <f>ROUND(R116/(D116/P116),0)</f>
        <v>4</v>
      </c>
    </row>
    <row r="117" spans="1:20">
      <c r="A117" s="3074" t="s">
        <v>3180</v>
      </c>
      <c r="B117" s="3074" t="s">
        <v>3181</v>
      </c>
      <c r="C117" s="3075">
        <f t="shared" si="7"/>
        <v>1000</v>
      </c>
      <c r="D117" s="3075"/>
      <c r="E117" s="3075"/>
      <c r="F117" s="3075">
        <v>1000</v>
      </c>
      <c r="G117" s="3075"/>
      <c r="H117" s="3075"/>
      <c r="I117" s="3075"/>
      <c r="J117" s="3075"/>
      <c r="K117" s="3075"/>
      <c r="L117" s="3075"/>
      <c r="M117" s="3075"/>
      <c r="N117" s="3075"/>
      <c r="O117" s="3089"/>
      <c r="P117" s="3075"/>
      <c r="Q117" s="3075"/>
    </row>
    <row r="118" spans="1:20">
      <c r="A118" s="3074" t="s">
        <v>37</v>
      </c>
      <c r="B118" s="3075"/>
      <c r="C118" s="3075">
        <f>SUM(C109:C117)</f>
        <v>58492.749999999993</v>
      </c>
      <c r="D118" s="3075">
        <f>SUM(D109:D117)</f>
        <v>42524.340000000011</v>
      </c>
      <c r="E118" s="3075">
        <f t="shared" ref="E118:K118" si="9">SUM(E109:E117)</f>
        <v>168</v>
      </c>
      <c r="F118" s="3075">
        <f t="shared" si="9"/>
        <v>1870</v>
      </c>
      <c r="G118" s="3075">
        <f t="shared" si="9"/>
        <v>250</v>
      </c>
      <c r="H118" s="3075">
        <f>SUM(H109:H117)</f>
        <v>10172.129999999999</v>
      </c>
      <c r="I118" s="3075">
        <f>SUM(I109:I117)</f>
        <v>3228.2799999999997</v>
      </c>
      <c r="J118" s="3075">
        <f t="shared" si="9"/>
        <v>50</v>
      </c>
      <c r="K118" s="3075">
        <f t="shared" si="9"/>
        <v>230</v>
      </c>
      <c r="L118" s="3075"/>
      <c r="M118" s="3075"/>
      <c r="N118" s="3075"/>
      <c r="O118" s="3089"/>
      <c r="P118" s="3075">
        <f>SUM(P109:P117)</f>
        <v>288</v>
      </c>
      <c r="Q118" s="3075">
        <f>SUM(Q109:Q117)</f>
        <v>31676.1</v>
      </c>
      <c r="R118">
        <f>SUM(R109:R116)</f>
        <v>10848.240000000005</v>
      </c>
      <c r="S118">
        <f>SUM(S109:S116)</f>
        <v>73</v>
      </c>
      <c r="T118">
        <f>P118-S118</f>
        <v>215</v>
      </c>
    </row>
    <row r="120" spans="1:20">
      <c r="B120" s="3081" t="s">
        <v>3193</v>
      </c>
      <c r="C120">
        <v>64089.62</v>
      </c>
      <c r="N120">
        <f>K86+73</f>
        <v>493</v>
      </c>
      <c r="O120" s="3126"/>
    </row>
    <row r="121" spans="1:20">
      <c r="B121" s="3072" t="s">
        <v>3194</v>
      </c>
      <c r="C121">
        <v>91043.21</v>
      </c>
    </row>
    <row r="122" spans="1:20">
      <c r="B122" s="3072"/>
      <c r="C122" s="3075"/>
      <c r="D122" s="3074" t="s">
        <v>3059</v>
      </c>
      <c r="E122" s="3075"/>
      <c r="F122" s="3074" t="s">
        <v>3060</v>
      </c>
      <c r="G122" s="3075"/>
      <c r="H122" s="3075"/>
      <c r="I122" s="3075"/>
      <c r="O122"/>
    </row>
    <row r="123" spans="1:20">
      <c r="B123" s="3071" t="s">
        <v>37</v>
      </c>
      <c r="C123" s="3074" t="s">
        <v>3061</v>
      </c>
      <c r="D123" s="3074" t="s">
        <v>3195</v>
      </c>
      <c r="E123" s="3074" t="s">
        <v>3064</v>
      </c>
      <c r="F123" s="3074" t="s">
        <v>3063</v>
      </c>
      <c r="G123" s="3074" t="s">
        <v>3196</v>
      </c>
      <c r="H123" s="3074" t="s">
        <v>3064</v>
      </c>
      <c r="I123" s="3074" t="s">
        <v>3186</v>
      </c>
      <c r="M123" s="3081" t="s">
        <v>3187</v>
      </c>
      <c r="O123"/>
    </row>
    <row r="124" spans="1:20">
      <c r="B124" s="3072">
        <v>168826</v>
      </c>
      <c r="C124" s="3074">
        <v>40845.619999999995</v>
      </c>
      <c r="D124" s="3075">
        <v>23770.38</v>
      </c>
      <c r="E124" s="3075">
        <v>78</v>
      </c>
      <c r="F124" s="3075">
        <v>64403</v>
      </c>
      <c r="G124" s="3075">
        <v>990</v>
      </c>
      <c r="H124" s="3075">
        <v>11690</v>
      </c>
      <c r="I124" s="3075">
        <v>27049</v>
      </c>
      <c r="K124" s="3081" t="s">
        <v>3197</v>
      </c>
      <c r="L124" s="3081"/>
      <c r="M124">
        <v>4204</v>
      </c>
      <c r="N124">
        <v>173030</v>
      </c>
      <c r="O124"/>
    </row>
    <row r="125" spans="1:20">
      <c r="K125">
        <v>39.545321637426902</v>
      </c>
      <c r="O125"/>
    </row>
    <row r="129" spans="7:15">
      <c r="G129" s="3081"/>
      <c r="O129"/>
    </row>
    <row r="135" spans="7:15">
      <c r="O135" s="3126"/>
    </row>
    <row r="136" spans="7:15">
      <c r="O136" s="3126"/>
    </row>
    <row r="137" spans="7:15">
      <c r="O137" s="3126"/>
    </row>
  </sheetData>
  <mergeCells count="3">
    <mergeCell ref="B101:B102"/>
    <mergeCell ref="C101:F101"/>
    <mergeCell ref="G101:K101"/>
  </mergeCells>
  <phoneticPr fontId="14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575"/>
  <sheetViews>
    <sheetView topLeftCell="B1" workbookViewId="0">
      <selection activeCell="P19" sqref="P19"/>
    </sheetView>
  </sheetViews>
  <sheetFormatPr defaultRowHeight="13.5"/>
  <cols>
    <col min="1" max="5" width="9" style="1405"/>
    <col min="6" max="6" width="14.375" style="1405" bestFit="1" customWidth="1"/>
    <col min="7" max="7" width="26.625" style="1405" customWidth="1"/>
    <col min="8" max="9" width="15.875" style="1405" customWidth="1"/>
    <col min="10" max="10" width="9" style="3072"/>
    <col min="12" max="12" width="12.75" bestFit="1" customWidth="1"/>
    <col min="14" max="14" width="17.25" style="1405" customWidth="1"/>
    <col min="15" max="15" width="9" style="1405"/>
    <col min="16" max="16" width="13.875" style="1405" bestFit="1" customWidth="1"/>
    <col min="17" max="17" width="11.625" style="1405" bestFit="1" customWidth="1"/>
    <col min="18" max="16384" width="9" style="1405"/>
  </cols>
  <sheetData>
    <row r="1" spans="1:21" ht="24">
      <c r="A1" s="3091" t="s">
        <v>4374</v>
      </c>
      <c r="B1" s="3091" t="s">
        <v>4189</v>
      </c>
      <c r="C1" s="1226" t="s">
        <v>3208</v>
      </c>
      <c r="D1" s="3092" t="s">
        <v>3198</v>
      </c>
      <c r="E1" s="3092" t="s">
        <v>3199</v>
      </c>
      <c r="F1" s="3092" t="s">
        <v>3200</v>
      </c>
      <c r="G1" s="3092" t="s">
        <v>3201</v>
      </c>
      <c r="H1" s="3092" t="s">
        <v>3202</v>
      </c>
      <c r="I1" s="3092" t="s">
        <v>3203</v>
      </c>
      <c r="J1" s="3092" t="s">
        <v>3204</v>
      </c>
      <c r="K1" s="3092" t="s">
        <v>3205</v>
      </c>
      <c r="L1" s="3093" t="s">
        <v>3206</v>
      </c>
      <c r="M1" s="3093" t="s">
        <v>3207</v>
      </c>
      <c r="O1" s="3094"/>
      <c r="P1" s="3094"/>
      <c r="Q1" s="3094"/>
      <c r="R1" s="3094"/>
    </row>
    <row r="2" spans="1:21">
      <c r="A2" s="3095" t="s">
        <v>4190</v>
      </c>
      <c r="B2" s="3329">
        <v>1</v>
      </c>
      <c r="C2" s="3096" t="s">
        <v>3209</v>
      </c>
      <c r="D2" s="3097" t="s">
        <v>3210</v>
      </c>
      <c r="E2" s="3097" t="s">
        <v>3211</v>
      </c>
      <c r="F2" s="3097" t="s">
        <v>3212</v>
      </c>
      <c r="G2" s="3097" t="s">
        <v>3213</v>
      </c>
      <c r="H2" s="3097">
        <v>135.5</v>
      </c>
      <c r="I2" s="3097">
        <v>8404407.8300000001</v>
      </c>
      <c r="J2" s="3075">
        <f>ROUND(I2/H2,0)</f>
        <v>62025</v>
      </c>
      <c r="K2" s="3328">
        <v>3</v>
      </c>
      <c r="L2" s="3328">
        <v>4</v>
      </c>
      <c r="M2" s="3328">
        <v>3</v>
      </c>
      <c r="O2" s="3094" t="s">
        <v>1341</v>
      </c>
      <c r="P2" s="3094" t="s">
        <v>4186</v>
      </c>
      <c r="Q2" s="3094" t="s">
        <v>4187</v>
      </c>
      <c r="R2" s="3094" t="s">
        <v>4188</v>
      </c>
      <c r="T2" s="3094" t="s">
        <v>4512</v>
      </c>
    </row>
    <row r="3" spans="1:21" ht="27">
      <c r="A3" s="3095" t="s">
        <v>4190</v>
      </c>
      <c r="B3" s="3329"/>
      <c r="C3" s="3096" t="s">
        <v>4180</v>
      </c>
      <c r="D3" s="3097" t="s">
        <v>3210</v>
      </c>
      <c r="E3" s="3098" t="s">
        <v>3214</v>
      </c>
      <c r="F3" s="3097" t="s">
        <v>3212</v>
      </c>
      <c r="G3" s="3097" t="s">
        <v>3215</v>
      </c>
      <c r="H3" s="3097">
        <v>85.16</v>
      </c>
      <c r="I3" s="3097">
        <v>2535734.38</v>
      </c>
      <c r="J3" s="3075">
        <f>ROUND(I3/H3,0)</f>
        <v>29776</v>
      </c>
      <c r="K3" s="3328"/>
      <c r="L3" s="3328"/>
      <c r="M3" s="3328"/>
      <c r="O3" s="3094" t="s">
        <v>3061</v>
      </c>
      <c r="P3" s="3094">
        <v>899896381.58000004</v>
      </c>
      <c r="Q3" s="3094">
        <f>15172.5+P9</f>
        <v>15708.62</v>
      </c>
      <c r="R3" s="3094">
        <f>ROUND(P3/Q3,0)</f>
        <v>57287</v>
      </c>
      <c r="T3" s="1405">
        <v>59311</v>
      </c>
    </row>
    <row r="4" spans="1:21">
      <c r="A4" s="3095" t="s">
        <v>4190</v>
      </c>
      <c r="B4" s="3329"/>
      <c r="C4" s="3096" t="s">
        <v>4180</v>
      </c>
      <c r="D4" s="3097" t="s">
        <v>3210</v>
      </c>
      <c r="E4" s="3097" t="s">
        <v>3216</v>
      </c>
      <c r="F4" s="3097" t="s">
        <v>3217</v>
      </c>
      <c r="G4" s="3097" t="s">
        <v>3217</v>
      </c>
      <c r="H4" s="3097">
        <v>84.19</v>
      </c>
      <c r="I4" s="3097">
        <v>2516405.42</v>
      </c>
      <c r="J4" s="3075">
        <f t="shared" ref="J4:J66" si="0">ROUND(I4/H4,0)</f>
        <v>29890</v>
      </c>
      <c r="K4" s="3328"/>
      <c r="L4" s="3328"/>
      <c r="M4" s="3328"/>
      <c r="O4" s="3094" t="s">
        <v>4180</v>
      </c>
      <c r="P4" s="3153">
        <v>566786719.61000001</v>
      </c>
      <c r="Q4" s="3197">
        <f>18970.78+P10+U15</f>
        <v>19826.719999999998</v>
      </c>
      <c r="R4" s="3094">
        <v>29317</v>
      </c>
      <c r="T4" s="1405">
        <v>29317</v>
      </c>
    </row>
    <row r="5" spans="1:21">
      <c r="A5" s="3095" t="s">
        <v>4190</v>
      </c>
      <c r="B5" s="3329"/>
      <c r="C5" s="3096" t="s">
        <v>3218</v>
      </c>
      <c r="D5" s="3097" t="s">
        <v>3219</v>
      </c>
      <c r="E5" s="3097" t="s">
        <v>3220</v>
      </c>
      <c r="F5" s="3097" t="s">
        <v>3221</v>
      </c>
      <c r="G5" s="3097" t="s">
        <v>3221</v>
      </c>
      <c r="H5" s="3097">
        <v>45.64</v>
      </c>
      <c r="I5" s="3097">
        <v>420000.27</v>
      </c>
      <c r="J5" s="3075">
        <f t="shared" si="0"/>
        <v>9202</v>
      </c>
      <c r="K5" s="3328"/>
      <c r="L5" s="3328"/>
      <c r="M5" s="3328"/>
      <c r="O5" s="3153" t="s">
        <v>3218</v>
      </c>
      <c r="P5" s="3153">
        <f>I5*224</f>
        <v>94080060.480000004</v>
      </c>
      <c r="Q5" s="3153">
        <f>H5*236</f>
        <v>10771.04</v>
      </c>
      <c r="R5" s="3153">
        <v>9202</v>
      </c>
      <c r="T5" s="1405">
        <v>9202</v>
      </c>
    </row>
    <row r="6" spans="1:21">
      <c r="A6" s="3095" t="s">
        <v>4190</v>
      </c>
      <c r="B6" s="3329"/>
      <c r="C6" s="3096" t="s">
        <v>3218</v>
      </c>
      <c r="D6" s="3097" t="s">
        <v>3219</v>
      </c>
      <c r="E6" s="3097" t="s">
        <v>3222</v>
      </c>
      <c r="F6" s="3097" t="s">
        <v>3223</v>
      </c>
      <c r="G6" s="3097" t="s">
        <v>3223</v>
      </c>
      <c r="H6" s="3097">
        <v>45.64</v>
      </c>
      <c r="I6" s="3097">
        <v>420000.27</v>
      </c>
      <c r="J6" s="3075">
        <f t="shared" si="0"/>
        <v>9202</v>
      </c>
      <c r="K6" s="3328"/>
      <c r="L6" s="3328"/>
      <c r="M6" s="3328"/>
      <c r="N6" s="1405">
        <f>ROUND((I2+I3+I4+I5+I6)/10000,0)</f>
        <v>1430</v>
      </c>
      <c r="P6" s="1405">
        <f>SUM(P3:P5)</f>
        <v>1560763161.6700001</v>
      </c>
      <c r="Q6" s="1405">
        <f>SUM(Q3:Q5)</f>
        <v>46306.38</v>
      </c>
    </row>
    <row r="7" spans="1:21">
      <c r="A7" s="3095" t="s">
        <v>4190</v>
      </c>
      <c r="B7" s="3329">
        <v>2</v>
      </c>
      <c r="C7" s="3096" t="s">
        <v>3209</v>
      </c>
      <c r="D7" s="3097" t="s">
        <v>3210</v>
      </c>
      <c r="E7" s="3097" t="s">
        <v>3224</v>
      </c>
      <c r="F7" s="3097" t="s">
        <v>3225</v>
      </c>
      <c r="G7" s="3097" t="s">
        <v>3226</v>
      </c>
      <c r="H7" s="3097">
        <v>135.85000000000002</v>
      </c>
      <c r="I7" s="3097">
        <v>7845522.2599999998</v>
      </c>
      <c r="J7" s="3075">
        <f>ROUND(I7/H7,0)</f>
        <v>57751</v>
      </c>
      <c r="K7" s="3328"/>
      <c r="L7" s="3328"/>
      <c r="M7" s="3328"/>
      <c r="P7" s="1405">
        <f>P6/10000</f>
        <v>156076.31616700001</v>
      </c>
    </row>
    <row r="8" spans="1:21" ht="27">
      <c r="A8" s="3095" t="s">
        <v>4190</v>
      </c>
      <c r="B8" s="3329"/>
      <c r="C8" s="3096" t="s">
        <v>4180</v>
      </c>
      <c r="D8" s="3097" t="s">
        <v>3210</v>
      </c>
      <c r="E8" s="3098" t="s">
        <v>3227</v>
      </c>
      <c r="F8" s="3097" t="s">
        <v>3225</v>
      </c>
      <c r="G8" s="3097" t="s">
        <v>3228</v>
      </c>
      <c r="H8" s="3097">
        <v>85.57</v>
      </c>
      <c r="I8" s="3097">
        <v>2548052.12</v>
      </c>
      <c r="J8" s="3075">
        <f t="shared" si="0"/>
        <v>29777</v>
      </c>
      <c r="K8" s="3328"/>
      <c r="L8" s="3328"/>
      <c r="M8" s="3328"/>
    </row>
    <row r="9" spans="1:21">
      <c r="A9" s="3095" t="s">
        <v>4190</v>
      </c>
      <c r="B9" s="3329"/>
      <c r="C9" s="3096" t="s">
        <v>4180</v>
      </c>
      <c r="D9" s="3097" t="s">
        <v>3210</v>
      </c>
      <c r="E9" s="3097" t="s">
        <v>3229</v>
      </c>
      <c r="F9" s="3097" t="s">
        <v>3230</v>
      </c>
      <c r="G9" s="3097" t="s">
        <v>3230</v>
      </c>
      <c r="H9" s="3097">
        <v>84.91</v>
      </c>
      <c r="I9" s="3097">
        <v>2537996.41</v>
      </c>
      <c r="J9" s="3075">
        <f t="shared" si="0"/>
        <v>29890</v>
      </c>
      <c r="K9" s="3328"/>
      <c r="L9" s="3328"/>
      <c r="M9" s="3328"/>
      <c r="O9" s="3052" t="s">
        <v>4510</v>
      </c>
      <c r="P9" s="1405">
        <v>536.12</v>
      </c>
    </row>
    <row r="10" spans="1:21">
      <c r="A10" s="3095" t="s">
        <v>4190</v>
      </c>
      <c r="B10" s="3329"/>
      <c r="C10" s="3096" t="s">
        <v>3218</v>
      </c>
      <c r="D10" s="3097" t="s">
        <v>3219</v>
      </c>
      <c r="E10" s="3097" t="s">
        <v>3231</v>
      </c>
      <c r="F10" s="3097" t="s">
        <v>3232</v>
      </c>
      <c r="G10" s="3097" t="s">
        <v>3232</v>
      </c>
      <c r="H10" s="3097">
        <v>45.64</v>
      </c>
      <c r="I10" s="3097">
        <v>420000.27</v>
      </c>
      <c r="J10" s="3075">
        <f t="shared" si="0"/>
        <v>9202</v>
      </c>
      <c r="K10" s="3328"/>
      <c r="L10" s="3328"/>
      <c r="M10" s="3328"/>
      <c r="O10" s="3052" t="s">
        <v>4511</v>
      </c>
      <c r="P10" s="3052">
        <v>687.87</v>
      </c>
    </row>
    <row r="11" spans="1:21">
      <c r="A11" s="3095" t="s">
        <v>4190</v>
      </c>
      <c r="B11" s="3329"/>
      <c r="C11" s="3096" t="s">
        <v>3218</v>
      </c>
      <c r="D11" s="3097" t="s">
        <v>3219</v>
      </c>
      <c r="E11" s="3097" t="s">
        <v>3233</v>
      </c>
      <c r="F11" s="3097" t="s">
        <v>3234</v>
      </c>
      <c r="G11" s="3097" t="s">
        <v>3234</v>
      </c>
      <c r="H11" s="3097">
        <v>45.64</v>
      </c>
      <c r="I11" s="3097">
        <v>420000.27</v>
      </c>
      <c r="J11" s="3075">
        <f t="shared" si="0"/>
        <v>9202</v>
      </c>
      <c r="K11" s="3328"/>
      <c r="L11" s="3328"/>
      <c r="M11" s="3328"/>
      <c r="N11" s="1405">
        <f t="shared" ref="N11" si="1">ROUND((I7+I8+I9+I10+I11)/10000,0)</f>
        <v>1377</v>
      </c>
    </row>
    <row r="12" spans="1:21">
      <c r="A12" s="3095" t="s">
        <v>4190</v>
      </c>
      <c r="B12" s="3329">
        <v>3</v>
      </c>
      <c r="C12" s="3096" t="s">
        <v>3209</v>
      </c>
      <c r="D12" s="3097" t="s">
        <v>3210</v>
      </c>
      <c r="E12" s="3097" t="s">
        <v>3235</v>
      </c>
      <c r="F12" s="3097" t="s">
        <v>3236</v>
      </c>
      <c r="G12" s="3097" t="s">
        <v>3237</v>
      </c>
      <c r="H12" s="3097">
        <v>135.5</v>
      </c>
      <c r="I12" s="3097">
        <v>8541089.4299999997</v>
      </c>
      <c r="J12" s="3075">
        <f>ROUND(I12/H12,0)</f>
        <v>63034</v>
      </c>
      <c r="K12" s="3328"/>
      <c r="L12" s="3328"/>
      <c r="M12" s="3328"/>
    </row>
    <row r="13" spans="1:21" ht="27">
      <c r="A13" s="3095" t="s">
        <v>4190</v>
      </c>
      <c r="B13" s="3329"/>
      <c r="C13" s="3096" t="s">
        <v>4180</v>
      </c>
      <c r="D13" s="3097" t="s">
        <v>3210</v>
      </c>
      <c r="E13" s="3098" t="s">
        <v>3238</v>
      </c>
      <c r="F13" s="3097" t="s">
        <v>3236</v>
      </c>
      <c r="G13" s="3097" t="s">
        <v>3239</v>
      </c>
      <c r="H13" s="3097">
        <v>85.16</v>
      </c>
      <c r="I13" s="3097">
        <v>2535734.38</v>
      </c>
      <c r="J13" s="3075">
        <f t="shared" si="0"/>
        <v>29776</v>
      </c>
      <c r="K13" s="3328"/>
      <c r="L13" s="3328"/>
      <c r="M13" s="3328"/>
      <c r="P13" s="3117" t="s">
        <v>4504</v>
      </c>
      <c r="Q13" s="3194" t="s">
        <v>4134</v>
      </c>
      <c r="R13" s="3118" t="s">
        <v>3216</v>
      </c>
      <c r="S13" s="3194" t="s">
        <v>4505</v>
      </c>
      <c r="T13" s="3194" t="s">
        <v>4506</v>
      </c>
      <c r="U13" s="3195">
        <v>84.18</v>
      </c>
    </row>
    <row r="14" spans="1:21">
      <c r="A14" s="3095" t="s">
        <v>4190</v>
      </c>
      <c r="B14" s="3329"/>
      <c r="C14" s="3096" t="s">
        <v>4180</v>
      </c>
      <c r="D14" s="3097" t="s">
        <v>3210</v>
      </c>
      <c r="E14" s="3097" t="s">
        <v>3240</v>
      </c>
      <c r="F14" s="3097" t="s">
        <v>3241</v>
      </c>
      <c r="G14" s="3097" t="s">
        <v>3241</v>
      </c>
      <c r="H14" s="3097">
        <v>84.19</v>
      </c>
      <c r="I14" s="3097">
        <v>2516405.42</v>
      </c>
      <c r="J14" s="3075">
        <f t="shared" si="0"/>
        <v>29890</v>
      </c>
      <c r="K14" s="3328"/>
      <c r="L14" s="3328"/>
      <c r="M14" s="3328"/>
      <c r="P14" s="3117" t="s">
        <v>4504</v>
      </c>
      <c r="Q14" s="3194" t="s">
        <v>4507</v>
      </c>
      <c r="R14" s="3118">
        <v>-3</v>
      </c>
      <c r="S14" s="3194" t="s">
        <v>4508</v>
      </c>
      <c r="T14" s="3194" t="s">
        <v>4509</v>
      </c>
      <c r="U14" s="3195">
        <v>83.89</v>
      </c>
    </row>
    <row r="15" spans="1:21">
      <c r="A15" s="3095" t="s">
        <v>4190</v>
      </c>
      <c r="B15" s="3329"/>
      <c r="C15" s="3096" t="s">
        <v>3218</v>
      </c>
      <c r="D15" s="3097" t="s">
        <v>3219</v>
      </c>
      <c r="E15" s="3097" t="s">
        <v>3242</v>
      </c>
      <c r="F15" s="3097" t="s">
        <v>3243</v>
      </c>
      <c r="G15" s="3097" t="s">
        <v>3243</v>
      </c>
      <c r="H15" s="3097">
        <v>45.64</v>
      </c>
      <c r="I15" s="3097">
        <v>420000.27</v>
      </c>
      <c r="J15" s="3075">
        <f t="shared" si="0"/>
        <v>9202</v>
      </c>
      <c r="K15" s="3328"/>
      <c r="L15" s="3328"/>
      <c r="M15" s="3328"/>
      <c r="U15" s="3196">
        <f>SUM(U13:U14)</f>
        <v>168.07</v>
      </c>
    </row>
    <row r="16" spans="1:21">
      <c r="A16" s="3095" t="s">
        <v>4190</v>
      </c>
      <c r="B16" s="3329"/>
      <c r="C16" s="3096" t="s">
        <v>3218</v>
      </c>
      <c r="D16" s="3097" t="s">
        <v>3219</v>
      </c>
      <c r="E16" s="3097" t="s">
        <v>3244</v>
      </c>
      <c r="F16" s="3097" t="s">
        <v>3245</v>
      </c>
      <c r="G16" s="3097" t="s">
        <v>3245</v>
      </c>
      <c r="H16" s="3097">
        <v>45.64</v>
      </c>
      <c r="I16" s="3097">
        <v>420000.27</v>
      </c>
      <c r="J16" s="3075">
        <f t="shared" si="0"/>
        <v>9202</v>
      </c>
      <c r="K16" s="3328"/>
      <c r="L16" s="3328"/>
      <c r="M16" s="3328"/>
      <c r="N16" s="1405">
        <f t="shared" ref="N16" si="2">ROUND((I12+I13+I14+I15+I16)/10000,0)</f>
        <v>1443</v>
      </c>
    </row>
    <row r="17" spans="1:14">
      <c r="A17" s="3095" t="s">
        <v>4190</v>
      </c>
      <c r="B17" s="3329">
        <v>4</v>
      </c>
      <c r="C17" s="3096" t="s">
        <v>3209</v>
      </c>
      <c r="D17" s="3097" t="s">
        <v>3246</v>
      </c>
      <c r="E17" s="3097" t="s">
        <v>3247</v>
      </c>
      <c r="F17" s="3097" t="s">
        <v>3248</v>
      </c>
      <c r="G17" s="3097" t="s">
        <v>3249</v>
      </c>
      <c r="H17" s="3097">
        <v>135.04000000000002</v>
      </c>
      <c r="I17" s="3097">
        <v>8087434.8700000001</v>
      </c>
      <c r="J17" s="3075">
        <f>ROUND(I17/H17,0)</f>
        <v>59889</v>
      </c>
      <c r="K17" s="3328">
        <v>4</v>
      </c>
      <c r="L17" s="3328">
        <v>6</v>
      </c>
      <c r="M17" s="3328">
        <v>1</v>
      </c>
    </row>
    <row r="18" spans="1:14" ht="24">
      <c r="A18" s="3095" t="s">
        <v>4190</v>
      </c>
      <c r="B18" s="3329"/>
      <c r="C18" s="3096" t="s">
        <v>4180</v>
      </c>
      <c r="D18" s="3097" t="s">
        <v>3246</v>
      </c>
      <c r="E18" s="3097" t="s">
        <v>3250</v>
      </c>
      <c r="F18" s="3097" t="s">
        <v>3248</v>
      </c>
      <c r="G18" s="3097" t="s">
        <v>3251</v>
      </c>
      <c r="H18" s="3097">
        <v>85.07</v>
      </c>
      <c r="I18" s="3097">
        <v>2539345.4500000002</v>
      </c>
      <c r="J18" s="3075">
        <f t="shared" si="0"/>
        <v>29850</v>
      </c>
      <c r="K18" s="3328"/>
      <c r="L18" s="3328"/>
      <c r="M18" s="3328"/>
    </row>
    <row r="19" spans="1:14">
      <c r="A19" s="3095" t="s">
        <v>4190</v>
      </c>
      <c r="B19" s="3329"/>
      <c r="C19" s="3096" t="s">
        <v>4180</v>
      </c>
      <c r="D19" s="3097" t="s">
        <v>3246</v>
      </c>
      <c r="E19" s="3097" t="s">
        <v>3252</v>
      </c>
      <c r="F19" s="3097" t="s">
        <v>3253</v>
      </c>
      <c r="G19" s="3097" t="s">
        <v>3253</v>
      </c>
      <c r="H19" s="3097">
        <v>84.169999999999987</v>
      </c>
      <c r="I19" s="3097">
        <v>2524510.81</v>
      </c>
      <c r="J19" s="3075">
        <f t="shared" si="0"/>
        <v>29993</v>
      </c>
      <c r="K19" s="3328"/>
      <c r="L19" s="3328"/>
      <c r="M19" s="3328"/>
    </row>
    <row r="20" spans="1:14">
      <c r="A20" s="3095" t="s">
        <v>4190</v>
      </c>
      <c r="B20" s="3329"/>
      <c r="C20" s="3096" t="s">
        <v>3218</v>
      </c>
      <c r="D20" s="3097" t="s">
        <v>3219</v>
      </c>
      <c r="E20" s="3097" t="s">
        <v>3254</v>
      </c>
      <c r="F20" s="3097" t="s">
        <v>3255</v>
      </c>
      <c r="G20" s="3097" t="s">
        <v>3255</v>
      </c>
      <c r="H20" s="3097">
        <v>45.64</v>
      </c>
      <c r="I20" s="3097">
        <v>420000.27</v>
      </c>
      <c r="J20" s="3075">
        <f t="shared" si="0"/>
        <v>9202</v>
      </c>
      <c r="K20" s="3328"/>
      <c r="L20" s="3328"/>
      <c r="M20" s="3328"/>
    </row>
    <row r="21" spans="1:14">
      <c r="A21" s="3095" t="s">
        <v>4190</v>
      </c>
      <c r="B21" s="3329"/>
      <c r="C21" s="3096" t="s">
        <v>3218</v>
      </c>
      <c r="D21" s="3097" t="s">
        <v>3219</v>
      </c>
      <c r="E21" s="3097" t="s">
        <v>3256</v>
      </c>
      <c r="F21" s="3097" t="s">
        <v>3257</v>
      </c>
      <c r="G21" s="3097" t="s">
        <v>3257</v>
      </c>
      <c r="H21" s="3097">
        <v>45.64</v>
      </c>
      <c r="I21" s="3097">
        <v>420000.27</v>
      </c>
      <c r="J21" s="3075">
        <f t="shared" si="0"/>
        <v>9202</v>
      </c>
      <c r="K21" s="3328"/>
      <c r="L21" s="3328"/>
      <c r="M21" s="3328"/>
      <c r="N21" s="1405">
        <f t="shared" ref="N21:N81" si="3">ROUND((I17+I18+I19+I20+I21)/10000,0)</f>
        <v>1399</v>
      </c>
    </row>
    <row r="22" spans="1:14">
      <c r="A22" s="3095" t="s">
        <v>4190</v>
      </c>
      <c r="B22" s="3329">
        <v>5</v>
      </c>
      <c r="C22" s="3096" t="s">
        <v>3209</v>
      </c>
      <c r="D22" s="3097" t="s">
        <v>3258</v>
      </c>
      <c r="E22" s="3097" t="s">
        <v>3247</v>
      </c>
      <c r="F22" s="3097" t="s">
        <v>3259</v>
      </c>
      <c r="G22" s="3097" t="s">
        <v>3260</v>
      </c>
      <c r="H22" s="3097">
        <v>135.70000000000002</v>
      </c>
      <c r="I22" s="3097">
        <v>8115664.7000000002</v>
      </c>
      <c r="J22" s="3075">
        <f>ROUND(I22/H22,0)</f>
        <v>59806</v>
      </c>
      <c r="K22" s="3328">
        <v>9</v>
      </c>
      <c r="L22" s="3328">
        <v>4</v>
      </c>
      <c r="M22" s="3328">
        <v>1</v>
      </c>
    </row>
    <row r="23" spans="1:14" ht="24">
      <c r="A23" s="3095" t="s">
        <v>4190</v>
      </c>
      <c r="B23" s="3329"/>
      <c r="C23" s="3096" t="s">
        <v>4180</v>
      </c>
      <c r="D23" s="3097" t="s">
        <v>3258</v>
      </c>
      <c r="E23" s="3097" t="s">
        <v>3250</v>
      </c>
      <c r="F23" s="3097" t="s">
        <v>3259</v>
      </c>
      <c r="G23" s="3097" t="s">
        <v>3261</v>
      </c>
      <c r="H23" s="3097">
        <v>85.51</v>
      </c>
      <c r="I23" s="3097">
        <v>2548773.48</v>
      </c>
      <c r="J23" s="3075">
        <f t="shared" si="0"/>
        <v>29807</v>
      </c>
      <c r="K23" s="3328"/>
      <c r="L23" s="3328"/>
      <c r="M23" s="3328"/>
    </row>
    <row r="24" spans="1:14">
      <c r="A24" s="3095" t="s">
        <v>4190</v>
      </c>
      <c r="B24" s="3329"/>
      <c r="C24" s="3096" t="s">
        <v>4180</v>
      </c>
      <c r="D24" s="3097" t="s">
        <v>3258</v>
      </c>
      <c r="E24" s="3097" t="s">
        <v>3252</v>
      </c>
      <c r="F24" s="3097" t="s">
        <v>3262</v>
      </c>
      <c r="G24" s="3097" t="s">
        <v>3262</v>
      </c>
      <c r="H24" s="3097">
        <v>84.65</v>
      </c>
      <c r="I24" s="3097">
        <v>2529608.65</v>
      </c>
      <c r="J24" s="3075">
        <f t="shared" si="0"/>
        <v>29883</v>
      </c>
      <c r="K24" s="3328"/>
      <c r="L24" s="3328"/>
      <c r="M24" s="3328"/>
    </row>
    <row r="25" spans="1:14">
      <c r="A25" s="3095" t="s">
        <v>4190</v>
      </c>
      <c r="B25" s="3329"/>
      <c r="C25" s="3096" t="s">
        <v>3218</v>
      </c>
      <c r="D25" s="3097" t="s">
        <v>3219</v>
      </c>
      <c r="E25" s="3097" t="s">
        <v>3263</v>
      </c>
      <c r="F25" s="3097" t="s">
        <v>3264</v>
      </c>
      <c r="G25" s="3097" t="s">
        <v>3264</v>
      </c>
      <c r="H25" s="3097">
        <v>45.64</v>
      </c>
      <c r="I25" s="3097">
        <v>420000.27</v>
      </c>
      <c r="J25" s="3075">
        <f t="shared" si="0"/>
        <v>9202</v>
      </c>
      <c r="K25" s="3328"/>
      <c r="L25" s="3328"/>
      <c r="M25" s="3328"/>
    </row>
    <row r="26" spans="1:14">
      <c r="A26" s="3095" t="s">
        <v>4190</v>
      </c>
      <c r="B26" s="3329"/>
      <c r="C26" s="3096" t="s">
        <v>3218</v>
      </c>
      <c r="D26" s="3097" t="s">
        <v>3219</v>
      </c>
      <c r="E26" s="3097" t="s">
        <v>3265</v>
      </c>
      <c r="F26" s="3097" t="s">
        <v>3266</v>
      </c>
      <c r="G26" s="3097" t="s">
        <v>3266</v>
      </c>
      <c r="H26" s="3097">
        <v>45.64</v>
      </c>
      <c r="I26" s="3097">
        <v>420000.27</v>
      </c>
      <c r="J26" s="3075">
        <f t="shared" si="0"/>
        <v>9202</v>
      </c>
      <c r="K26" s="3328"/>
      <c r="L26" s="3328"/>
      <c r="M26" s="3328"/>
      <c r="N26" s="1405">
        <f t="shared" ref="N26" si="4">ROUND((I22+I23+I24+I25+I26)/10000,0)</f>
        <v>1403</v>
      </c>
    </row>
    <row r="27" spans="1:14">
      <c r="A27" s="3095" t="s">
        <v>4190</v>
      </c>
      <c r="B27" s="3329">
        <v>6</v>
      </c>
      <c r="C27" s="3096" t="s">
        <v>3209</v>
      </c>
      <c r="D27" s="3097" t="s">
        <v>3267</v>
      </c>
      <c r="E27" s="3097" t="s">
        <v>3211</v>
      </c>
      <c r="F27" s="3097" t="s">
        <v>3268</v>
      </c>
      <c r="G27" s="3097" t="s">
        <v>3269</v>
      </c>
      <c r="H27" s="3097">
        <v>135.22</v>
      </c>
      <c r="I27" s="3097">
        <v>5972540.29</v>
      </c>
      <c r="J27" s="3075">
        <f>ROUND(I27/H27,0)</f>
        <v>44169</v>
      </c>
      <c r="K27" s="3328">
        <v>11</v>
      </c>
      <c r="L27" s="3328">
        <v>6</v>
      </c>
      <c r="M27" s="3328">
        <v>3</v>
      </c>
    </row>
    <row r="28" spans="1:14" ht="27">
      <c r="A28" s="3095" t="s">
        <v>4190</v>
      </c>
      <c r="B28" s="3329"/>
      <c r="C28" s="3096" t="s">
        <v>4180</v>
      </c>
      <c r="D28" s="3097" t="s">
        <v>3267</v>
      </c>
      <c r="E28" s="3098" t="s">
        <v>3214</v>
      </c>
      <c r="F28" s="3097" t="s">
        <v>3268</v>
      </c>
      <c r="G28" s="3097" t="s">
        <v>3270</v>
      </c>
      <c r="H28" s="3097">
        <v>85.03</v>
      </c>
      <c r="I28" s="3097">
        <v>2066541.06</v>
      </c>
      <c r="J28" s="3075">
        <f t="shared" si="0"/>
        <v>24304</v>
      </c>
      <c r="K28" s="3328"/>
      <c r="L28" s="3328"/>
      <c r="M28" s="3328"/>
    </row>
    <row r="29" spans="1:14">
      <c r="A29" s="3095" t="s">
        <v>4190</v>
      </c>
      <c r="B29" s="3329"/>
      <c r="C29" s="3096" t="s">
        <v>4180</v>
      </c>
      <c r="D29" s="3097" t="s">
        <v>3267</v>
      </c>
      <c r="E29" s="3097" t="s">
        <v>3216</v>
      </c>
      <c r="F29" s="3097" t="s">
        <v>3271</v>
      </c>
      <c r="G29" s="3097" t="s">
        <v>3271</v>
      </c>
      <c r="H29" s="3097">
        <v>84.580000000000013</v>
      </c>
      <c r="I29" s="3097">
        <v>3743696.88</v>
      </c>
      <c r="J29" s="3075">
        <f t="shared" si="0"/>
        <v>44262</v>
      </c>
      <c r="K29" s="3328"/>
      <c r="L29" s="3328"/>
      <c r="M29" s="3328"/>
    </row>
    <row r="30" spans="1:14">
      <c r="A30" s="3095" t="s">
        <v>4190</v>
      </c>
      <c r="B30" s="3329"/>
      <c r="C30" s="3096" t="s">
        <v>3218</v>
      </c>
      <c r="D30" s="3097" t="s">
        <v>3219</v>
      </c>
      <c r="E30" s="3097" t="s">
        <v>3272</v>
      </c>
      <c r="F30" s="3097" t="s">
        <v>3273</v>
      </c>
      <c r="G30" s="3097" t="s">
        <v>3273</v>
      </c>
      <c r="H30" s="3097">
        <v>45.64</v>
      </c>
      <c r="I30" s="3097">
        <v>420000.27</v>
      </c>
      <c r="J30" s="3075">
        <f t="shared" si="0"/>
        <v>9202</v>
      </c>
      <c r="K30" s="3328"/>
      <c r="L30" s="3328"/>
      <c r="M30" s="3328"/>
    </row>
    <row r="31" spans="1:14">
      <c r="A31" s="3095" t="s">
        <v>4190</v>
      </c>
      <c r="B31" s="3329"/>
      <c r="C31" s="3096" t="s">
        <v>3218</v>
      </c>
      <c r="D31" s="3097" t="s">
        <v>3219</v>
      </c>
      <c r="E31" s="3097" t="s">
        <v>3274</v>
      </c>
      <c r="F31" s="3097" t="s">
        <v>3275</v>
      </c>
      <c r="G31" s="3097" t="s">
        <v>3275</v>
      </c>
      <c r="H31" s="3097">
        <v>45.64</v>
      </c>
      <c r="I31" s="3097">
        <v>420000.27</v>
      </c>
      <c r="J31" s="3075">
        <f t="shared" si="0"/>
        <v>9202</v>
      </c>
      <c r="K31" s="3328"/>
      <c r="L31" s="3328"/>
      <c r="M31" s="3328"/>
      <c r="N31" s="1405">
        <f t="shared" si="3"/>
        <v>1262</v>
      </c>
    </row>
    <row r="32" spans="1:14">
      <c r="A32" s="3095" t="s">
        <v>4190</v>
      </c>
      <c r="B32" s="3329">
        <v>7</v>
      </c>
      <c r="C32" s="3096" t="s">
        <v>3209</v>
      </c>
      <c r="D32" s="3097" t="s">
        <v>3267</v>
      </c>
      <c r="E32" s="3097" t="s">
        <v>3224</v>
      </c>
      <c r="F32" s="3097" t="s">
        <v>3276</v>
      </c>
      <c r="G32" s="3097" t="s">
        <v>3277</v>
      </c>
      <c r="H32" s="3097">
        <v>135.41000000000003</v>
      </c>
      <c r="I32" s="3097">
        <v>6359048.5899999999</v>
      </c>
      <c r="J32" s="3075">
        <f>ROUND(I32/H32,0)</f>
        <v>46961</v>
      </c>
      <c r="K32" s="3328"/>
      <c r="L32" s="3328"/>
      <c r="M32" s="3328"/>
    </row>
    <row r="33" spans="1:14" ht="27">
      <c r="A33" s="3095" t="s">
        <v>4190</v>
      </c>
      <c r="B33" s="3329"/>
      <c r="C33" s="3096" t="s">
        <v>4180</v>
      </c>
      <c r="D33" s="3097" t="s">
        <v>3267</v>
      </c>
      <c r="E33" s="3098" t="s">
        <v>3227</v>
      </c>
      <c r="F33" s="3097" t="s">
        <v>3276</v>
      </c>
      <c r="G33" s="3097" t="s">
        <v>3278</v>
      </c>
      <c r="H33" s="3097">
        <v>85.31</v>
      </c>
      <c r="I33" s="3097">
        <v>2073133.67</v>
      </c>
      <c r="J33" s="3075">
        <f t="shared" si="0"/>
        <v>24301</v>
      </c>
      <c r="K33" s="3328"/>
      <c r="L33" s="3328"/>
      <c r="M33" s="3328"/>
    </row>
    <row r="34" spans="1:14">
      <c r="A34" s="3095" t="s">
        <v>4190</v>
      </c>
      <c r="B34" s="3329"/>
      <c r="C34" s="3096" t="s">
        <v>4180</v>
      </c>
      <c r="D34" s="3097" t="s">
        <v>3267</v>
      </c>
      <c r="E34" s="3097" t="s">
        <v>3229</v>
      </c>
      <c r="F34" s="3097" t="s">
        <v>3279</v>
      </c>
      <c r="G34" s="3097" t="s">
        <v>3279</v>
      </c>
      <c r="H34" s="3097">
        <v>84.580000000000013</v>
      </c>
      <c r="I34" s="3097">
        <v>3743696.88</v>
      </c>
      <c r="J34" s="3075">
        <f t="shared" si="0"/>
        <v>44262</v>
      </c>
      <c r="K34" s="3328"/>
      <c r="L34" s="3328"/>
      <c r="M34" s="3328"/>
    </row>
    <row r="35" spans="1:14">
      <c r="A35" s="3095" t="s">
        <v>4190</v>
      </c>
      <c r="B35" s="3329"/>
      <c r="C35" s="3096" t="s">
        <v>3218</v>
      </c>
      <c r="D35" s="3097" t="s">
        <v>3219</v>
      </c>
      <c r="E35" s="3097" t="s">
        <v>3280</v>
      </c>
      <c r="F35" s="3097" t="s">
        <v>3281</v>
      </c>
      <c r="G35" s="3097" t="s">
        <v>3281</v>
      </c>
      <c r="H35" s="3097">
        <v>45.64</v>
      </c>
      <c r="I35" s="3097">
        <v>420000.27</v>
      </c>
      <c r="J35" s="3075">
        <f t="shared" si="0"/>
        <v>9202</v>
      </c>
      <c r="K35" s="3328"/>
      <c r="L35" s="3328"/>
      <c r="M35" s="3328"/>
    </row>
    <row r="36" spans="1:14">
      <c r="A36" s="3095" t="s">
        <v>4190</v>
      </c>
      <c r="B36" s="3329"/>
      <c r="C36" s="3096" t="s">
        <v>3218</v>
      </c>
      <c r="D36" s="3097" t="s">
        <v>3219</v>
      </c>
      <c r="E36" s="3097" t="s">
        <v>3282</v>
      </c>
      <c r="F36" s="3097" t="s">
        <v>3283</v>
      </c>
      <c r="G36" s="3097" t="s">
        <v>3283</v>
      </c>
      <c r="H36" s="3097">
        <v>45.64</v>
      </c>
      <c r="I36" s="3097">
        <v>420000.27</v>
      </c>
      <c r="J36" s="3075">
        <f t="shared" si="0"/>
        <v>9202</v>
      </c>
      <c r="K36" s="3328"/>
      <c r="L36" s="3328"/>
      <c r="M36" s="3328"/>
      <c r="N36" s="1405">
        <f t="shared" ref="N36" si="5">ROUND((I32+I33+I34+I35+I36)/10000,0)</f>
        <v>1302</v>
      </c>
    </row>
    <row r="37" spans="1:14">
      <c r="A37" s="3095" t="s">
        <v>4190</v>
      </c>
      <c r="B37" s="3329">
        <v>8</v>
      </c>
      <c r="C37" s="3096" t="s">
        <v>3209</v>
      </c>
      <c r="D37" s="3097" t="s">
        <v>3267</v>
      </c>
      <c r="E37" s="3097" t="s">
        <v>3247</v>
      </c>
      <c r="F37" s="3097" t="s">
        <v>3284</v>
      </c>
      <c r="G37" s="3097" t="s">
        <v>3285</v>
      </c>
      <c r="H37" s="3097">
        <v>135.41000000000003</v>
      </c>
      <c r="I37" s="3097">
        <v>6517841.1900000004</v>
      </c>
      <c r="J37" s="3075">
        <f>ROUND(I37/H37,0)</f>
        <v>48134</v>
      </c>
      <c r="K37" s="3328"/>
      <c r="L37" s="3328"/>
      <c r="M37" s="3328"/>
    </row>
    <row r="38" spans="1:14" ht="24">
      <c r="A38" s="3095" t="s">
        <v>4190</v>
      </c>
      <c r="B38" s="3329"/>
      <c r="C38" s="3096" t="s">
        <v>4180</v>
      </c>
      <c r="D38" s="3097" t="s">
        <v>3267</v>
      </c>
      <c r="E38" s="3097" t="s">
        <v>3250</v>
      </c>
      <c r="F38" s="3097" t="s">
        <v>3284</v>
      </c>
      <c r="G38" s="3097" t="s">
        <v>3286</v>
      </c>
      <c r="H38" s="3097">
        <v>85.31</v>
      </c>
      <c r="I38" s="3097">
        <v>2073133.67</v>
      </c>
      <c r="J38" s="3075">
        <f t="shared" si="0"/>
        <v>24301</v>
      </c>
      <c r="K38" s="3328"/>
      <c r="L38" s="3328"/>
      <c r="M38" s="3328"/>
    </row>
    <row r="39" spans="1:14">
      <c r="A39" s="3095" t="s">
        <v>4190</v>
      </c>
      <c r="B39" s="3329"/>
      <c r="C39" s="3096" t="s">
        <v>4180</v>
      </c>
      <c r="D39" s="3097" t="s">
        <v>3267</v>
      </c>
      <c r="E39" s="3097" t="s">
        <v>3252</v>
      </c>
      <c r="F39" s="3097" t="s">
        <v>3287</v>
      </c>
      <c r="G39" s="3097" t="s">
        <v>3287</v>
      </c>
      <c r="H39" s="3097">
        <v>84.580000000000013</v>
      </c>
      <c r="I39" s="3097">
        <v>3743696.88</v>
      </c>
      <c r="J39" s="3075">
        <f t="shared" si="0"/>
        <v>44262</v>
      </c>
      <c r="K39" s="3328"/>
      <c r="L39" s="3328"/>
      <c r="M39" s="3328"/>
    </row>
    <row r="40" spans="1:14">
      <c r="A40" s="3095" t="s">
        <v>4190</v>
      </c>
      <c r="B40" s="3329"/>
      <c r="C40" s="3096" t="s">
        <v>3218</v>
      </c>
      <c r="D40" s="3097" t="s">
        <v>3219</v>
      </c>
      <c r="E40" s="3097" t="s">
        <v>3288</v>
      </c>
      <c r="F40" s="3097" t="s">
        <v>3289</v>
      </c>
      <c r="G40" s="3097" t="s">
        <v>3289</v>
      </c>
      <c r="H40" s="3097">
        <v>45.64</v>
      </c>
      <c r="I40" s="3097">
        <v>420000.27</v>
      </c>
      <c r="J40" s="3075">
        <f t="shared" si="0"/>
        <v>9202</v>
      </c>
      <c r="K40" s="3328"/>
      <c r="L40" s="3328"/>
      <c r="M40" s="3328"/>
    </row>
    <row r="41" spans="1:14">
      <c r="A41" s="3095" t="s">
        <v>4190</v>
      </c>
      <c r="B41" s="3329"/>
      <c r="C41" s="3096" t="s">
        <v>3218</v>
      </c>
      <c r="D41" s="3097" t="s">
        <v>3219</v>
      </c>
      <c r="E41" s="3097" t="s">
        <v>3290</v>
      </c>
      <c r="F41" s="3097" t="s">
        <v>3291</v>
      </c>
      <c r="G41" s="3097" t="s">
        <v>3291</v>
      </c>
      <c r="H41" s="3097">
        <v>45.64</v>
      </c>
      <c r="I41" s="3097">
        <v>420000.27</v>
      </c>
      <c r="J41" s="3075">
        <f t="shared" si="0"/>
        <v>9202</v>
      </c>
      <c r="K41" s="3328"/>
      <c r="L41" s="3328"/>
      <c r="M41" s="3328"/>
      <c r="N41" s="1405">
        <f t="shared" si="3"/>
        <v>1317</v>
      </c>
    </row>
    <row r="42" spans="1:14">
      <c r="A42" s="3095" t="s">
        <v>4190</v>
      </c>
      <c r="B42" s="3329">
        <v>9</v>
      </c>
      <c r="C42" s="3096" t="s">
        <v>3209</v>
      </c>
      <c r="D42" s="3097" t="s">
        <v>3292</v>
      </c>
      <c r="E42" s="3097" t="s">
        <v>3247</v>
      </c>
      <c r="F42" s="3097" t="s">
        <v>3293</v>
      </c>
      <c r="G42" s="3097" t="s">
        <v>3294</v>
      </c>
      <c r="H42" s="3097">
        <v>135.94</v>
      </c>
      <c r="I42" s="3097">
        <v>8014409.3099999996</v>
      </c>
      <c r="J42" s="3075">
        <f>ROUND(I42/H42,0)</f>
        <v>58955</v>
      </c>
      <c r="K42" s="3328">
        <v>14</v>
      </c>
      <c r="L42" s="3328">
        <v>4</v>
      </c>
      <c r="M42" s="3328">
        <v>1</v>
      </c>
    </row>
    <row r="43" spans="1:14" ht="24">
      <c r="A43" s="3095" t="s">
        <v>4190</v>
      </c>
      <c r="B43" s="3329"/>
      <c r="C43" s="3096" t="s">
        <v>4180</v>
      </c>
      <c r="D43" s="3097" t="s">
        <v>3292</v>
      </c>
      <c r="E43" s="3097" t="s">
        <v>3250</v>
      </c>
      <c r="F43" s="3097" t="s">
        <v>3293</v>
      </c>
      <c r="G43" s="3097" t="s">
        <v>3295</v>
      </c>
      <c r="H43" s="3097">
        <v>85.63</v>
      </c>
      <c r="I43" s="3097">
        <v>2548052.52</v>
      </c>
      <c r="J43" s="3075">
        <f t="shared" si="0"/>
        <v>29757</v>
      </c>
      <c r="K43" s="3328"/>
      <c r="L43" s="3328"/>
      <c r="M43" s="3328"/>
    </row>
    <row r="44" spans="1:14">
      <c r="A44" s="3095" t="s">
        <v>4190</v>
      </c>
      <c r="B44" s="3329"/>
      <c r="C44" s="3096" t="s">
        <v>4180</v>
      </c>
      <c r="D44" s="3097" t="s">
        <v>3292</v>
      </c>
      <c r="E44" s="3097" t="s">
        <v>3252</v>
      </c>
      <c r="F44" s="3097" t="s">
        <v>3296</v>
      </c>
      <c r="G44" s="3097" t="s">
        <v>3296</v>
      </c>
      <c r="H44" s="3097">
        <v>84.93</v>
      </c>
      <c r="I44" s="3097">
        <v>2537997.16</v>
      </c>
      <c r="J44" s="3075">
        <f t="shared" si="0"/>
        <v>29883</v>
      </c>
      <c r="K44" s="3328"/>
      <c r="L44" s="3328"/>
      <c r="M44" s="3328"/>
    </row>
    <row r="45" spans="1:14">
      <c r="A45" s="3095" t="s">
        <v>4190</v>
      </c>
      <c r="B45" s="3329"/>
      <c r="C45" s="3096" t="s">
        <v>3218</v>
      </c>
      <c r="D45" s="3097" t="s">
        <v>3219</v>
      </c>
      <c r="E45" s="3097" t="s">
        <v>3297</v>
      </c>
      <c r="F45" s="3097" t="s">
        <v>3298</v>
      </c>
      <c r="G45" s="3097" t="s">
        <v>3298</v>
      </c>
      <c r="H45" s="3097">
        <v>45.64</v>
      </c>
      <c r="I45" s="3097">
        <v>420000.27</v>
      </c>
      <c r="J45" s="3075">
        <f t="shared" si="0"/>
        <v>9202</v>
      </c>
      <c r="K45" s="3328"/>
      <c r="L45" s="3328"/>
      <c r="M45" s="3328"/>
    </row>
    <row r="46" spans="1:14">
      <c r="A46" s="3095" t="s">
        <v>4190</v>
      </c>
      <c r="B46" s="3329"/>
      <c r="C46" s="3096" t="s">
        <v>3218</v>
      </c>
      <c r="D46" s="3097" t="s">
        <v>3219</v>
      </c>
      <c r="E46" s="3097" t="s">
        <v>3299</v>
      </c>
      <c r="F46" s="3097" t="s">
        <v>3300</v>
      </c>
      <c r="G46" s="3097" t="s">
        <v>3300</v>
      </c>
      <c r="H46" s="3097">
        <v>45.64</v>
      </c>
      <c r="I46" s="3097">
        <v>420000.27</v>
      </c>
      <c r="J46" s="3075">
        <f t="shared" si="0"/>
        <v>9202</v>
      </c>
      <c r="K46" s="3328"/>
      <c r="L46" s="3328"/>
      <c r="M46" s="3328"/>
      <c r="N46" s="1405">
        <f t="shared" ref="N46" si="6">ROUND((I42+I43+I44+I45+I46)/10000,0)</f>
        <v>1394</v>
      </c>
    </row>
    <row r="47" spans="1:14">
      <c r="A47" s="3095" t="s">
        <v>4190</v>
      </c>
      <c r="B47" s="3329">
        <v>10</v>
      </c>
      <c r="C47" s="3096" t="s">
        <v>3209</v>
      </c>
      <c r="D47" s="3097" t="s">
        <v>3301</v>
      </c>
      <c r="E47" s="3097" t="s">
        <v>3247</v>
      </c>
      <c r="F47" s="3097" t="s">
        <v>3302</v>
      </c>
      <c r="G47" s="3097" t="s">
        <v>3303</v>
      </c>
      <c r="H47" s="3097">
        <v>142.36000000000001</v>
      </c>
      <c r="I47" s="3097">
        <v>8865172.8900000006</v>
      </c>
      <c r="J47" s="3075">
        <f>ROUND(I47/H47,0)</f>
        <v>62273</v>
      </c>
      <c r="K47" s="3328">
        <v>15</v>
      </c>
      <c r="L47" s="3328">
        <v>2</v>
      </c>
      <c r="M47" s="3328">
        <v>1</v>
      </c>
    </row>
    <row r="48" spans="1:14" ht="24">
      <c r="A48" s="3095" t="s">
        <v>4190</v>
      </c>
      <c r="B48" s="3329"/>
      <c r="C48" s="3096" t="s">
        <v>4180</v>
      </c>
      <c r="D48" s="3097" t="s">
        <v>3301</v>
      </c>
      <c r="E48" s="3097" t="s">
        <v>3250</v>
      </c>
      <c r="F48" s="3097" t="s">
        <v>3302</v>
      </c>
      <c r="G48" s="3097" t="s">
        <v>3304</v>
      </c>
      <c r="H48" s="3097">
        <v>88.36</v>
      </c>
      <c r="I48" s="3097">
        <v>2599390.38</v>
      </c>
      <c r="J48" s="3075">
        <f t="shared" si="0"/>
        <v>29418</v>
      </c>
      <c r="K48" s="3328"/>
      <c r="L48" s="3328"/>
      <c r="M48" s="3328"/>
    </row>
    <row r="49" spans="1:14">
      <c r="A49" s="3095" t="s">
        <v>4190</v>
      </c>
      <c r="B49" s="3329"/>
      <c r="C49" s="3096" t="s">
        <v>4180</v>
      </c>
      <c r="D49" s="3097" t="s">
        <v>3301</v>
      </c>
      <c r="E49" s="3097">
        <v>-1</v>
      </c>
      <c r="F49" s="3097" t="s">
        <v>3305</v>
      </c>
      <c r="G49" s="3097" t="s">
        <v>3305</v>
      </c>
      <c r="H49" s="3097">
        <v>85.26</v>
      </c>
      <c r="I49" s="3097">
        <v>2486645.41</v>
      </c>
      <c r="J49" s="3075">
        <f t="shared" si="0"/>
        <v>29165</v>
      </c>
      <c r="K49" s="3328"/>
      <c r="L49" s="3328"/>
      <c r="M49" s="3328"/>
    </row>
    <row r="50" spans="1:14">
      <c r="A50" s="3095" t="s">
        <v>4190</v>
      </c>
      <c r="B50" s="3329"/>
      <c r="C50" s="3096" t="s">
        <v>3218</v>
      </c>
      <c r="D50" s="3097" t="s">
        <v>3219</v>
      </c>
      <c r="E50" s="3097" t="s">
        <v>3306</v>
      </c>
      <c r="F50" s="3097" t="s">
        <v>3307</v>
      </c>
      <c r="G50" s="3097" t="s">
        <v>3307</v>
      </c>
      <c r="H50" s="3097">
        <v>45.64</v>
      </c>
      <c r="I50" s="3097">
        <v>420000.27</v>
      </c>
      <c r="J50" s="3075">
        <f t="shared" si="0"/>
        <v>9202</v>
      </c>
      <c r="K50" s="3328"/>
      <c r="L50" s="3328"/>
      <c r="M50" s="3328"/>
    </row>
    <row r="51" spans="1:14">
      <c r="A51" s="3095" t="s">
        <v>4190</v>
      </c>
      <c r="B51" s="3329"/>
      <c r="C51" s="3096" t="s">
        <v>3218</v>
      </c>
      <c r="D51" s="3097" t="s">
        <v>3219</v>
      </c>
      <c r="E51" s="3097" t="s">
        <v>3308</v>
      </c>
      <c r="F51" s="3097" t="s">
        <v>3309</v>
      </c>
      <c r="G51" s="3097" t="s">
        <v>3309</v>
      </c>
      <c r="H51" s="3097">
        <v>45.64</v>
      </c>
      <c r="I51" s="3097">
        <v>420000.27</v>
      </c>
      <c r="J51" s="3075">
        <f t="shared" si="0"/>
        <v>9202</v>
      </c>
      <c r="K51" s="3328"/>
      <c r="L51" s="3328"/>
      <c r="M51" s="3328"/>
      <c r="N51" s="1405">
        <f t="shared" si="3"/>
        <v>1479</v>
      </c>
    </row>
    <row r="52" spans="1:14">
      <c r="A52" s="3095" t="s">
        <v>4190</v>
      </c>
      <c r="B52" s="3329">
        <v>11</v>
      </c>
      <c r="C52" s="3096" t="s">
        <v>3209</v>
      </c>
      <c r="D52" s="3097" t="s">
        <v>3310</v>
      </c>
      <c r="E52" s="3097" t="s">
        <v>3224</v>
      </c>
      <c r="F52" s="3097" t="s">
        <v>3311</v>
      </c>
      <c r="G52" s="3097" t="s">
        <v>3312</v>
      </c>
      <c r="H52" s="3097">
        <v>135.63</v>
      </c>
      <c r="I52" s="3097">
        <v>7942170</v>
      </c>
      <c r="J52" s="3075">
        <f>ROUND(I52/H52,0)</f>
        <v>58558</v>
      </c>
      <c r="K52" s="3328">
        <v>20</v>
      </c>
      <c r="L52" s="3328">
        <v>4</v>
      </c>
      <c r="M52" s="3328">
        <v>2</v>
      </c>
    </row>
    <row r="53" spans="1:14" ht="27">
      <c r="A53" s="3095" t="s">
        <v>4190</v>
      </c>
      <c r="B53" s="3329"/>
      <c r="C53" s="3096" t="s">
        <v>4180</v>
      </c>
      <c r="D53" s="3097" t="s">
        <v>3310</v>
      </c>
      <c r="E53" s="3098" t="s">
        <v>3227</v>
      </c>
      <c r="F53" s="3097" t="s">
        <v>3311</v>
      </c>
      <c r="G53" s="3097" t="s">
        <v>3313</v>
      </c>
      <c r="H53" s="3097">
        <v>85.44</v>
      </c>
      <c r="I53" s="3097">
        <v>2546879.25</v>
      </c>
      <c r="J53" s="3075">
        <f t="shared" si="0"/>
        <v>29809</v>
      </c>
      <c r="K53" s="3328"/>
      <c r="L53" s="3328"/>
      <c r="M53" s="3328"/>
    </row>
    <row r="54" spans="1:14">
      <c r="A54" s="3095" t="s">
        <v>4190</v>
      </c>
      <c r="B54" s="3329"/>
      <c r="C54" s="3096" t="s">
        <v>4180</v>
      </c>
      <c r="D54" s="3097" t="s">
        <v>3310</v>
      </c>
      <c r="E54" s="3097" t="s">
        <v>3229</v>
      </c>
      <c r="F54" s="3097" t="s">
        <v>3314</v>
      </c>
      <c r="G54" s="3097" t="s">
        <v>3314</v>
      </c>
      <c r="H54" s="3097">
        <v>84.639999999999986</v>
      </c>
      <c r="I54" s="3097">
        <v>2529291.2000000002</v>
      </c>
      <c r="J54" s="3075">
        <f t="shared" si="0"/>
        <v>29883</v>
      </c>
      <c r="K54" s="3328"/>
      <c r="L54" s="3328"/>
      <c r="M54" s="3328"/>
    </row>
    <row r="55" spans="1:14">
      <c r="A55" s="3095" t="s">
        <v>4190</v>
      </c>
      <c r="B55" s="3329"/>
      <c r="C55" s="3096" t="s">
        <v>3218</v>
      </c>
      <c r="D55" s="3097" t="s">
        <v>3219</v>
      </c>
      <c r="E55" s="3097" t="s">
        <v>3315</v>
      </c>
      <c r="F55" s="3097" t="s">
        <v>3316</v>
      </c>
      <c r="G55" s="3097" t="s">
        <v>3316</v>
      </c>
      <c r="H55" s="3097">
        <v>45.64</v>
      </c>
      <c r="I55" s="3097">
        <v>420000.27</v>
      </c>
      <c r="J55" s="3075">
        <f t="shared" si="0"/>
        <v>9202</v>
      </c>
      <c r="K55" s="3328"/>
      <c r="L55" s="3328"/>
      <c r="M55" s="3328"/>
    </row>
    <row r="56" spans="1:14">
      <c r="A56" s="3095" t="s">
        <v>4190</v>
      </c>
      <c r="B56" s="3329"/>
      <c r="C56" s="3096" t="s">
        <v>3218</v>
      </c>
      <c r="D56" s="3097" t="s">
        <v>3219</v>
      </c>
      <c r="E56" s="3097" t="s">
        <v>3317</v>
      </c>
      <c r="F56" s="3097" t="s">
        <v>3318</v>
      </c>
      <c r="G56" s="3097" t="s">
        <v>3318</v>
      </c>
      <c r="H56" s="3097">
        <v>45.64</v>
      </c>
      <c r="I56" s="3097">
        <v>420000.27</v>
      </c>
      <c r="J56" s="3075">
        <f t="shared" si="0"/>
        <v>9202</v>
      </c>
      <c r="K56" s="3328"/>
      <c r="L56" s="3328"/>
      <c r="M56" s="3328"/>
      <c r="N56" s="1405">
        <f t="shared" ref="N56" si="7">ROUND((I52+I53+I54+I55+I56)/10000,0)</f>
        <v>1386</v>
      </c>
    </row>
    <row r="57" spans="1:14">
      <c r="A57" s="3095" t="s">
        <v>4190</v>
      </c>
      <c r="B57" s="3329">
        <v>12</v>
      </c>
      <c r="C57" s="3096" t="s">
        <v>3209</v>
      </c>
      <c r="D57" s="3097" t="s">
        <v>3310</v>
      </c>
      <c r="E57" s="3097" t="s">
        <v>3247</v>
      </c>
      <c r="F57" s="3097" t="s">
        <v>3319</v>
      </c>
      <c r="G57" s="3097" t="s">
        <v>3320</v>
      </c>
      <c r="H57" s="3097">
        <v>135.63</v>
      </c>
      <c r="I57" s="3097">
        <v>8110861.1699999999</v>
      </c>
      <c r="J57" s="3075">
        <f>ROUND(I57/H57,0)</f>
        <v>59801</v>
      </c>
      <c r="K57" s="3328"/>
      <c r="L57" s="3328"/>
      <c r="M57" s="3328"/>
    </row>
    <row r="58" spans="1:14" ht="24">
      <c r="A58" s="3095" t="s">
        <v>4190</v>
      </c>
      <c r="B58" s="3329"/>
      <c r="C58" s="3096" t="s">
        <v>4180</v>
      </c>
      <c r="D58" s="3097" t="s">
        <v>3310</v>
      </c>
      <c r="E58" s="3097" t="s">
        <v>3250</v>
      </c>
      <c r="F58" s="3097" t="s">
        <v>3319</v>
      </c>
      <c r="G58" s="3097" t="s">
        <v>3321</v>
      </c>
      <c r="H58" s="3097">
        <v>85.44</v>
      </c>
      <c r="I58" s="3097">
        <v>2546879.25</v>
      </c>
      <c r="J58" s="3075">
        <f t="shared" si="0"/>
        <v>29809</v>
      </c>
      <c r="K58" s="3328"/>
      <c r="L58" s="3328"/>
      <c r="M58" s="3328"/>
    </row>
    <row r="59" spans="1:14">
      <c r="A59" s="3095" t="s">
        <v>4190</v>
      </c>
      <c r="B59" s="3329"/>
      <c r="C59" s="3096" t="s">
        <v>4180</v>
      </c>
      <c r="D59" s="3097" t="s">
        <v>3310</v>
      </c>
      <c r="E59" s="3097" t="s">
        <v>3252</v>
      </c>
      <c r="F59" s="3097" t="s">
        <v>3322</v>
      </c>
      <c r="G59" s="3097" t="s">
        <v>3322</v>
      </c>
      <c r="H59" s="3097">
        <v>84.639999999999986</v>
      </c>
      <c r="I59" s="3097">
        <v>2529291.2000000002</v>
      </c>
      <c r="J59" s="3075">
        <f t="shared" si="0"/>
        <v>29883</v>
      </c>
      <c r="K59" s="3328"/>
      <c r="L59" s="3328"/>
      <c r="M59" s="3328"/>
    </row>
    <row r="60" spans="1:14">
      <c r="A60" s="3095" t="s">
        <v>4190</v>
      </c>
      <c r="B60" s="3329"/>
      <c r="C60" s="3096" t="s">
        <v>3218</v>
      </c>
      <c r="D60" s="3097" t="s">
        <v>3219</v>
      </c>
      <c r="E60" s="3097" t="s">
        <v>3323</v>
      </c>
      <c r="F60" s="3097" t="s">
        <v>3324</v>
      </c>
      <c r="G60" s="3097" t="s">
        <v>3324</v>
      </c>
      <c r="H60" s="3097">
        <v>45.64</v>
      </c>
      <c r="I60" s="3097">
        <v>420000.27</v>
      </c>
      <c r="J60" s="3075">
        <f t="shared" si="0"/>
        <v>9202</v>
      </c>
      <c r="K60" s="3328"/>
      <c r="L60" s="3328"/>
      <c r="M60" s="3328"/>
    </row>
    <row r="61" spans="1:14">
      <c r="A61" s="3095" t="s">
        <v>4190</v>
      </c>
      <c r="B61" s="3329"/>
      <c r="C61" s="3096" t="s">
        <v>3218</v>
      </c>
      <c r="D61" s="3097" t="s">
        <v>3219</v>
      </c>
      <c r="E61" s="3097" t="s">
        <v>3325</v>
      </c>
      <c r="F61" s="3097" t="s">
        <v>3326</v>
      </c>
      <c r="G61" s="3097" t="s">
        <v>3326</v>
      </c>
      <c r="H61" s="3097">
        <v>45.64</v>
      </c>
      <c r="I61" s="3097">
        <v>420000.27</v>
      </c>
      <c r="J61" s="3075">
        <f t="shared" si="0"/>
        <v>9202</v>
      </c>
      <c r="K61" s="3328"/>
      <c r="L61" s="3328"/>
      <c r="M61" s="3328"/>
      <c r="N61" s="1405">
        <f t="shared" si="3"/>
        <v>1403</v>
      </c>
    </row>
    <row r="62" spans="1:14">
      <c r="A62" s="3095" t="s">
        <v>4190</v>
      </c>
      <c r="B62" s="3329">
        <v>13</v>
      </c>
      <c r="C62" s="3096" t="s">
        <v>3209</v>
      </c>
      <c r="D62" s="3097" t="s">
        <v>3327</v>
      </c>
      <c r="E62" s="3097" t="s">
        <v>3211</v>
      </c>
      <c r="F62" s="3097" t="s">
        <v>3328</v>
      </c>
      <c r="G62" s="3097" t="s">
        <v>3329</v>
      </c>
      <c r="H62" s="3097">
        <v>135.36000000000001</v>
      </c>
      <c r="I62" s="3097">
        <v>8337043.04</v>
      </c>
      <c r="J62" s="3075">
        <f>ROUND(I62/H62,0)</f>
        <v>61592</v>
      </c>
      <c r="K62" s="3328">
        <v>21</v>
      </c>
      <c r="L62" s="3328">
        <v>4</v>
      </c>
      <c r="M62" s="3328">
        <v>1</v>
      </c>
    </row>
    <row r="63" spans="1:14" ht="27">
      <c r="A63" s="3095" t="s">
        <v>4190</v>
      </c>
      <c r="B63" s="3329"/>
      <c r="C63" s="3096" t="s">
        <v>4180</v>
      </c>
      <c r="D63" s="3097" t="s">
        <v>3327</v>
      </c>
      <c r="E63" s="3098" t="s">
        <v>3214</v>
      </c>
      <c r="F63" s="3097" t="s">
        <v>3328</v>
      </c>
      <c r="G63" s="3097" t="s">
        <v>3330</v>
      </c>
      <c r="H63" s="3097">
        <v>85.070000000000007</v>
      </c>
      <c r="I63" s="3097">
        <v>2535734.23</v>
      </c>
      <c r="J63" s="3075">
        <f t="shared" si="0"/>
        <v>29808</v>
      </c>
      <c r="K63" s="3328"/>
      <c r="L63" s="3328"/>
      <c r="M63" s="3328"/>
    </row>
    <row r="64" spans="1:14">
      <c r="A64" s="3095" t="s">
        <v>4190</v>
      </c>
      <c r="B64" s="3329"/>
      <c r="C64" s="3096" t="s">
        <v>4180</v>
      </c>
      <c r="D64" s="3097" t="s">
        <v>3327</v>
      </c>
      <c r="E64" s="3097" t="s">
        <v>3216</v>
      </c>
      <c r="F64" s="3097" t="s">
        <v>3331</v>
      </c>
      <c r="G64" s="3097" t="s">
        <v>3331</v>
      </c>
      <c r="H64" s="3097">
        <v>83.929999999999993</v>
      </c>
      <c r="I64" s="3097">
        <v>2507997.1</v>
      </c>
      <c r="J64" s="3075">
        <f t="shared" si="0"/>
        <v>29882</v>
      </c>
      <c r="K64" s="3328"/>
      <c r="L64" s="3328"/>
      <c r="M64" s="3328"/>
    </row>
    <row r="65" spans="1:14">
      <c r="A65" s="3095" t="s">
        <v>4190</v>
      </c>
      <c r="B65" s="3329"/>
      <c r="C65" s="3096" t="s">
        <v>3218</v>
      </c>
      <c r="D65" s="3097" t="s">
        <v>3219</v>
      </c>
      <c r="E65" s="3097" t="s">
        <v>3332</v>
      </c>
      <c r="F65" s="3097" t="s">
        <v>3333</v>
      </c>
      <c r="G65" s="3097" t="s">
        <v>3333</v>
      </c>
      <c r="H65" s="3097">
        <v>45.64</v>
      </c>
      <c r="I65" s="3097">
        <v>420000.27</v>
      </c>
      <c r="J65" s="3075">
        <f t="shared" si="0"/>
        <v>9202</v>
      </c>
      <c r="K65" s="3328"/>
      <c r="L65" s="3328"/>
      <c r="M65" s="3328"/>
    </row>
    <row r="66" spans="1:14">
      <c r="A66" s="3095" t="s">
        <v>4190</v>
      </c>
      <c r="B66" s="3329"/>
      <c r="C66" s="3096" t="s">
        <v>3218</v>
      </c>
      <c r="D66" s="3097" t="s">
        <v>3219</v>
      </c>
      <c r="E66" s="3097" t="s">
        <v>3334</v>
      </c>
      <c r="F66" s="3097" t="s">
        <v>3335</v>
      </c>
      <c r="G66" s="3097" t="s">
        <v>3335</v>
      </c>
      <c r="H66" s="3097">
        <v>45.64</v>
      </c>
      <c r="I66" s="3097">
        <v>420000.27</v>
      </c>
      <c r="J66" s="3075">
        <f t="shared" si="0"/>
        <v>9202</v>
      </c>
      <c r="K66" s="3328"/>
      <c r="L66" s="3328"/>
      <c r="M66" s="3328"/>
      <c r="N66" s="1405">
        <f t="shared" ref="N66" si="8">ROUND((I62+I63+I64+I65+I66)/10000,0)</f>
        <v>1422</v>
      </c>
    </row>
    <row r="67" spans="1:14">
      <c r="A67" s="3095" t="s">
        <v>4190</v>
      </c>
      <c r="B67" s="3329">
        <v>14</v>
      </c>
      <c r="C67" s="3096" t="s">
        <v>3209</v>
      </c>
      <c r="D67" s="3097" t="s">
        <v>3336</v>
      </c>
      <c r="E67" s="3097" t="s">
        <v>3211</v>
      </c>
      <c r="F67" s="3097" t="s">
        <v>3337</v>
      </c>
      <c r="G67" s="3097" t="s">
        <v>3338</v>
      </c>
      <c r="H67" s="3097">
        <v>135.16</v>
      </c>
      <c r="I67" s="3097">
        <v>7429387.0300000003</v>
      </c>
      <c r="J67" s="3075">
        <f>ROUND(I67/H67,0)</f>
        <v>54967</v>
      </c>
      <c r="K67" s="3328">
        <v>22</v>
      </c>
      <c r="L67" s="3328">
        <v>6</v>
      </c>
      <c r="M67" s="3328">
        <v>3</v>
      </c>
    </row>
    <row r="68" spans="1:14" ht="27">
      <c r="A68" s="3095" t="s">
        <v>4190</v>
      </c>
      <c r="B68" s="3329"/>
      <c r="C68" s="3096" t="s">
        <v>4180</v>
      </c>
      <c r="D68" s="3097" t="s">
        <v>3336</v>
      </c>
      <c r="E68" s="3098" t="s">
        <v>3214</v>
      </c>
      <c r="F68" s="3097" t="s">
        <v>3337</v>
      </c>
      <c r="G68" s="3097" t="s">
        <v>3339</v>
      </c>
      <c r="H68" s="3097">
        <v>84.99</v>
      </c>
      <c r="I68" s="3097">
        <v>2533336.44</v>
      </c>
      <c r="J68" s="3075">
        <f t="shared" ref="J68:J131" si="9">ROUND(I68/H68,0)</f>
        <v>29807</v>
      </c>
      <c r="K68" s="3328"/>
      <c r="L68" s="3328"/>
      <c r="M68" s="3328"/>
    </row>
    <row r="69" spans="1:14">
      <c r="A69" s="3095" t="s">
        <v>4190</v>
      </c>
      <c r="B69" s="3329"/>
      <c r="C69" s="3096" t="s">
        <v>4180</v>
      </c>
      <c r="D69" s="3097" t="s">
        <v>3336</v>
      </c>
      <c r="E69" s="3097" t="s">
        <v>3216</v>
      </c>
      <c r="F69" s="3097" t="s">
        <v>3340</v>
      </c>
      <c r="G69" s="3097" t="s">
        <v>3340</v>
      </c>
      <c r="H69" s="3097">
        <v>84.57</v>
      </c>
      <c r="I69" s="3097">
        <v>2530804.61</v>
      </c>
      <c r="J69" s="3075">
        <f t="shared" si="9"/>
        <v>29926</v>
      </c>
      <c r="K69" s="3328"/>
      <c r="L69" s="3328"/>
      <c r="M69" s="3328"/>
    </row>
    <row r="70" spans="1:14">
      <c r="A70" s="3095" t="s">
        <v>4190</v>
      </c>
      <c r="B70" s="3329"/>
      <c r="C70" s="3096" t="s">
        <v>3218</v>
      </c>
      <c r="D70" s="3097" t="s">
        <v>3219</v>
      </c>
      <c r="E70" s="3097" t="s">
        <v>3341</v>
      </c>
      <c r="F70" s="3097" t="s">
        <v>3342</v>
      </c>
      <c r="G70" s="3097" t="s">
        <v>3342</v>
      </c>
      <c r="H70" s="3097">
        <v>45.64</v>
      </c>
      <c r="I70" s="3097">
        <v>420000.27</v>
      </c>
      <c r="J70" s="3075">
        <f t="shared" si="9"/>
        <v>9202</v>
      </c>
      <c r="K70" s="3328"/>
      <c r="L70" s="3328"/>
      <c r="M70" s="3328"/>
    </row>
    <row r="71" spans="1:14">
      <c r="A71" s="3095" t="s">
        <v>4190</v>
      </c>
      <c r="B71" s="3329"/>
      <c r="C71" s="3096" t="s">
        <v>3218</v>
      </c>
      <c r="D71" s="3097" t="s">
        <v>3219</v>
      </c>
      <c r="E71" s="3097" t="s">
        <v>3343</v>
      </c>
      <c r="F71" s="3097" t="s">
        <v>3344</v>
      </c>
      <c r="G71" s="3097" t="s">
        <v>3344</v>
      </c>
      <c r="H71" s="3097">
        <v>45.64</v>
      </c>
      <c r="I71" s="3097">
        <v>420000.27</v>
      </c>
      <c r="J71" s="3075">
        <f t="shared" si="9"/>
        <v>9202</v>
      </c>
      <c r="K71" s="3328"/>
      <c r="L71" s="3328"/>
      <c r="M71" s="3328"/>
      <c r="N71" s="1405">
        <f t="shared" si="3"/>
        <v>1333</v>
      </c>
    </row>
    <row r="72" spans="1:14">
      <c r="A72" s="3095" t="s">
        <v>4190</v>
      </c>
      <c r="B72" s="3329">
        <v>15</v>
      </c>
      <c r="C72" s="3096" t="s">
        <v>3209</v>
      </c>
      <c r="D72" s="3097" t="s">
        <v>3336</v>
      </c>
      <c r="E72" s="3097" t="s">
        <v>3235</v>
      </c>
      <c r="F72" s="3097" t="s">
        <v>3345</v>
      </c>
      <c r="G72" s="3097" t="s">
        <v>3346</v>
      </c>
      <c r="H72" s="3097">
        <v>135.16</v>
      </c>
      <c r="I72" s="3097">
        <v>7597543.6399999997</v>
      </c>
      <c r="J72" s="3075">
        <f>ROUND(I72/H72,0)</f>
        <v>56211</v>
      </c>
      <c r="K72" s="3328"/>
      <c r="L72" s="3328"/>
      <c r="M72" s="3328"/>
    </row>
    <row r="73" spans="1:14" ht="27">
      <c r="A73" s="3095" t="s">
        <v>4190</v>
      </c>
      <c r="B73" s="3329"/>
      <c r="C73" s="3096" t="s">
        <v>4180</v>
      </c>
      <c r="D73" s="3097" t="s">
        <v>3336</v>
      </c>
      <c r="E73" s="3098" t="s">
        <v>3238</v>
      </c>
      <c r="F73" s="3097" t="s">
        <v>3345</v>
      </c>
      <c r="G73" s="3097" t="s">
        <v>3347</v>
      </c>
      <c r="H73" s="3097">
        <v>84.99</v>
      </c>
      <c r="I73" s="3097">
        <v>2533336.44</v>
      </c>
      <c r="J73" s="3075">
        <f t="shared" si="9"/>
        <v>29807</v>
      </c>
      <c r="K73" s="3328"/>
      <c r="L73" s="3328"/>
      <c r="M73" s="3328"/>
    </row>
    <row r="74" spans="1:14">
      <c r="A74" s="3095" t="s">
        <v>4190</v>
      </c>
      <c r="B74" s="3329"/>
      <c r="C74" s="3096" t="s">
        <v>4180</v>
      </c>
      <c r="D74" s="3097" t="s">
        <v>3336</v>
      </c>
      <c r="E74" s="3097" t="s">
        <v>3240</v>
      </c>
      <c r="F74" s="3097" t="s">
        <v>3348</v>
      </c>
      <c r="G74" s="3097" t="s">
        <v>3348</v>
      </c>
      <c r="H74" s="3097">
        <v>84.57</v>
      </c>
      <c r="I74" s="3097">
        <v>2530804.61</v>
      </c>
      <c r="J74" s="3075">
        <f t="shared" si="9"/>
        <v>29926</v>
      </c>
      <c r="K74" s="3328"/>
      <c r="L74" s="3328"/>
      <c r="M74" s="3328"/>
    </row>
    <row r="75" spans="1:14">
      <c r="A75" s="3095" t="s">
        <v>4190</v>
      </c>
      <c r="B75" s="3329"/>
      <c r="C75" s="3096" t="s">
        <v>3218</v>
      </c>
      <c r="D75" s="3097" t="s">
        <v>3219</v>
      </c>
      <c r="E75" s="3097" t="s">
        <v>3349</v>
      </c>
      <c r="F75" s="3097" t="s">
        <v>3350</v>
      </c>
      <c r="G75" s="3097" t="s">
        <v>3350</v>
      </c>
      <c r="H75" s="3097">
        <v>45.64</v>
      </c>
      <c r="I75" s="3097">
        <v>420000.27</v>
      </c>
      <c r="J75" s="3075">
        <f t="shared" si="9"/>
        <v>9202</v>
      </c>
      <c r="K75" s="3328"/>
      <c r="L75" s="3328"/>
      <c r="M75" s="3328"/>
    </row>
    <row r="76" spans="1:14">
      <c r="A76" s="3095" t="s">
        <v>4190</v>
      </c>
      <c r="B76" s="3329"/>
      <c r="C76" s="3096" t="s">
        <v>3218</v>
      </c>
      <c r="D76" s="3097" t="s">
        <v>3219</v>
      </c>
      <c r="E76" s="3097" t="s">
        <v>3351</v>
      </c>
      <c r="F76" s="3097" t="s">
        <v>3352</v>
      </c>
      <c r="G76" s="3097" t="s">
        <v>3352</v>
      </c>
      <c r="H76" s="3097">
        <v>45.64</v>
      </c>
      <c r="I76" s="3097">
        <v>420000.27</v>
      </c>
      <c r="J76" s="3075">
        <f t="shared" si="9"/>
        <v>9202</v>
      </c>
      <c r="K76" s="3328"/>
      <c r="L76" s="3328"/>
      <c r="M76" s="3328"/>
      <c r="N76" s="1405">
        <f t="shared" ref="N76" si="10">ROUND((I72+I73+I74+I75+I76)/10000,0)</f>
        <v>1350</v>
      </c>
    </row>
    <row r="77" spans="1:14">
      <c r="A77" s="3095" t="s">
        <v>4190</v>
      </c>
      <c r="B77" s="3329">
        <v>16</v>
      </c>
      <c r="C77" s="3096" t="s">
        <v>3209</v>
      </c>
      <c r="D77" s="3097" t="s">
        <v>3336</v>
      </c>
      <c r="E77" s="3097" t="s">
        <v>3247</v>
      </c>
      <c r="F77" s="3097" t="s">
        <v>3353</v>
      </c>
      <c r="G77" s="3097" t="s">
        <v>3354</v>
      </c>
      <c r="H77" s="3097">
        <v>135.36000000000001</v>
      </c>
      <c r="I77" s="3097">
        <v>7993041.8399999999</v>
      </c>
      <c r="J77" s="3075">
        <f>ROUND(I77/H77,0)</f>
        <v>59050</v>
      </c>
      <c r="K77" s="3328"/>
      <c r="L77" s="3328"/>
      <c r="M77" s="3328"/>
    </row>
    <row r="78" spans="1:14" ht="24">
      <c r="A78" s="3095" t="s">
        <v>4190</v>
      </c>
      <c r="B78" s="3329"/>
      <c r="C78" s="3096" t="s">
        <v>4180</v>
      </c>
      <c r="D78" s="3097" t="s">
        <v>3336</v>
      </c>
      <c r="E78" s="3097" t="s">
        <v>3250</v>
      </c>
      <c r="F78" s="3097" t="s">
        <v>3353</v>
      </c>
      <c r="G78" s="3097" t="s">
        <v>3355</v>
      </c>
      <c r="H78" s="3097">
        <v>85.259999999999991</v>
      </c>
      <c r="I78" s="3097">
        <v>2541445.4300000002</v>
      </c>
      <c r="J78" s="3075">
        <f t="shared" si="9"/>
        <v>29808</v>
      </c>
      <c r="K78" s="3328"/>
      <c r="L78" s="3328"/>
      <c r="M78" s="3328"/>
    </row>
    <row r="79" spans="1:14">
      <c r="A79" s="3095" t="s">
        <v>4190</v>
      </c>
      <c r="B79" s="3329"/>
      <c r="C79" s="3096" t="s">
        <v>4180</v>
      </c>
      <c r="D79" s="3097" t="s">
        <v>3336</v>
      </c>
      <c r="E79" s="3097" t="s">
        <v>3252</v>
      </c>
      <c r="F79" s="3097" t="s">
        <v>3356</v>
      </c>
      <c r="G79" s="3097" t="s">
        <v>3356</v>
      </c>
      <c r="H79" s="3097">
        <v>84.57</v>
      </c>
      <c r="I79" s="3097">
        <v>2530804.61</v>
      </c>
      <c r="J79" s="3075">
        <f t="shared" si="9"/>
        <v>29926</v>
      </c>
      <c r="K79" s="3328"/>
      <c r="L79" s="3328"/>
      <c r="M79" s="3328"/>
    </row>
    <row r="80" spans="1:14">
      <c r="A80" s="3095" t="s">
        <v>4190</v>
      </c>
      <c r="B80" s="3329"/>
      <c r="C80" s="3096" t="s">
        <v>3218</v>
      </c>
      <c r="D80" s="3097" t="s">
        <v>3219</v>
      </c>
      <c r="E80" s="3097" t="s">
        <v>3357</v>
      </c>
      <c r="F80" s="3097" t="s">
        <v>3358</v>
      </c>
      <c r="G80" s="3097" t="s">
        <v>3358</v>
      </c>
      <c r="H80" s="3097">
        <v>45.64</v>
      </c>
      <c r="I80" s="3097">
        <v>420000.27</v>
      </c>
      <c r="J80" s="3075">
        <f t="shared" si="9"/>
        <v>9202</v>
      </c>
      <c r="K80" s="3328"/>
      <c r="L80" s="3328"/>
      <c r="M80" s="3328"/>
    </row>
    <row r="81" spans="1:14">
      <c r="A81" s="3095" t="s">
        <v>4190</v>
      </c>
      <c r="B81" s="3329"/>
      <c r="C81" s="3096" t="s">
        <v>3218</v>
      </c>
      <c r="D81" s="3097" t="s">
        <v>3219</v>
      </c>
      <c r="E81" s="3097" t="s">
        <v>3359</v>
      </c>
      <c r="F81" s="3097" t="s">
        <v>3360</v>
      </c>
      <c r="G81" s="3097" t="s">
        <v>3360</v>
      </c>
      <c r="H81" s="3097">
        <v>45.64</v>
      </c>
      <c r="I81" s="3097">
        <v>420000.27</v>
      </c>
      <c r="J81" s="3075">
        <f t="shared" si="9"/>
        <v>9202</v>
      </c>
      <c r="K81" s="3328"/>
      <c r="L81" s="3328"/>
      <c r="M81" s="3328"/>
      <c r="N81" s="1405">
        <f t="shared" si="3"/>
        <v>1391</v>
      </c>
    </row>
    <row r="82" spans="1:14">
      <c r="A82" s="3095" t="s">
        <v>4190</v>
      </c>
      <c r="B82" s="3329">
        <v>17</v>
      </c>
      <c r="C82" s="3096" t="s">
        <v>3209</v>
      </c>
      <c r="D82" s="3097" t="s">
        <v>3361</v>
      </c>
      <c r="E82" s="3097" t="s">
        <v>3211</v>
      </c>
      <c r="F82" s="3097" t="s">
        <v>3362</v>
      </c>
      <c r="G82" s="3097" t="s">
        <v>3363</v>
      </c>
      <c r="H82" s="3097">
        <v>135.18</v>
      </c>
      <c r="I82" s="3097">
        <v>7430462.04</v>
      </c>
      <c r="J82" s="3075">
        <f>ROUND(I82/H82,0)</f>
        <v>54967</v>
      </c>
      <c r="K82" s="3328">
        <v>23</v>
      </c>
      <c r="L82" s="3328">
        <v>6</v>
      </c>
      <c r="M82" s="3328">
        <v>2</v>
      </c>
    </row>
    <row r="83" spans="1:14" ht="27">
      <c r="A83" s="3095" t="s">
        <v>4190</v>
      </c>
      <c r="B83" s="3329"/>
      <c r="C83" s="3096" t="s">
        <v>4180</v>
      </c>
      <c r="D83" s="3097" t="s">
        <v>3361</v>
      </c>
      <c r="E83" s="3098" t="s">
        <v>3214</v>
      </c>
      <c r="F83" s="3097" t="s">
        <v>3362</v>
      </c>
      <c r="G83" s="3097" t="s">
        <v>3364</v>
      </c>
      <c r="H83" s="3097">
        <v>85</v>
      </c>
      <c r="I83" s="3097">
        <v>2533644.2999999998</v>
      </c>
      <c r="J83" s="3075">
        <f t="shared" si="9"/>
        <v>29808</v>
      </c>
      <c r="K83" s="3328"/>
      <c r="L83" s="3328"/>
      <c r="M83" s="3328"/>
    </row>
    <row r="84" spans="1:14">
      <c r="A84" s="3095" t="s">
        <v>4190</v>
      </c>
      <c r="B84" s="3329"/>
      <c r="C84" s="3096" t="s">
        <v>4180</v>
      </c>
      <c r="D84" s="3097" t="s">
        <v>3361</v>
      </c>
      <c r="E84" s="3097" t="s">
        <v>3216</v>
      </c>
      <c r="F84" s="3097" t="s">
        <v>3365</v>
      </c>
      <c r="G84" s="3097" t="s">
        <v>3365</v>
      </c>
      <c r="H84" s="3097">
        <v>84.57</v>
      </c>
      <c r="I84" s="3097">
        <v>2530804.61</v>
      </c>
      <c r="J84" s="3075">
        <f t="shared" si="9"/>
        <v>29926</v>
      </c>
      <c r="K84" s="3328"/>
      <c r="L84" s="3328"/>
      <c r="M84" s="3328"/>
    </row>
    <row r="85" spans="1:14">
      <c r="A85" s="3095" t="s">
        <v>4190</v>
      </c>
      <c r="B85" s="3329"/>
      <c r="C85" s="3096" t="s">
        <v>3218</v>
      </c>
      <c r="D85" s="3097" t="s">
        <v>3219</v>
      </c>
      <c r="E85" s="3097" t="s">
        <v>3366</v>
      </c>
      <c r="F85" s="3097" t="s">
        <v>3367</v>
      </c>
      <c r="G85" s="3097" t="s">
        <v>3367</v>
      </c>
      <c r="H85" s="3097">
        <v>45.64</v>
      </c>
      <c r="I85" s="3097">
        <v>420000.27</v>
      </c>
      <c r="J85" s="3075">
        <f t="shared" si="9"/>
        <v>9202</v>
      </c>
      <c r="K85" s="3328"/>
      <c r="L85" s="3328"/>
      <c r="M85" s="3328"/>
    </row>
    <row r="86" spans="1:14">
      <c r="A86" s="3095" t="s">
        <v>4190</v>
      </c>
      <c r="B86" s="3329"/>
      <c r="C86" s="3096" t="s">
        <v>3218</v>
      </c>
      <c r="D86" s="3097" t="s">
        <v>3219</v>
      </c>
      <c r="E86" s="3097" t="s">
        <v>3368</v>
      </c>
      <c r="F86" s="3097" t="s">
        <v>3369</v>
      </c>
      <c r="G86" s="3097" t="s">
        <v>3369</v>
      </c>
      <c r="H86" s="3097">
        <v>45.64</v>
      </c>
      <c r="I86" s="3097">
        <v>420000.27</v>
      </c>
      <c r="J86" s="3075">
        <f t="shared" si="9"/>
        <v>9202</v>
      </c>
      <c r="K86" s="3328"/>
      <c r="L86" s="3328"/>
      <c r="M86" s="3328"/>
      <c r="N86" s="1405">
        <f t="shared" ref="N86" si="11">ROUND((I82+I83+I84+I85+I86)/10000,0)</f>
        <v>1333</v>
      </c>
    </row>
    <row r="87" spans="1:14">
      <c r="A87" s="3095" t="s">
        <v>4190</v>
      </c>
      <c r="B87" s="3329">
        <v>18</v>
      </c>
      <c r="C87" s="3096" t="s">
        <v>3209</v>
      </c>
      <c r="D87" s="3097" t="s">
        <v>3361</v>
      </c>
      <c r="E87" s="3097" t="s">
        <v>3247</v>
      </c>
      <c r="F87" s="3097" t="s">
        <v>3370</v>
      </c>
      <c r="G87" s="3097" t="s">
        <v>3371</v>
      </c>
      <c r="H87" s="3097">
        <v>135.37</v>
      </c>
      <c r="I87" s="3097">
        <v>7994217.1399999997</v>
      </c>
      <c r="J87" s="3075">
        <f>ROUND(I87/H87,0)</f>
        <v>59055</v>
      </c>
      <c r="K87" s="3328"/>
      <c r="L87" s="3328"/>
      <c r="M87" s="3328"/>
    </row>
    <row r="88" spans="1:14" ht="24">
      <c r="A88" s="3095" t="s">
        <v>4190</v>
      </c>
      <c r="B88" s="3329"/>
      <c r="C88" s="3096" t="s">
        <v>4180</v>
      </c>
      <c r="D88" s="3097" t="s">
        <v>3361</v>
      </c>
      <c r="E88" s="3097" t="s">
        <v>3250</v>
      </c>
      <c r="F88" s="3097" t="s">
        <v>3370</v>
      </c>
      <c r="G88" s="3097" t="s">
        <v>3372</v>
      </c>
      <c r="H88" s="3097">
        <v>85.28</v>
      </c>
      <c r="I88" s="3097">
        <v>2541754.2000000002</v>
      </c>
      <c r="J88" s="3075">
        <f t="shared" si="9"/>
        <v>29805</v>
      </c>
      <c r="K88" s="3328"/>
      <c r="L88" s="3328"/>
      <c r="M88" s="3328"/>
    </row>
    <row r="89" spans="1:14">
      <c r="A89" s="3095" t="s">
        <v>4190</v>
      </c>
      <c r="B89" s="3329"/>
      <c r="C89" s="3096" t="s">
        <v>4180</v>
      </c>
      <c r="D89" s="3097" t="s">
        <v>3361</v>
      </c>
      <c r="E89" s="3097" t="s">
        <v>3252</v>
      </c>
      <c r="F89" s="3097" t="s">
        <v>3373</v>
      </c>
      <c r="G89" s="3097" t="s">
        <v>3373</v>
      </c>
      <c r="H89" s="3097">
        <v>84.57</v>
      </c>
      <c r="I89" s="3097">
        <v>2530804.61</v>
      </c>
      <c r="J89" s="3075">
        <f t="shared" si="9"/>
        <v>29926</v>
      </c>
      <c r="K89" s="3328"/>
      <c r="L89" s="3328"/>
      <c r="M89" s="3328"/>
    </row>
    <row r="90" spans="1:14">
      <c r="A90" s="3095" t="s">
        <v>4190</v>
      </c>
      <c r="B90" s="3329"/>
      <c r="C90" s="3096" t="s">
        <v>3218</v>
      </c>
      <c r="D90" s="3097" t="s">
        <v>3219</v>
      </c>
      <c r="E90" s="3097" t="s">
        <v>3374</v>
      </c>
      <c r="F90" s="3097" t="s">
        <v>3375</v>
      </c>
      <c r="G90" s="3097" t="s">
        <v>3375</v>
      </c>
      <c r="H90" s="3097">
        <v>45.64</v>
      </c>
      <c r="I90" s="3097">
        <v>420000.27</v>
      </c>
      <c r="J90" s="3075">
        <f t="shared" si="9"/>
        <v>9202</v>
      </c>
      <c r="K90" s="3328"/>
      <c r="L90" s="3328"/>
      <c r="M90" s="3328"/>
    </row>
    <row r="91" spans="1:14">
      <c r="A91" s="3095" t="s">
        <v>4190</v>
      </c>
      <c r="B91" s="3329"/>
      <c r="C91" s="3096" t="s">
        <v>3218</v>
      </c>
      <c r="D91" s="3097" t="s">
        <v>3219</v>
      </c>
      <c r="E91" s="3097" t="s">
        <v>3376</v>
      </c>
      <c r="F91" s="3097" t="s">
        <v>3377</v>
      </c>
      <c r="G91" s="3097" t="s">
        <v>3377</v>
      </c>
      <c r="H91" s="3097">
        <v>45.64</v>
      </c>
      <c r="I91" s="3097">
        <v>420000.27</v>
      </c>
      <c r="J91" s="3075">
        <f t="shared" si="9"/>
        <v>9202</v>
      </c>
      <c r="K91" s="3328"/>
      <c r="L91" s="3328"/>
      <c r="M91" s="3328"/>
      <c r="N91" s="1405">
        <f t="shared" ref="N91:N151" si="12">ROUND((I87+I88+I89+I90+I91)/10000,0)</f>
        <v>1391</v>
      </c>
    </row>
    <row r="92" spans="1:14">
      <c r="A92" s="3095" t="s">
        <v>4190</v>
      </c>
      <c r="B92" s="3329">
        <v>19</v>
      </c>
      <c r="C92" s="3096" t="s">
        <v>3209</v>
      </c>
      <c r="D92" s="3097" t="s">
        <v>3378</v>
      </c>
      <c r="E92" s="3097" t="s">
        <v>3247</v>
      </c>
      <c r="F92" s="3097" t="s">
        <v>3379</v>
      </c>
      <c r="G92" s="3097" t="s">
        <v>3380</v>
      </c>
      <c r="H92" s="3097">
        <v>135.70000000000002</v>
      </c>
      <c r="I92" s="3097">
        <v>8115664.7000000002</v>
      </c>
      <c r="J92" s="3075">
        <f>ROUND(I92/H92,0)</f>
        <v>59806</v>
      </c>
      <c r="K92" s="3328">
        <v>24</v>
      </c>
      <c r="L92" s="3328">
        <v>4</v>
      </c>
      <c r="M92" s="3328">
        <v>1</v>
      </c>
    </row>
    <row r="93" spans="1:14" ht="24">
      <c r="A93" s="3095" t="s">
        <v>4190</v>
      </c>
      <c r="B93" s="3329"/>
      <c r="C93" s="3096" t="s">
        <v>4180</v>
      </c>
      <c r="D93" s="3097" t="s">
        <v>3378</v>
      </c>
      <c r="E93" s="3097" t="s">
        <v>3250</v>
      </c>
      <c r="F93" s="3097" t="s">
        <v>3379</v>
      </c>
      <c r="G93" s="3097" t="s">
        <v>3381</v>
      </c>
      <c r="H93" s="3097">
        <v>85.49</v>
      </c>
      <c r="I93" s="3097">
        <v>2548361.15</v>
      </c>
      <c r="J93" s="3075">
        <f t="shared" si="9"/>
        <v>29809</v>
      </c>
      <c r="K93" s="3328"/>
      <c r="L93" s="3328"/>
      <c r="M93" s="3328"/>
    </row>
    <row r="94" spans="1:14">
      <c r="A94" s="3095" t="s">
        <v>4190</v>
      </c>
      <c r="B94" s="3329"/>
      <c r="C94" s="3096" t="s">
        <v>4180</v>
      </c>
      <c r="D94" s="3097" t="s">
        <v>3378</v>
      </c>
      <c r="E94" s="3097" t="s">
        <v>3252</v>
      </c>
      <c r="F94" s="3097" t="s">
        <v>3382</v>
      </c>
      <c r="G94" s="3097" t="s">
        <v>3382</v>
      </c>
      <c r="H94" s="3097">
        <v>84.65</v>
      </c>
      <c r="I94" s="3097">
        <v>2529608.65</v>
      </c>
      <c r="J94" s="3075">
        <f t="shared" si="9"/>
        <v>29883</v>
      </c>
      <c r="K94" s="3328"/>
      <c r="L94" s="3328"/>
      <c r="M94" s="3328"/>
    </row>
    <row r="95" spans="1:14">
      <c r="A95" s="3095" t="s">
        <v>4190</v>
      </c>
      <c r="B95" s="3329"/>
      <c r="C95" s="3096" t="s">
        <v>3218</v>
      </c>
      <c r="D95" s="3097" t="s">
        <v>3219</v>
      </c>
      <c r="E95" s="3097" t="s">
        <v>3383</v>
      </c>
      <c r="F95" s="3097" t="s">
        <v>3384</v>
      </c>
      <c r="G95" s="3097" t="s">
        <v>3384</v>
      </c>
      <c r="H95" s="3097">
        <v>45.64</v>
      </c>
      <c r="I95" s="3097">
        <v>420000.27</v>
      </c>
      <c r="J95" s="3075">
        <f t="shared" si="9"/>
        <v>9202</v>
      </c>
      <c r="K95" s="3328"/>
      <c r="L95" s="3328"/>
      <c r="M95" s="3328"/>
    </row>
    <row r="96" spans="1:14">
      <c r="A96" s="3095" t="s">
        <v>4190</v>
      </c>
      <c r="B96" s="3329"/>
      <c r="C96" s="3096" t="s">
        <v>3218</v>
      </c>
      <c r="D96" s="3097" t="s">
        <v>3219</v>
      </c>
      <c r="E96" s="3097" t="s">
        <v>3385</v>
      </c>
      <c r="F96" s="3097" t="s">
        <v>3386</v>
      </c>
      <c r="G96" s="3097" t="s">
        <v>3386</v>
      </c>
      <c r="H96" s="3097">
        <v>45.64</v>
      </c>
      <c r="I96" s="3097">
        <v>420000.27</v>
      </c>
      <c r="J96" s="3075">
        <f t="shared" si="9"/>
        <v>9202</v>
      </c>
      <c r="K96" s="3328"/>
      <c r="L96" s="3328"/>
      <c r="M96" s="3328"/>
      <c r="N96" s="1405">
        <f t="shared" ref="N96" si="13">ROUND((I92+I93+I94+I95+I96)/10000,0)</f>
        <v>1403</v>
      </c>
    </row>
    <row r="97" spans="1:14" s="3103" customFormat="1">
      <c r="A97" s="3099" t="s">
        <v>4191</v>
      </c>
      <c r="B97" s="3329">
        <v>20</v>
      </c>
      <c r="C97" s="3100" t="s">
        <v>3209</v>
      </c>
      <c r="D97" s="3101" t="s">
        <v>3387</v>
      </c>
      <c r="E97" s="3101" t="s">
        <v>3388</v>
      </c>
      <c r="F97" s="3101" t="s">
        <v>3389</v>
      </c>
      <c r="G97" s="3101" t="s">
        <v>3390</v>
      </c>
      <c r="H97" s="3101">
        <v>134.70000000000002</v>
      </c>
      <c r="I97" s="3101">
        <v>8476072.9299999997</v>
      </c>
      <c r="J97" s="3102">
        <f>ROUND(I97/H97,0)</f>
        <v>62926</v>
      </c>
      <c r="K97" s="3328">
        <v>27</v>
      </c>
      <c r="L97" s="3328">
        <v>6</v>
      </c>
      <c r="M97" s="3328">
        <v>2</v>
      </c>
    </row>
    <row r="98" spans="1:14" ht="27">
      <c r="A98" s="3099" t="s">
        <v>4191</v>
      </c>
      <c r="B98" s="3329"/>
      <c r="C98" s="3096" t="s">
        <v>4180</v>
      </c>
      <c r="D98" s="3097" t="s">
        <v>3387</v>
      </c>
      <c r="E98" s="3098" t="s">
        <v>3391</v>
      </c>
      <c r="F98" s="3097" t="s">
        <v>3389</v>
      </c>
      <c r="G98" s="3097" t="s">
        <v>3392</v>
      </c>
      <c r="H98" s="3097">
        <v>84.65</v>
      </c>
      <c r="I98" s="3097">
        <v>2526763.56</v>
      </c>
      <c r="J98" s="3075">
        <f t="shared" si="9"/>
        <v>29850</v>
      </c>
      <c r="K98" s="3328"/>
      <c r="L98" s="3328"/>
      <c r="M98" s="3328"/>
    </row>
    <row r="99" spans="1:14">
      <c r="A99" s="3099" t="s">
        <v>4191</v>
      </c>
      <c r="B99" s="3329"/>
      <c r="C99" s="3096" t="s">
        <v>4180</v>
      </c>
      <c r="D99" s="3097" t="s">
        <v>3387</v>
      </c>
      <c r="E99" s="3097" t="s">
        <v>3393</v>
      </c>
      <c r="F99" s="3097" t="s">
        <v>3394</v>
      </c>
      <c r="G99" s="3097" t="s">
        <v>3394</v>
      </c>
      <c r="H99" s="3097">
        <v>83.45</v>
      </c>
      <c r="I99" s="3097">
        <v>2502904.17</v>
      </c>
      <c r="J99" s="3075">
        <f t="shared" si="9"/>
        <v>29993</v>
      </c>
      <c r="K99" s="3328"/>
      <c r="L99" s="3328"/>
      <c r="M99" s="3328"/>
    </row>
    <row r="100" spans="1:14">
      <c r="A100" s="3099" t="s">
        <v>4191</v>
      </c>
      <c r="B100" s="3329"/>
      <c r="C100" s="3096" t="s">
        <v>3218</v>
      </c>
      <c r="D100" s="3097" t="s">
        <v>3219</v>
      </c>
      <c r="E100" s="3097" t="s">
        <v>3395</v>
      </c>
      <c r="F100" s="3097" t="s">
        <v>3396</v>
      </c>
      <c r="G100" s="3097" t="s">
        <v>3396</v>
      </c>
      <c r="H100" s="3097">
        <v>45.64</v>
      </c>
      <c r="I100" s="3097">
        <v>420000.27</v>
      </c>
      <c r="J100" s="3075">
        <f t="shared" si="9"/>
        <v>9202</v>
      </c>
      <c r="K100" s="3328"/>
      <c r="L100" s="3328"/>
      <c r="M100" s="3328"/>
    </row>
    <row r="101" spans="1:14">
      <c r="A101" s="3099" t="s">
        <v>4191</v>
      </c>
      <c r="B101" s="3329"/>
      <c r="C101" s="3096" t="s">
        <v>3218</v>
      </c>
      <c r="D101" s="3097" t="s">
        <v>3219</v>
      </c>
      <c r="E101" s="3097" t="s">
        <v>3397</v>
      </c>
      <c r="F101" s="3097" t="s">
        <v>3398</v>
      </c>
      <c r="G101" s="3097" t="s">
        <v>3398</v>
      </c>
      <c r="H101" s="3097">
        <v>45.64</v>
      </c>
      <c r="I101" s="3097">
        <v>420000.27</v>
      </c>
      <c r="J101" s="3075">
        <f t="shared" si="9"/>
        <v>9202</v>
      </c>
      <c r="K101" s="3328"/>
      <c r="L101" s="3328"/>
      <c r="M101" s="3328"/>
      <c r="N101" s="1405">
        <f t="shared" si="12"/>
        <v>1435</v>
      </c>
    </row>
    <row r="102" spans="1:14">
      <c r="A102" s="3099" t="s">
        <v>4191</v>
      </c>
      <c r="B102" s="3329">
        <v>21</v>
      </c>
      <c r="C102" s="3096" t="s">
        <v>3209</v>
      </c>
      <c r="D102" s="3097" t="s">
        <v>3387</v>
      </c>
      <c r="E102" s="3097" t="s">
        <v>3247</v>
      </c>
      <c r="F102" s="3097" t="s">
        <v>3399</v>
      </c>
      <c r="G102" s="3097" t="s">
        <v>3400</v>
      </c>
      <c r="H102" s="3097">
        <v>135.04000000000002</v>
      </c>
      <c r="I102" s="3097">
        <v>8087434.8700000001</v>
      </c>
      <c r="J102" s="3075">
        <f>ROUND(I102/H102,0)</f>
        <v>59889</v>
      </c>
      <c r="K102" s="3328"/>
      <c r="L102" s="3328"/>
      <c r="M102" s="3328"/>
    </row>
    <row r="103" spans="1:14" ht="24">
      <c r="A103" s="3099" t="s">
        <v>4191</v>
      </c>
      <c r="B103" s="3329"/>
      <c r="C103" s="3096" t="s">
        <v>4180</v>
      </c>
      <c r="D103" s="3097" t="s">
        <v>3387</v>
      </c>
      <c r="E103" s="3097" t="s">
        <v>3250</v>
      </c>
      <c r="F103" s="3097" t="s">
        <v>3399</v>
      </c>
      <c r="G103" s="3097" t="s">
        <v>3401</v>
      </c>
      <c r="H103" s="3097">
        <v>85.07</v>
      </c>
      <c r="I103" s="3097">
        <v>2539345.4500000002</v>
      </c>
      <c r="J103" s="3075">
        <f t="shared" si="9"/>
        <v>29850</v>
      </c>
      <c r="K103" s="3328"/>
      <c r="L103" s="3328"/>
      <c r="M103" s="3328"/>
    </row>
    <row r="104" spans="1:14">
      <c r="A104" s="3099" t="s">
        <v>4191</v>
      </c>
      <c r="B104" s="3329"/>
      <c r="C104" s="3096" t="s">
        <v>4180</v>
      </c>
      <c r="D104" s="3097" t="s">
        <v>3387</v>
      </c>
      <c r="E104" s="3097" t="s">
        <v>3252</v>
      </c>
      <c r="F104" s="3097" t="s">
        <v>3402</v>
      </c>
      <c r="G104" s="3097" t="s">
        <v>3402</v>
      </c>
      <c r="H104" s="3097">
        <v>84.169999999999987</v>
      </c>
      <c r="I104" s="3097">
        <v>2524510.81</v>
      </c>
      <c r="J104" s="3075">
        <f t="shared" si="9"/>
        <v>29993</v>
      </c>
      <c r="K104" s="3328"/>
      <c r="L104" s="3328"/>
      <c r="M104" s="3328"/>
    </row>
    <row r="105" spans="1:14">
      <c r="A105" s="3099" t="s">
        <v>4191</v>
      </c>
      <c r="B105" s="3329"/>
      <c r="C105" s="3096" t="s">
        <v>3218</v>
      </c>
      <c r="D105" s="3097" t="s">
        <v>3219</v>
      </c>
      <c r="E105" s="3097" t="s">
        <v>3403</v>
      </c>
      <c r="F105" s="3097" t="s">
        <v>3404</v>
      </c>
      <c r="G105" s="3097" t="s">
        <v>3404</v>
      </c>
      <c r="H105" s="3097">
        <v>45.64</v>
      </c>
      <c r="I105" s="3097">
        <v>420000.27</v>
      </c>
      <c r="J105" s="3075">
        <f t="shared" si="9"/>
        <v>9202</v>
      </c>
      <c r="K105" s="3328"/>
      <c r="L105" s="3328"/>
      <c r="M105" s="3328"/>
    </row>
    <row r="106" spans="1:14">
      <c r="A106" s="3099" t="s">
        <v>4191</v>
      </c>
      <c r="B106" s="3329"/>
      <c r="C106" s="3096" t="s">
        <v>3218</v>
      </c>
      <c r="D106" s="3097" t="s">
        <v>3219</v>
      </c>
      <c r="E106" s="3097" t="s">
        <v>3405</v>
      </c>
      <c r="F106" s="3097" t="s">
        <v>3406</v>
      </c>
      <c r="G106" s="3097" t="s">
        <v>3406</v>
      </c>
      <c r="H106" s="3097">
        <v>45.64</v>
      </c>
      <c r="I106" s="3097">
        <v>420000.27</v>
      </c>
      <c r="J106" s="3075">
        <f t="shared" si="9"/>
        <v>9202</v>
      </c>
      <c r="K106" s="3328"/>
      <c r="L106" s="3328"/>
      <c r="M106" s="3328"/>
      <c r="N106" s="1405">
        <f t="shared" ref="N106" si="14">ROUND((I102+I103+I104+I105+I106)/10000,0)</f>
        <v>1399</v>
      </c>
    </row>
    <row r="107" spans="1:14">
      <c r="A107" s="3099" t="s">
        <v>4191</v>
      </c>
      <c r="B107" s="3329">
        <v>22</v>
      </c>
      <c r="C107" s="3096" t="s">
        <v>3209</v>
      </c>
      <c r="D107" s="3097" t="s">
        <v>3407</v>
      </c>
      <c r="E107" s="3097" t="s">
        <v>3224</v>
      </c>
      <c r="F107" s="3097" t="s">
        <v>3408</v>
      </c>
      <c r="G107" s="3097" t="s">
        <v>3409</v>
      </c>
      <c r="H107" s="3097">
        <v>135.15</v>
      </c>
      <c r="I107" s="3097">
        <v>7925701.46</v>
      </c>
      <c r="J107" s="3075">
        <f>ROUND(I107/H107,0)</f>
        <v>58644</v>
      </c>
      <c r="K107" s="3328">
        <v>28</v>
      </c>
      <c r="L107" s="3328">
        <v>6</v>
      </c>
      <c r="M107" s="3328">
        <v>1</v>
      </c>
    </row>
    <row r="108" spans="1:14" ht="27">
      <c r="A108" s="3099" t="s">
        <v>4191</v>
      </c>
      <c r="B108" s="3329"/>
      <c r="C108" s="3096" t="s">
        <v>4180</v>
      </c>
      <c r="D108" s="3097" t="s">
        <v>3407</v>
      </c>
      <c r="E108" s="3098" t="s">
        <v>3227</v>
      </c>
      <c r="F108" s="3097" t="s">
        <v>3408</v>
      </c>
      <c r="G108" s="3097" t="s">
        <v>3410</v>
      </c>
      <c r="H108" s="3097">
        <v>85.14</v>
      </c>
      <c r="I108" s="3097">
        <v>2541445.1800000002</v>
      </c>
      <c r="J108" s="3075">
        <f t="shared" si="9"/>
        <v>29850</v>
      </c>
      <c r="K108" s="3328"/>
      <c r="L108" s="3328"/>
      <c r="M108" s="3328"/>
    </row>
    <row r="109" spans="1:14">
      <c r="A109" s="3099" t="s">
        <v>4191</v>
      </c>
      <c r="B109" s="3329"/>
      <c r="C109" s="3096" t="s">
        <v>4180</v>
      </c>
      <c r="D109" s="3097" t="s">
        <v>3407</v>
      </c>
      <c r="E109" s="3097" t="s">
        <v>3229</v>
      </c>
      <c r="F109" s="3097" t="s">
        <v>3411</v>
      </c>
      <c r="G109" s="3097" t="s">
        <v>3411</v>
      </c>
      <c r="H109" s="3097">
        <v>84.19</v>
      </c>
      <c r="I109" s="3097">
        <v>2525107.2999999998</v>
      </c>
      <c r="J109" s="3075">
        <f t="shared" si="9"/>
        <v>29993</v>
      </c>
      <c r="K109" s="3328"/>
      <c r="L109" s="3328"/>
      <c r="M109" s="3328"/>
    </row>
    <row r="110" spans="1:14">
      <c r="A110" s="3099" t="s">
        <v>4191</v>
      </c>
      <c r="B110" s="3329"/>
      <c r="C110" s="3096" t="s">
        <v>3218</v>
      </c>
      <c r="D110" s="3097" t="s">
        <v>3219</v>
      </c>
      <c r="E110" s="3097" t="s">
        <v>3412</v>
      </c>
      <c r="F110" s="3097" t="s">
        <v>3413</v>
      </c>
      <c r="G110" s="3097" t="s">
        <v>3413</v>
      </c>
      <c r="H110" s="3097">
        <v>45.64</v>
      </c>
      <c r="I110" s="3097">
        <v>420000.27</v>
      </c>
      <c r="J110" s="3075">
        <f t="shared" si="9"/>
        <v>9202</v>
      </c>
      <c r="K110" s="3328"/>
      <c r="L110" s="3328"/>
      <c r="M110" s="3328"/>
    </row>
    <row r="111" spans="1:14">
      <c r="A111" s="3099" t="s">
        <v>4191</v>
      </c>
      <c r="B111" s="3329"/>
      <c r="C111" s="3096" t="s">
        <v>3218</v>
      </c>
      <c r="D111" s="3097" t="s">
        <v>3219</v>
      </c>
      <c r="E111" s="3097" t="s">
        <v>3414</v>
      </c>
      <c r="F111" s="3097" t="s">
        <v>3415</v>
      </c>
      <c r="G111" s="3097" t="s">
        <v>3415</v>
      </c>
      <c r="H111" s="3097">
        <v>45.64</v>
      </c>
      <c r="I111" s="3097">
        <v>420000.27</v>
      </c>
      <c r="J111" s="3075">
        <f t="shared" si="9"/>
        <v>9202</v>
      </c>
      <c r="K111" s="3328"/>
      <c r="L111" s="3328"/>
      <c r="M111" s="3328"/>
      <c r="N111" s="1405">
        <f t="shared" si="12"/>
        <v>1383</v>
      </c>
    </row>
    <row r="112" spans="1:14" s="3110" customFormat="1">
      <c r="A112" s="3107" t="s">
        <v>4192</v>
      </c>
      <c r="B112" s="3329">
        <v>23</v>
      </c>
      <c r="C112" s="3108" t="s">
        <v>3209</v>
      </c>
      <c r="D112" s="3109" t="s">
        <v>3416</v>
      </c>
      <c r="E112" s="3109" t="s">
        <v>3247</v>
      </c>
      <c r="F112" s="3109" t="s">
        <v>3417</v>
      </c>
      <c r="G112" s="3109" t="s">
        <v>3418</v>
      </c>
      <c r="H112" s="3109">
        <v>139.82</v>
      </c>
      <c r="I112" s="3109">
        <v>8820864.8900000006</v>
      </c>
      <c r="J112" s="3086">
        <f>ROUND(I112/H112,0)</f>
        <v>63087</v>
      </c>
      <c r="K112" s="3328">
        <v>29</v>
      </c>
      <c r="L112" s="3328">
        <v>3</v>
      </c>
      <c r="M112" s="3328">
        <v>1</v>
      </c>
    </row>
    <row r="113" spans="1:14" ht="24">
      <c r="A113" s="3107" t="s">
        <v>4192</v>
      </c>
      <c r="B113" s="3329"/>
      <c r="C113" s="3096" t="s">
        <v>4180</v>
      </c>
      <c r="D113" s="3097" t="s">
        <v>3416</v>
      </c>
      <c r="E113" s="3097" t="s">
        <v>3250</v>
      </c>
      <c r="F113" s="3097" t="s">
        <v>3417</v>
      </c>
      <c r="G113" s="3097" t="s">
        <v>3419</v>
      </c>
      <c r="H113" s="3097">
        <v>87.56</v>
      </c>
      <c r="I113" s="3097">
        <v>2609226.71</v>
      </c>
      <c r="J113" s="3075">
        <f t="shared" si="9"/>
        <v>29799</v>
      </c>
      <c r="K113" s="3328"/>
      <c r="L113" s="3328"/>
      <c r="M113" s="3328"/>
    </row>
    <row r="114" spans="1:14">
      <c r="A114" s="3107" t="s">
        <v>4192</v>
      </c>
      <c r="B114" s="3329"/>
      <c r="C114" s="3096" t="s">
        <v>4180</v>
      </c>
      <c r="D114" s="3097" t="s">
        <v>3416</v>
      </c>
      <c r="E114" s="3097" t="s">
        <v>3252</v>
      </c>
      <c r="F114" s="3097" t="s">
        <v>3420</v>
      </c>
      <c r="G114" s="3097" t="s">
        <v>3420</v>
      </c>
      <c r="H114" s="3097">
        <v>84.91</v>
      </c>
      <c r="I114" s="3097">
        <v>2531274.94</v>
      </c>
      <c r="J114" s="3075">
        <f t="shared" si="9"/>
        <v>29811</v>
      </c>
      <c r="K114" s="3328"/>
      <c r="L114" s="3328"/>
      <c r="M114" s="3328"/>
    </row>
    <row r="115" spans="1:14">
      <c r="A115" s="3107" t="s">
        <v>4192</v>
      </c>
      <c r="B115" s="3329"/>
      <c r="C115" s="3096" t="s">
        <v>3218</v>
      </c>
      <c r="D115" s="3097" t="s">
        <v>3219</v>
      </c>
      <c r="E115" s="3097" t="s">
        <v>3421</v>
      </c>
      <c r="F115" s="3097" t="s">
        <v>3422</v>
      </c>
      <c r="G115" s="3097" t="s">
        <v>3422</v>
      </c>
      <c r="H115" s="3097">
        <v>45.64</v>
      </c>
      <c r="I115" s="3097">
        <v>420000.27</v>
      </c>
      <c r="J115" s="3075">
        <f t="shared" si="9"/>
        <v>9202</v>
      </c>
      <c r="K115" s="3328"/>
      <c r="L115" s="3328"/>
      <c r="M115" s="3328"/>
    </row>
    <row r="116" spans="1:14">
      <c r="A116" s="3107" t="s">
        <v>4192</v>
      </c>
      <c r="B116" s="3329"/>
      <c r="C116" s="3096" t="s">
        <v>3218</v>
      </c>
      <c r="D116" s="3097" t="s">
        <v>3219</v>
      </c>
      <c r="E116" s="3097" t="s">
        <v>3423</v>
      </c>
      <c r="F116" s="3097" t="s">
        <v>3424</v>
      </c>
      <c r="G116" s="3097" t="s">
        <v>3424</v>
      </c>
      <c r="H116" s="3097">
        <v>45.64</v>
      </c>
      <c r="I116" s="3097">
        <v>420000.27</v>
      </c>
      <c r="J116" s="3075">
        <f t="shared" si="9"/>
        <v>9202</v>
      </c>
      <c r="K116" s="3328"/>
      <c r="L116" s="3328"/>
      <c r="M116" s="3328"/>
      <c r="N116" s="1405">
        <f t="shared" ref="N116" si="15">ROUND((I112+I113+I114+I115+I116)/10000,0)</f>
        <v>1480</v>
      </c>
    </row>
    <row r="117" spans="1:14">
      <c r="A117" s="3107" t="s">
        <v>4192</v>
      </c>
      <c r="B117" s="3329">
        <v>24</v>
      </c>
      <c r="C117" s="3096" t="s">
        <v>3209</v>
      </c>
      <c r="D117" s="3097" t="s">
        <v>3425</v>
      </c>
      <c r="E117" s="3097" t="s">
        <v>3426</v>
      </c>
      <c r="F117" s="3097" t="s">
        <v>3427</v>
      </c>
      <c r="G117" s="3097" t="s">
        <v>3428</v>
      </c>
      <c r="H117" s="3097">
        <v>134.81</v>
      </c>
      <c r="I117" s="3097">
        <v>8315436.7000000002</v>
      </c>
      <c r="J117" s="3075">
        <f>ROUND(I117/H117,0)</f>
        <v>61683</v>
      </c>
      <c r="K117" s="3328">
        <v>31</v>
      </c>
      <c r="L117" s="3328">
        <v>6</v>
      </c>
      <c r="M117" s="3328">
        <v>2</v>
      </c>
    </row>
    <row r="118" spans="1:14" ht="27">
      <c r="A118" s="3107" t="s">
        <v>4192</v>
      </c>
      <c r="B118" s="3329"/>
      <c r="C118" s="3096" t="s">
        <v>4180</v>
      </c>
      <c r="D118" s="3097" t="s">
        <v>3425</v>
      </c>
      <c r="E118" s="3098" t="s">
        <v>3429</v>
      </c>
      <c r="F118" s="3097" t="s">
        <v>3427</v>
      </c>
      <c r="G118" s="3097" t="s">
        <v>3430</v>
      </c>
      <c r="H118" s="3097">
        <v>84.72</v>
      </c>
      <c r="I118" s="3097">
        <v>2528852.1800000002</v>
      </c>
      <c r="J118" s="3075">
        <f t="shared" si="9"/>
        <v>29850</v>
      </c>
      <c r="K118" s="3328"/>
      <c r="L118" s="3328"/>
      <c r="M118" s="3328"/>
    </row>
    <row r="119" spans="1:14">
      <c r="A119" s="3107" t="s">
        <v>4192</v>
      </c>
      <c r="B119" s="3329"/>
      <c r="C119" s="3096" t="s">
        <v>4180</v>
      </c>
      <c r="D119" s="3097" t="s">
        <v>3425</v>
      </c>
      <c r="E119" s="3097" t="s">
        <v>3431</v>
      </c>
      <c r="F119" s="3097" t="s">
        <v>3432</v>
      </c>
      <c r="G119" s="3097" t="s">
        <v>3432</v>
      </c>
      <c r="H119" s="3097">
        <v>83.47</v>
      </c>
      <c r="I119" s="3097">
        <v>2503497.35</v>
      </c>
      <c r="J119" s="3075">
        <f t="shared" si="9"/>
        <v>29993</v>
      </c>
      <c r="K119" s="3328"/>
      <c r="L119" s="3328"/>
      <c r="M119" s="3328"/>
    </row>
    <row r="120" spans="1:14">
      <c r="A120" s="3107" t="s">
        <v>4192</v>
      </c>
      <c r="B120" s="3329"/>
      <c r="C120" s="3096" t="s">
        <v>3218</v>
      </c>
      <c r="D120" s="3097" t="s">
        <v>3219</v>
      </c>
      <c r="E120" s="3097" t="s">
        <v>3433</v>
      </c>
      <c r="F120" s="3097" t="s">
        <v>3434</v>
      </c>
      <c r="G120" s="3097" t="s">
        <v>3434</v>
      </c>
      <c r="H120" s="3097">
        <v>45.64</v>
      </c>
      <c r="I120" s="3097">
        <v>420000.27</v>
      </c>
      <c r="J120" s="3075">
        <f t="shared" si="9"/>
        <v>9202</v>
      </c>
      <c r="K120" s="3328"/>
      <c r="L120" s="3328"/>
      <c r="M120" s="3328"/>
    </row>
    <row r="121" spans="1:14">
      <c r="A121" s="3107" t="s">
        <v>4192</v>
      </c>
      <c r="B121" s="3329"/>
      <c r="C121" s="3096" t="s">
        <v>3218</v>
      </c>
      <c r="D121" s="3097" t="s">
        <v>3219</v>
      </c>
      <c r="E121" s="3097" t="s">
        <v>3435</v>
      </c>
      <c r="F121" s="3097" t="s">
        <v>3436</v>
      </c>
      <c r="G121" s="3097" t="s">
        <v>3436</v>
      </c>
      <c r="H121" s="3097">
        <v>45.64</v>
      </c>
      <c r="I121" s="3097">
        <v>420000.27</v>
      </c>
      <c r="J121" s="3075">
        <f t="shared" si="9"/>
        <v>9202</v>
      </c>
      <c r="K121" s="3328"/>
      <c r="L121" s="3328"/>
      <c r="M121" s="3328"/>
      <c r="N121" s="1405">
        <f t="shared" si="12"/>
        <v>1419</v>
      </c>
    </row>
    <row r="122" spans="1:14">
      <c r="A122" s="3107" t="s">
        <v>4192</v>
      </c>
      <c r="B122" s="3329">
        <v>25</v>
      </c>
      <c r="C122" s="3096" t="s">
        <v>3209</v>
      </c>
      <c r="D122" s="3097" t="s">
        <v>3425</v>
      </c>
      <c r="E122" s="3097" t="s">
        <v>3224</v>
      </c>
      <c r="F122" s="3097" t="s">
        <v>3437</v>
      </c>
      <c r="G122" s="3097" t="s">
        <v>3438</v>
      </c>
      <c r="H122" s="3097">
        <v>135.15</v>
      </c>
      <c r="I122" s="3097">
        <v>7925704.1600000001</v>
      </c>
      <c r="J122" s="3075">
        <f>ROUND(I122/H122,0)</f>
        <v>58644</v>
      </c>
      <c r="K122" s="3328"/>
      <c r="L122" s="3328"/>
      <c r="M122" s="3328"/>
    </row>
    <row r="123" spans="1:14" ht="27">
      <c r="A123" s="3107" t="s">
        <v>4192</v>
      </c>
      <c r="B123" s="3329"/>
      <c r="C123" s="3096" t="s">
        <v>4180</v>
      </c>
      <c r="D123" s="3097" t="s">
        <v>3425</v>
      </c>
      <c r="E123" s="3098" t="s">
        <v>3227</v>
      </c>
      <c r="F123" s="3097" t="s">
        <v>3437</v>
      </c>
      <c r="G123" s="3097" t="s">
        <v>3439</v>
      </c>
      <c r="H123" s="3097">
        <v>85.14</v>
      </c>
      <c r="I123" s="3097">
        <v>2541445.1800000002</v>
      </c>
      <c r="J123" s="3075">
        <f t="shared" si="9"/>
        <v>29850</v>
      </c>
      <c r="K123" s="3328"/>
      <c r="L123" s="3328"/>
      <c r="M123" s="3328"/>
    </row>
    <row r="124" spans="1:14">
      <c r="A124" s="3107" t="s">
        <v>4192</v>
      </c>
      <c r="B124" s="3329"/>
      <c r="C124" s="3096" t="s">
        <v>4180</v>
      </c>
      <c r="D124" s="3097" t="s">
        <v>3425</v>
      </c>
      <c r="E124" s="3097" t="s">
        <v>3229</v>
      </c>
      <c r="F124" s="3097" t="s">
        <v>3440</v>
      </c>
      <c r="G124" s="3097" t="s">
        <v>3440</v>
      </c>
      <c r="H124" s="3097">
        <v>84.19</v>
      </c>
      <c r="I124" s="3097">
        <v>2525106.46</v>
      </c>
      <c r="J124" s="3075">
        <f t="shared" si="9"/>
        <v>29993</v>
      </c>
      <c r="K124" s="3328"/>
      <c r="L124" s="3328"/>
      <c r="M124" s="3328"/>
    </row>
    <row r="125" spans="1:14">
      <c r="A125" s="3107" t="s">
        <v>4192</v>
      </c>
      <c r="B125" s="3329"/>
      <c r="C125" s="3096" t="s">
        <v>3218</v>
      </c>
      <c r="D125" s="3097" t="s">
        <v>3219</v>
      </c>
      <c r="E125" s="3097" t="s">
        <v>3441</v>
      </c>
      <c r="F125" s="3097" t="s">
        <v>3442</v>
      </c>
      <c r="G125" s="3097" t="s">
        <v>3442</v>
      </c>
      <c r="H125" s="3097">
        <v>45.64</v>
      </c>
      <c r="I125" s="3097">
        <v>420000.27</v>
      </c>
      <c r="J125" s="3075">
        <f t="shared" si="9"/>
        <v>9202</v>
      </c>
      <c r="K125" s="3328"/>
      <c r="L125" s="3328"/>
      <c r="M125" s="3328"/>
    </row>
    <row r="126" spans="1:14">
      <c r="A126" s="3107" t="s">
        <v>4192</v>
      </c>
      <c r="B126" s="3329"/>
      <c r="C126" s="3096" t="s">
        <v>3218</v>
      </c>
      <c r="D126" s="3097" t="s">
        <v>3219</v>
      </c>
      <c r="E126" s="3097" t="s">
        <v>3443</v>
      </c>
      <c r="F126" s="3097" t="s">
        <v>3444</v>
      </c>
      <c r="G126" s="3097" t="s">
        <v>3444</v>
      </c>
      <c r="H126" s="3097">
        <v>45.64</v>
      </c>
      <c r="I126" s="3097">
        <v>420000.27</v>
      </c>
      <c r="J126" s="3075">
        <f t="shared" si="9"/>
        <v>9202</v>
      </c>
      <c r="K126" s="3328"/>
      <c r="L126" s="3328"/>
      <c r="M126" s="3328"/>
      <c r="N126" s="1405">
        <f t="shared" ref="N126" si="16">ROUND((I122+I123+I124+I125+I126)/10000,0)</f>
        <v>1383</v>
      </c>
    </row>
    <row r="127" spans="1:14">
      <c r="A127" s="3107" t="s">
        <v>4192</v>
      </c>
      <c r="B127" s="3329">
        <v>26</v>
      </c>
      <c r="C127" s="3096" t="s">
        <v>3209</v>
      </c>
      <c r="D127" s="3097" t="s">
        <v>3445</v>
      </c>
      <c r="E127" s="3097" t="s">
        <v>3426</v>
      </c>
      <c r="F127" s="3097" t="s">
        <v>3446</v>
      </c>
      <c r="G127" s="3097" t="s">
        <v>3447</v>
      </c>
      <c r="H127" s="3097">
        <v>134.70000000000002</v>
      </c>
      <c r="I127" s="3097">
        <v>8391599.8699999992</v>
      </c>
      <c r="J127" s="3075">
        <f>ROUND(I127/H127,0)</f>
        <v>62298</v>
      </c>
      <c r="K127" s="3328">
        <v>36</v>
      </c>
      <c r="L127" s="3328">
        <v>6</v>
      </c>
      <c r="M127" s="3328">
        <v>2</v>
      </c>
    </row>
    <row r="128" spans="1:14" ht="27">
      <c r="A128" s="3107" t="s">
        <v>4192</v>
      </c>
      <c r="B128" s="3329"/>
      <c r="C128" s="3096" t="s">
        <v>4180</v>
      </c>
      <c r="D128" s="3097" t="s">
        <v>3445</v>
      </c>
      <c r="E128" s="3098" t="s">
        <v>3429</v>
      </c>
      <c r="F128" s="3097" t="s">
        <v>3446</v>
      </c>
      <c r="G128" s="3097" t="s">
        <v>3448</v>
      </c>
      <c r="H128" s="3097">
        <v>84.65</v>
      </c>
      <c r="I128" s="3097">
        <v>2526763.56</v>
      </c>
      <c r="J128" s="3075">
        <f t="shared" si="9"/>
        <v>29850</v>
      </c>
      <c r="K128" s="3328"/>
      <c r="L128" s="3328"/>
      <c r="M128" s="3328"/>
    </row>
    <row r="129" spans="1:14">
      <c r="A129" s="3107" t="s">
        <v>4192</v>
      </c>
      <c r="B129" s="3329"/>
      <c r="C129" s="3096" t="s">
        <v>4180</v>
      </c>
      <c r="D129" s="3097" t="s">
        <v>3445</v>
      </c>
      <c r="E129" s="3097" t="s">
        <v>3431</v>
      </c>
      <c r="F129" s="3097" t="s">
        <v>3449</v>
      </c>
      <c r="G129" s="3097" t="s">
        <v>3449</v>
      </c>
      <c r="H129" s="3097">
        <v>83.45</v>
      </c>
      <c r="I129" s="3097">
        <v>2502904.17</v>
      </c>
      <c r="J129" s="3075">
        <f t="shared" si="9"/>
        <v>29993</v>
      </c>
      <c r="K129" s="3328"/>
      <c r="L129" s="3328"/>
      <c r="M129" s="3328"/>
    </row>
    <row r="130" spans="1:14">
      <c r="A130" s="3107" t="s">
        <v>4192</v>
      </c>
      <c r="B130" s="3329"/>
      <c r="C130" s="3096" t="s">
        <v>3218</v>
      </c>
      <c r="D130" s="3097" t="s">
        <v>3219</v>
      </c>
      <c r="E130" s="3097" t="s">
        <v>3450</v>
      </c>
      <c r="F130" s="3097" t="s">
        <v>3451</v>
      </c>
      <c r="G130" s="3097" t="s">
        <v>3451</v>
      </c>
      <c r="H130" s="3097">
        <v>45.64</v>
      </c>
      <c r="I130" s="3097">
        <v>420000.27</v>
      </c>
      <c r="J130" s="3075">
        <f t="shared" si="9"/>
        <v>9202</v>
      </c>
      <c r="K130" s="3328"/>
      <c r="L130" s="3328"/>
      <c r="M130" s="3328"/>
    </row>
    <row r="131" spans="1:14">
      <c r="A131" s="3107" t="s">
        <v>4192</v>
      </c>
      <c r="B131" s="3329"/>
      <c r="C131" s="3096" t="s">
        <v>3218</v>
      </c>
      <c r="D131" s="3097" t="s">
        <v>3219</v>
      </c>
      <c r="E131" s="3097" t="s">
        <v>3452</v>
      </c>
      <c r="F131" s="3097" t="s">
        <v>3453</v>
      </c>
      <c r="G131" s="3097" t="s">
        <v>3453</v>
      </c>
      <c r="H131" s="3097">
        <v>45.64</v>
      </c>
      <c r="I131" s="3097">
        <v>420000.27</v>
      </c>
      <c r="J131" s="3075">
        <f t="shared" si="9"/>
        <v>9202</v>
      </c>
      <c r="K131" s="3328"/>
      <c r="L131" s="3328"/>
      <c r="M131" s="3328"/>
      <c r="N131" s="1405">
        <f t="shared" si="12"/>
        <v>1426</v>
      </c>
    </row>
    <row r="132" spans="1:14">
      <c r="A132" s="3107" t="s">
        <v>4192</v>
      </c>
      <c r="B132" s="3329">
        <v>27</v>
      </c>
      <c r="C132" s="3096" t="s">
        <v>3209</v>
      </c>
      <c r="D132" s="3097" t="s">
        <v>3445</v>
      </c>
      <c r="E132" s="3097" t="s">
        <v>3388</v>
      </c>
      <c r="F132" s="3097" t="s">
        <v>3454</v>
      </c>
      <c r="G132" s="3097" t="s">
        <v>3455</v>
      </c>
      <c r="H132" s="3097">
        <v>134.70000000000002</v>
      </c>
      <c r="I132" s="3097">
        <v>8511954.9399999995</v>
      </c>
      <c r="J132" s="3075">
        <f>ROUND(I132/H132,0)</f>
        <v>63192</v>
      </c>
      <c r="K132" s="3328"/>
      <c r="L132" s="3328"/>
      <c r="M132" s="3328"/>
    </row>
    <row r="133" spans="1:14" ht="27">
      <c r="A133" s="3107" t="s">
        <v>4192</v>
      </c>
      <c r="B133" s="3329"/>
      <c r="C133" s="3096" t="s">
        <v>4180</v>
      </c>
      <c r="D133" s="3097" t="s">
        <v>3445</v>
      </c>
      <c r="E133" s="3098" t="s">
        <v>3391</v>
      </c>
      <c r="F133" s="3097" t="s">
        <v>3454</v>
      </c>
      <c r="G133" s="3097" t="s">
        <v>3456</v>
      </c>
      <c r="H133" s="3097">
        <v>84.65</v>
      </c>
      <c r="I133" s="3097">
        <v>2526763.56</v>
      </c>
      <c r="J133" s="3075">
        <f t="shared" ref="J133:J196" si="17">ROUND(I133/H133,0)</f>
        <v>29850</v>
      </c>
      <c r="K133" s="3328"/>
      <c r="L133" s="3328"/>
      <c r="M133" s="3328"/>
    </row>
    <row r="134" spans="1:14">
      <c r="A134" s="3107" t="s">
        <v>4192</v>
      </c>
      <c r="B134" s="3329"/>
      <c r="C134" s="3096" t="s">
        <v>4180</v>
      </c>
      <c r="D134" s="3097" t="s">
        <v>3445</v>
      </c>
      <c r="E134" s="3097" t="s">
        <v>3393</v>
      </c>
      <c r="F134" s="3097" t="s">
        <v>3457</v>
      </c>
      <c r="G134" s="3097" t="s">
        <v>3457</v>
      </c>
      <c r="H134" s="3097">
        <v>83.45</v>
      </c>
      <c r="I134" s="3097">
        <v>2502904.17</v>
      </c>
      <c r="J134" s="3075">
        <f t="shared" si="17"/>
        <v>29993</v>
      </c>
      <c r="K134" s="3328"/>
      <c r="L134" s="3328"/>
      <c r="M134" s="3328"/>
    </row>
    <row r="135" spans="1:14">
      <c r="A135" s="3107" t="s">
        <v>4192</v>
      </c>
      <c r="B135" s="3329"/>
      <c r="C135" s="3096" t="s">
        <v>3218</v>
      </c>
      <c r="D135" s="3097" t="s">
        <v>3219</v>
      </c>
      <c r="E135" s="3097" t="s">
        <v>3458</v>
      </c>
      <c r="F135" s="3097" t="s">
        <v>3459</v>
      </c>
      <c r="G135" s="3097" t="s">
        <v>3459</v>
      </c>
      <c r="H135" s="3097">
        <v>45.64</v>
      </c>
      <c r="I135" s="3097">
        <v>420000.27</v>
      </c>
      <c r="J135" s="3075">
        <f t="shared" si="17"/>
        <v>9202</v>
      </c>
      <c r="K135" s="3328"/>
      <c r="L135" s="3328"/>
      <c r="M135" s="3328"/>
    </row>
    <row r="136" spans="1:14">
      <c r="A136" s="3107" t="s">
        <v>4192</v>
      </c>
      <c r="B136" s="3329"/>
      <c r="C136" s="3096" t="s">
        <v>3218</v>
      </c>
      <c r="D136" s="3097" t="s">
        <v>3219</v>
      </c>
      <c r="E136" s="3097" t="s">
        <v>3460</v>
      </c>
      <c r="F136" s="3097" t="s">
        <v>3461</v>
      </c>
      <c r="G136" s="3097" t="s">
        <v>3461</v>
      </c>
      <c r="H136" s="3097">
        <v>45.64</v>
      </c>
      <c r="I136" s="3097">
        <v>420000.27</v>
      </c>
      <c r="J136" s="3075">
        <f t="shared" si="17"/>
        <v>9202</v>
      </c>
      <c r="K136" s="3328"/>
      <c r="L136" s="3328"/>
      <c r="M136" s="3328"/>
      <c r="N136" s="1405">
        <f t="shared" ref="N136" si="18">ROUND((I132+I133+I134+I135+I136)/10000,0)</f>
        <v>1438</v>
      </c>
    </row>
    <row r="137" spans="1:14" s="3115" customFormat="1">
      <c r="A137" s="3111" t="s">
        <v>4193</v>
      </c>
      <c r="B137" s="3329">
        <v>28</v>
      </c>
      <c r="C137" s="3112" t="s">
        <v>3209</v>
      </c>
      <c r="D137" s="3113" t="s">
        <v>3462</v>
      </c>
      <c r="E137" s="3113" t="s">
        <v>3426</v>
      </c>
      <c r="F137" s="3113" t="s">
        <v>3463</v>
      </c>
      <c r="G137" s="3113" t="s">
        <v>3464</v>
      </c>
      <c r="H137" s="3113">
        <v>134.70000000000002</v>
      </c>
      <c r="I137" s="3113">
        <v>8459549.2799999993</v>
      </c>
      <c r="J137" s="3114">
        <f>ROUND(I137/H137,0)</f>
        <v>62803</v>
      </c>
      <c r="K137" s="3328">
        <v>37</v>
      </c>
      <c r="L137" s="3328">
        <v>6</v>
      </c>
      <c r="M137" s="3328">
        <v>1</v>
      </c>
    </row>
    <row r="138" spans="1:14" ht="27">
      <c r="A138" s="3111" t="s">
        <v>4193</v>
      </c>
      <c r="B138" s="3329"/>
      <c r="C138" s="3096" t="s">
        <v>4180</v>
      </c>
      <c r="D138" s="3097" t="s">
        <v>3462</v>
      </c>
      <c r="E138" s="3098" t="s">
        <v>3429</v>
      </c>
      <c r="F138" s="3097" t="s">
        <v>3463</v>
      </c>
      <c r="G138" s="3097" t="s">
        <v>3465</v>
      </c>
      <c r="H138" s="3097">
        <v>84.65</v>
      </c>
      <c r="I138" s="3097">
        <v>2526763.56</v>
      </c>
      <c r="J138" s="3075">
        <f t="shared" si="17"/>
        <v>29850</v>
      </c>
      <c r="K138" s="3328"/>
      <c r="L138" s="3328"/>
      <c r="M138" s="3328"/>
    </row>
    <row r="139" spans="1:14">
      <c r="A139" s="3111" t="s">
        <v>4193</v>
      </c>
      <c r="B139" s="3329"/>
      <c r="C139" s="3096" t="s">
        <v>4180</v>
      </c>
      <c r="D139" s="3097" t="s">
        <v>3462</v>
      </c>
      <c r="E139" s="3097" t="s">
        <v>3431</v>
      </c>
      <c r="F139" s="3097" t="s">
        <v>3466</v>
      </c>
      <c r="G139" s="3097" t="s">
        <v>3466</v>
      </c>
      <c r="H139" s="3097">
        <v>83.45</v>
      </c>
      <c r="I139" s="3097">
        <v>2502904.17</v>
      </c>
      <c r="J139" s="3075">
        <f t="shared" si="17"/>
        <v>29993</v>
      </c>
      <c r="K139" s="3328"/>
      <c r="L139" s="3328"/>
      <c r="M139" s="3328"/>
    </row>
    <row r="140" spans="1:14">
      <c r="A140" s="3111" t="s">
        <v>4193</v>
      </c>
      <c r="B140" s="3329"/>
      <c r="C140" s="3096" t="s">
        <v>3218</v>
      </c>
      <c r="D140" s="3097" t="s">
        <v>3219</v>
      </c>
      <c r="E140" s="3097" t="s">
        <v>3467</v>
      </c>
      <c r="F140" s="3097" t="s">
        <v>3468</v>
      </c>
      <c r="G140" s="3097" t="s">
        <v>3468</v>
      </c>
      <c r="H140" s="3097">
        <v>45.64</v>
      </c>
      <c r="I140" s="3097">
        <v>420000.27</v>
      </c>
      <c r="J140" s="3075">
        <f t="shared" si="17"/>
        <v>9202</v>
      </c>
      <c r="K140" s="3328"/>
      <c r="L140" s="3328"/>
      <c r="M140" s="3328"/>
    </row>
    <row r="141" spans="1:14">
      <c r="A141" s="3111" t="s">
        <v>4193</v>
      </c>
      <c r="B141" s="3329"/>
      <c r="C141" s="3096" t="s">
        <v>3218</v>
      </c>
      <c r="D141" s="3097" t="s">
        <v>3219</v>
      </c>
      <c r="E141" s="3097" t="s">
        <v>3469</v>
      </c>
      <c r="F141" s="3097" t="s">
        <v>3470</v>
      </c>
      <c r="G141" s="3097" t="s">
        <v>3470</v>
      </c>
      <c r="H141" s="3097">
        <v>45.64</v>
      </c>
      <c r="I141" s="3097">
        <v>420000.27</v>
      </c>
      <c r="J141" s="3075">
        <f t="shared" si="17"/>
        <v>9202</v>
      </c>
      <c r="K141" s="3328"/>
      <c r="L141" s="3328"/>
      <c r="M141" s="3328"/>
      <c r="N141" s="1405">
        <f t="shared" si="12"/>
        <v>1433</v>
      </c>
    </row>
    <row r="142" spans="1:14">
      <c r="A142" s="3111" t="s">
        <v>4193</v>
      </c>
      <c r="B142" s="3329">
        <v>29</v>
      </c>
      <c r="C142" s="3096" t="s">
        <v>3209</v>
      </c>
      <c r="D142" s="3097" t="s">
        <v>3471</v>
      </c>
      <c r="E142" s="3097" t="s">
        <v>3388</v>
      </c>
      <c r="F142" s="3097" t="s">
        <v>3472</v>
      </c>
      <c r="G142" s="3097" t="s">
        <v>3473</v>
      </c>
      <c r="H142" s="3097">
        <v>134.76</v>
      </c>
      <c r="I142" s="3097">
        <v>8515093.5999999996</v>
      </c>
      <c r="J142" s="3075">
        <f>ROUND(I142/H142,0)</f>
        <v>63187</v>
      </c>
      <c r="K142" s="3328">
        <v>40</v>
      </c>
      <c r="L142" s="3328">
        <v>6</v>
      </c>
      <c r="M142" s="3328">
        <v>2</v>
      </c>
    </row>
    <row r="143" spans="1:14" ht="27">
      <c r="A143" s="3111" t="s">
        <v>4193</v>
      </c>
      <c r="B143" s="3329"/>
      <c r="C143" s="3096" t="s">
        <v>4180</v>
      </c>
      <c r="D143" s="3097" t="s">
        <v>3471</v>
      </c>
      <c r="E143" s="3098" t="s">
        <v>3391</v>
      </c>
      <c r="F143" s="3097" t="s">
        <v>3472</v>
      </c>
      <c r="G143" s="3097" t="s">
        <v>3474</v>
      </c>
      <c r="H143" s="3097">
        <v>84.69</v>
      </c>
      <c r="I143" s="3097">
        <v>2527930.44</v>
      </c>
      <c r="J143" s="3075">
        <f t="shared" si="17"/>
        <v>29849</v>
      </c>
      <c r="K143" s="3328"/>
      <c r="L143" s="3328"/>
      <c r="M143" s="3328"/>
    </row>
    <row r="144" spans="1:14">
      <c r="A144" s="3111" t="s">
        <v>4193</v>
      </c>
      <c r="B144" s="3329"/>
      <c r="C144" s="3096" t="s">
        <v>4180</v>
      </c>
      <c r="D144" s="3097" t="s">
        <v>3471</v>
      </c>
      <c r="E144" s="3097" t="s">
        <v>3393</v>
      </c>
      <c r="F144" s="3097" t="s">
        <v>3475</v>
      </c>
      <c r="G144" s="3097" t="s">
        <v>3475</v>
      </c>
      <c r="H144" s="3097">
        <v>83.46</v>
      </c>
      <c r="I144" s="3097">
        <v>2503200.7599999998</v>
      </c>
      <c r="J144" s="3075">
        <f t="shared" si="17"/>
        <v>29993</v>
      </c>
      <c r="K144" s="3328"/>
      <c r="L144" s="3328"/>
      <c r="M144" s="3328"/>
    </row>
    <row r="145" spans="1:14">
      <c r="A145" s="3111" t="s">
        <v>4193</v>
      </c>
      <c r="B145" s="3329"/>
      <c r="C145" s="3096" t="s">
        <v>3218</v>
      </c>
      <c r="D145" s="3097" t="s">
        <v>3219</v>
      </c>
      <c r="E145" s="3097" t="s">
        <v>3476</v>
      </c>
      <c r="F145" s="3097" t="s">
        <v>3477</v>
      </c>
      <c r="G145" s="3097" t="s">
        <v>3477</v>
      </c>
      <c r="H145" s="3097">
        <v>45.64</v>
      </c>
      <c r="I145" s="3097">
        <v>420000.27</v>
      </c>
      <c r="J145" s="3075">
        <f t="shared" si="17"/>
        <v>9202</v>
      </c>
      <c r="K145" s="3328"/>
      <c r="L145" s="3328"/>
      <c r="M145" s="3328"/>
    </row>
    <row r="146" spans="1:14">
      <c r="A146" s="3111" t="s">
        <v>4193</v>
      </c>
      <c r="B146" s="3329"/>
      <c r="C146" s="3096" t="s">
        <v>3218</v>
      </c>
      <c r="D146" s="3097" t="s">
        <v>3219</v>
      </c>
      <c r="E146" s="3097" t="s">
        <v>3478</v>
      </c>
      <c r="F146" s="3097" t="s">
        <v>3479</v>
      </c>
      <c r="G146" s="3097" t="s">
        <v>3479</v>
      </c>
      <c r="H146" s="3097">
        <v>45.64</v>
      </c>
      <c r="I146" s="3097">
        <v>420000.27</v>
      </c>
      <c r="J146" s="3075">
        <f t="shared" si="17"/>
        <v>9202</v>
      </c>
      <c r="K146" s="3328"/>
      <c r="L146" s="3328"/>
      <c r="M146" s="3328"/>
      <c r="N146" s="1405">
        <f t="shared" ref="N146" si="19">ROUND((I142+I143+I144+I145+I146)/10000,0)</f>
        <v>1439</v>
      </c>
    </row>
    <row r="147" spans="1:14">
      <c r="A147" s="3111" t="s">
        <v>4193</v>
      </c>
      <c r="B147" s="3329">
        <v>30</v>
      </c>
      <c r="C147" s="3096" t="s">
        <v>3209</v>
      </c>
      <c r="D147" s="3097" t="s">
        <v>3471</v>
      </c>
      <c r="E147" s="3097" t="s">
        <v>3235</v>
      </c>
      <c r="F147" s="3097" t="s">
        <v>3480</v>
      </c>
      <c r="G147" s="3097" t="s">
        <v>3481</v>
      </c>
      <c r="H147" s="3097">
        <v>134.91</v>
      </c>
      <c r="I147" s="3097">
        <v>7696304.3899999997</v>
      </c>
      <c r="J147" s="3075">
        <f>ROUND(I147/H147,0)</f>
        <v>57048</v>
      </c>
      <c r="K147" s="3328"/>
      <c r="L147" s="3328"/>
      <c r="M147" s="3328"/>
    </row>
    <row r="148" spans="1:14" ht="27">
      <c r="A148" s="3111" t="s">
        <v>4193</v>
      </c>
      <c r="B148" s="3329"/>
      <c r="C148" s="3096" t="s">
        <v>4180</v>
      </c>
      <c r="D148" s="3097" t="s">
        <v>3471</v>
      </c>
      <c r="E148" s="3098" t="s">
        <v>3238</v>
      </c>
      <c r="F148" s="3097" t="s">
        <v>3480</v>
      </c>
      <c r="G148" s="3097" t="s">
        <v>3482</v>
      </c>
      <c r="H148" s="3097">
        <v>84.83</v>
      </c>
      <c r="I148" s="3097">
        <v>2532167.02</v>
      </c>
      <c r="J148" s="3075">
        <f t="shared" si="17"/>
        <v>29850</v>
      </c>
      <c r="K148" s="3328"/>
      <c r="L148" s="3328"/>
      <c r="M148" s="3328"/>
    </row>
    <row r="149" spans="1:14">
      <c r="A149" s="3111" t="s">
        <v>4193</v>
      </c>
      <c r="B149" s="3329"/>
      <c r="C149" s="3096" t="s">
        <v>4180</v>
      </c>
      <c r="D149" s="3097" t="s">
        <v>3471</v>
      </c>
      <c r="E149" s="3097" t="s">
        <v>3240</v>
      </c>
      <c r="F149" s="3097" t="s">
        <v>3483</v>
      </c>
      <c r="G149" s="3097" t="s">
        <v>3483</v>
      </c>
      <c r="H149" s="3097">
        <v>84.18</v>
      </c>
      <c r="I149" s="3097">
        <v>2524807.48</v>
      </c>
      <c r="J149" s="3075">
        <f t="shared" si="17"/>
        <v>29993</v>
      </c>
      <c r="K149" s="3328"/>
      <c r="L149" s="3328"/>
      <c r="M149" s="3328"/>
    </row>
    <row r="150" spans="1:14">
      <c r="A150" s="3111" t="s">
        <v>4193</v>
      </c>
      <c r="B150" s="3329"/>
      <c r="C150" s="3096" t="s">
        <v>3218</v>
      </c>
      <c r="D150" s="3097" t="s">
        <v>3219</v>
      </c>
      <c r="E150" s="3097" t="s">
        <v>3484</v>
      </c>
      <c r="F150" s="3097" t="s">
        <v>3485</v>
      </c>
      <c r="G150" s="3097" t="s">
        <v>3485</v>
      </c>
      <c r="H150" s="3097">
        <v>45.64</v>
      </c>
      <c r="I150" s="3097">
        <v>420000.27</v>
      </c>
      <c r="J150" s="3075">
        <f t="shared" si="17"/>
        <v>9202</v>
      </c>
      <c r="K150" s="3328"/>
      <c r="L150" s="3328"/>
      <c r="M150" s="3328"/>
    </row>
    <row r="151" spans="1:14">
      <c r="A151" s="3111" t="s">
        <v>4193</v>
      </c>
      <c r="B151" s="3329"/>
      <c r="C151" s="3096" t="s">
        <v>3218</v>
      </c>
      <c r="D151" s="3097" t="s">
        <v>3219</v>
      </c>
      <c r="E151" s="3097" t="s">
        <v>3486</v>
      </c>
      <c r="F151" s="3097" t="s">
        <v>3487</v>
      </c>
      <c r="G151" s="3097" t="s">
        <v>3487</v>
      </c>
      <c r="H151" s="3097">
        <v>45.64</v>
      </c>
      <c r="I151" s="3097">
        <v>420000.27</v>
      </c>
      <c r="J151" s="3075">
        <f t="shared" si="17"/>
        <v>9202</v>
      </c>
      <c r="K151" s="3328"/>
      <c r="L151" s="3328"/>
      <c r="M151" s="3328"/>
      <c r="N151" s="1405">
        <f t="shared" si="12"/>
        <v>1359</v>
      </c>
    </row>
    <row r="152" spans="1:14">
      <c r="A152" s="3111" t="s">
        <v>4193</v>
      </c>
      <c r="B152" s="3329">
        <v>31</v>
      </c>
      <c r="C152" s="3096" t="s">
        <v>3209</v>
      </c>
      <c r="D152" s="3097" t="s">
        <v>3488</v>
      </c>
      <c r="E152" s="3097" t="s">
        <v>3211</v>
      </c>
      <c r="F152" s="3097" t="s">
        <v>3489</v>
      </c>
      <c r="G152" s="3097" t="s">
        <v>3490</v>
      </c>
      <c r="H152" s="3097">
        <v>134.95999999999998</v>
      </c>
      <c r="I152" s="3097">
        <v>7531083.8099999996</v>
      </c>
      <c r="J152" s="3075">
        <f>ROUND(I152/H152,0)</f>
        <v>55802</v>
      </c>
      <c r="K152" s="3328">
        <v>42</v>
      </c>
      <c r="L152" s="3328">
        <v>6</v>
      </c>
      <c r="M152" s="3328">
        <v>2</v>
      </c>
    </row>
    <row r="153" spans="1:14" ht="27">
      <c r="A153" s="3111" t="s">
        <v>4193</v>
      </c>
      <c r="B153" s="3329"/>
      <c r="C153" s="3096" t="s">
        <v>4180</v>
      </c>
      <c r="D153" s="3097" t="s">
        <v>3488</v>
      </c>
      <c r="E153" s="3098" t="s">
        <v>3214</v>
      </c>
      <c r="F153" s="3097" t="s">
        <v>3489</v>
      </c>
      <c r="G153" s="3097" t="s">
        <v>3491</v>
      </c>
      <c r="H153" s="3097">
        <v>84.86</v>
      </c>
      <c r="I153" s="3097">
        <v>2533029.42</v>
      </c>
      <c r="J153" s="3075">
        <f t="shared" si="17"/>
        <v>29850</v>
      </c>
      <c r="K153" s="3328"/>
      <c r="L153" s="3328"/>
      <c r="M153" s="3328"/>
    </row>
    <row r="154" spans="1:14">
      <c r="A154" s="3111" t="s">
        <v>4193</v>
      </c>
      <c r="B154" s="3329"/>
      <c r="C154" s="3096" t="s">
        <v>4180</v>
      </c>
      <c r="D154" s="3097" t="s">
        <v>3488</v>
      </c>
      <c r="E154" s="3097" t="s">
        <v>3216</v>
      </c>
      <c r="F154" s="3097" t="s">
        <v>3492</v>
      </c>
      <c r="G154" s="3097" t="s">
        <v>3492</v>
      </c>
      <c r="H154" s="3097">
        <v>84.19</v>
      </c>
      <c r="I154" s="3097">
        <v>2525106.46</v>
      </c>
      <c r="J154" s="3075">
        <f t="shared" si="17"/>
        <v>29993</v>
      </c>
      <c r="K154" s="3328"/>
      <c r="L154" s="3328"/>
      <c r="M154" s="3328"/>
    </row>
    <row r="155" spans="1:14">
      <c r="A155" s="3111" t="s">
        <v>4193</v>
      </c>
      <c r="B155" s="3329"/>
      <c r="C155" s="3096" t="s">
        <v>3218</v>
      </c>
      <c r="D155" s="3097" t="s">
        <v>3219</v>
      </c>
      <c r="E155" s="3097" t="s">
        <v>3493</v>
      </c>
      <c r="F155" s="3097" t="s">
        <v>3494</v>
      </c>
      <c r="G155" s="3097" t="s">
        <v>3494</v>
      </c>
      <c r="H155" s="3097">
        <v>45.64</v>
      </c>
      <c r="I155" s="3097">
        <v>420000.27</v>
      </c>
      <c r="J155" s="3075">
        <f t="shared" si="17"/>
        <v>9202</v>
      </c>
      <c r="K155" s="3328"/>
      <c r="L155" s="3328"/>
      <c r="M155" s="3328"/>
    </row>
    <row r="156" spans="1:14">
      <c r="A156" s="3111" t="s">
        <v>4193</v>
      </c>
      <c r="B156" s="3329"/>
      <c r="C156" s="3096" t="s">
        <v>3218</v>
      </c>
      <c r="D156" s="3097" t="s">
        <v>3219</v>
      </c>
      <c r="E156" s="3097" t="s">
        <v>3495</v>
      </c>
      <c r="F156" s="3097" t="s">
        <v>3496</v>
      </c>
      <c r="G156" s="3097" t="s">
        <v>3496</v>
      </c>
      <c r="H156" s="3097">
        <v>45.64</v>
      </c>
      <c r="I156" s="3097">
        <v>420000.27</v>
      </c>
      <c r="J156" s="3075">
        <f t="shared" si="17"/>
        <v>9202</v>
      </c>
      <c r="K156" s="3328"/>
      <c r="L156" s="3328"/>
      <c r="M156" s="3328"/>
      <c r="N156" s="1405">
        <f t="shared" ref="N156" si="20">ROUND((I152+I153+I154+I155+I156)/10000,0)</f>
        <v>1343</v>
      </c>
    </row>
    <row r="157" spans="1:14">
      <c r="A157" s="3111" t="s">
        <v>4193</v>
      </c>
      <c r="B157" s="3329">
        <v>32</v>
      </c>
      <c r="C157" s="3096" t="s">
        <v>3209</v>
      </c>
      <c r="D157" s="3097" t="s">
        <v>3488</v>
      </c>
      <c r="E157" s="3097" t="s">
        <v>3224</v>
      </c>
      <c r="F157" s="3097" t="s">
        <v>3497</v>
      </c>
      <c r="G157" s="3097" t="s">
        <v>3498</v>
      </c>
      <c r="H157" s="3097">
        <v>135.15</v>
      </c>
      <c r="I157" s="3097">
        <v>7925701.46</v>
      </c>
      <c r="J157" s="3075">
        <f>ROUND(I157/H157,0)</f>
        <v>58644</v>
      </c>
      <c r="K157" s="3328"/>
      <c r="L157" s="3328"/>
      <c r="M157" s="3328"/>
    </row>
    <row r="158" spans="1:14" ht="27">
      <c r="A158" s="3111" t="s">
        <v>4193</v>
      </c>
      <c r="B158" s="3329"/>
      <c r="C158" s="3096" t="s">
        <v>4180</v>
      </c>
      <c r="D158" s="3097" t="s">
        <v>3488</v>
      </c>
      <c r="E158" s="3098" t="s">
        <v>3227</v>
      </c>
      <c r="F158" s="3097" t="s">
        <v>3497</v>
      </c>
      <c r="G158" s="3097" t="s">
        <v>3499</v>
      </c>
      <c r="H158" s="3097">
        <v>85.14</v>
      </c>
      <c r="I158" s="3097">
        <v>2541445.1800000002</v>
      </c>
      <c r="J158" s="3075">
        <f t="shared" si="17"/>
        <v>29850</v>
      </c>
      <c r="K158" s="3328"/>
      <c r="L158" s="3328"/>
      <c r="M158" s="3328"/>
    </row>
    <row r="159" spans="1:14">
      <c r="A159" s="3111" t="s">
        <v>4193</v>
      </c>
      <c r="B159" s="3329"/>
      <c r="C159" s="3096" t="s">
        <v>4180</v>
      </c>
      <c r="D159" s="3097" t="s">
        <v>3488</v>
      </c>
      <c r="E159" s="3097" t="s">
        <v>3229</v>
      </c>
      <c r="F159" s="3097" t="s">
        <v>3500</v>
      </c>
      <c r="G159" s="3097" t="s">
        <v>3500</v>
      </c>
      <c r="H159" s="3097">
        <v>84.19</v>
      </c>
      <c r="I159" s="3097">
        <v>2525106.46</v>
      </c>
      <c r="J159" s="3075">
        <f t="shared" si="17"/>
        <v>29993</v>
      </c>
      <c r="K159" s="3328"/>
      <c r="L159" s="3328"/>
      <c r="M159" s="3328"/>
    </row>
    <row r="160" spans="1:14">
      <c r="A160" s="3111" t="s">
        <v>4193</v>
      </c>
      <c r="B160" s="3329"/>
      <c r="C160" s="3096" t="s">
        <v>3218</v>
      </c>
      <c r="D160" s="3097" t="s">
        <v>3219</v>
      </c>
      <c r="E160" s="3097" t="s">
        <v>3501</v>
      </c>
      <c r="F160" s="3097" t="s">
        <v>3502</v>
      </c>
      <c r="G160" s="3097" t="s">
        <v>3502</v>
      </c>
      <c r="H160" s="3097">
        <v>45.64</v>
      </c>
      <c r="I160" s="3097">
        <v>420000.27</v>
      </c>
      <c r="J160" s="3075">
        <f t="shared" si="17"/>
        <v>9202</v>
      </c>
      <c r="K160" s="3328"/>
      <c r="L160" s="3328"/>
      <c r="M160" s="3328"/>
    </row>
    <row r="161" spans="1:14">
      <c r="A161" s="3111" t="s">
        <v>4193</v>
      </c>
      <c r="B161" s="3329"/>
      <c r="C161" s="3096" t="s">
        <v>3218</v>
      </c>
      <c r="D161" s="3097" t="s">
        <v>3219</v>
      </c>
      <c r="E161" s="3097" t="s">
        <v>3503</v>
      </c>
      <c r="F161" s="3097" t="s">
        <v>3504</v>
      </c>
      <c r="G161" s="3097" t="s">
        <v>3504</v>
      </c>
      <c r="H161" s="3097">
        <v>45.64</v>
      </c>
      <c r="I161" s="3097">
        <v>420000.27</v>
      </c>
      <c r="J161" s="3075">
        <f t="shared" si="17"/>
        <v>9202</v>
      </c>
      <c r="K161" s="3328"/>
      <c r="L161" s="3328"/>
      <c r="M161" s="3328"/>
      <c r="N161" s="1405">
        <f t="shared" ref="N161:N221" si="21">ROUND((I157+I158+I159+I160+I161)/10000,0)</f>
        <v>1383</v>
      </c>
    </row>
    <row r="162" spans="1:14">
      <c r="A162" s="3111" t="s">
        <v>4193</v>
      </c>
      <c r="B162" s="3329">
        <v>33</v>
      </c>
      <c r="C162" s="3096" t="s">
        <v>3209</v>
      </c>
      <c r="D162" s="3097" t="s">
        <v>3505</v>
      </c>
      <c r="E162" s="3097" t="s">
        <v>3224</v>
      </c>
      <c r="F162" s="3097" t="s">
        <v>3506</v>
      </c>
      <c r="G162" s="3097" t="s">
        <v>3507</v>
      </c>
      <c r="H162" s="3097">
        <v>135.15</v>
      </c>
      <c r="I162" s="3097">
        <v>7925701.46</v>
      </c>
      <c r="J162" s="3075">
        <f>ROUND(I162/H162,0)</f>
        <v>58644</v>
      </c>
      <c r="K162" s="3328">
        <v>43</v>
      </c>
      <c r="L162" s="3328">
        <v>6</v>
      </c>
      <c r="M162" s="3328">
        <v>2</v>
      </c>
    </row>
    <row r="163" spans="1:14" ht="27">
      <c r="A163" s="3111" t="s">
        <v>4193</v>
      </c>
      <c r="B163" s="3329"/>
      <c r="C163" s="3096" t="s">
        <v>4180</v>
      </c>
      <c r="D163" s="3097" t="s">
        <v>3505</v>
      </c>
      <c r="E163" s="3098" t="s">
        <v>3227</v>
      </c>
      <c r="F163" s="3097" t="s">
        <v>3506</v>
      </c>
      <c r="G163" s="3097" t="s">
        <v>3508</v>
      </c>
      <c r="H163" s="3097">
        <v>85.14</v>
      </c>
      <c r="I163" s="3097">
        <v>2541445.1800000002</v>
      </c>
      <c r="J163" s="3075">
        <f t="shared" si="17"/>
        <v>29850</v>
      </c>
      <c r="K163" s="3328"/>
      <c r="L163" s="3328"/>
      <c r="M163" s="3328"/>
    </row>
    <row r="164" spans="1:14">
      <c r="A164" s="3111" t="s">
        <v>4193</v>
      </c>
      <c r="B164" s="3329"/>
      <c r="C164" s="3096" t="s">
        <v>4180</v>
      </c>
      <c r="D164" s="3097" t="s">
        <v>3505</v>
      </c>
      <c r="E164" s="3097" t="s">
        <v>3229</v>
      </c>
      <c r="F164" s="3097" t="s">
        <v>3509</v>
      </c>
      <c r="G164" s="3097" t="s">
        <v>3509</v>
      </c>
      <c r="H164" s="3097">
        <v>84.19</v>
      </c>
      <c r="I164" s="3097">
        <v>2525106.46</v>
      </c>
      <c r="J164" s="3075">
        <f t="shared" si="17"/>
        <v>29993</v>
      </c>
      <c r="K164" s="3328"/>
      <c r="L164" s="3328"/>
      <c r="M164" s="3328"/>
    </row>
    <row r="165" spans="1:14">
      <c r="A165" s="3111" t="s">
        <v>4193</v>
      </c>
      <c r="B165" s="3329"/>
      <c r="C165" s="3096" t="s">
        <v>3218</v>
      </c>
      <c r="D165" s="3097" t="s">
        <v>3219</v>
      </c>
      <c r="E165" s="3097" t="s">
        <v>3510</v>
      </c>
      <c r="F165" s="3097" t="s">
        <v>3511</v>
      </c>
      <c r="G165" s="3097" t="s">
        <v>3511</v>
      </c>
      <c r="H165" s="3097">
        <v>45.64</v>
      </c>
      <c r="I165" s="3097">
        <v>420000.27</v>
      </c>
      <c r="J165" s="3075">
        <f t="shared" si="17"/>
        <v>9202</v>
      </c>
      <c r="K165" s="3328"/>
      <c r="L165" s="3328"/>
      <c r="M165" s="3328"/>
    </row>
    <row r="166" spans="1:14">
      <c r="A166" s="3111" t="s">
        <v>4193</v>
      </c>
      <c r="B166" s="3329"/>
      <c r="C166" s="3096" t="s">
        <v>3218</v>
      </c>
      <c r="D166" s="3097" t="s">
        <v>3219</v>
      </c>
      <c r="E166" s="3097" t="s">
        <v>3512</v>
      </c>
      <c r="F166" s="3097" t="s">
        <v>3513</v>
      </c>
      <c r="G166" s="3097" t="s">
        <v>3513</v>
      </c>
      <c r="H166" s="3097">
        <v>45.64</v>
      </c>
      <c r="I166" s="3097">
        <v>420000.27</v>
      </c>
      <c r="J166" s="3075">
        <f t="shared" si="17"/>
        <v>9202</v>
      </c>
      <c r="K166" s="3328"/>
      <c r="L166" s="3328"/>
      <c r="M166" s="3328"/>
      <c r="N166" s="1405">
        <f t="shared" ref="N166" si="22">ROUND((I162+I163+I164+I165+I166)/10000,0)</f>
        <v>1383</v>
      </c>
    </row>
    <row r="167" spans="1:14">
      <c r="A167" s="3111" t="s">
        <v>4193</v>
      </c>
      <c r="B167" s="3329">
        <v>34</v>
      </c>
      <c r="C167" s="3096" t="s">
        <v>3209</v>
      </c>
      <c r="D167" s="3097" t="s">
        <v>3505</v>
      </c>
      <c r="E167" s="3097" t="s">
        <v>3235</v>
      </c>
      <c r="F167" s="3097" t="s">
        <v>3514</v>
      </c>
      <c r="G167" s="3097" t="s">
        <v>3515</v>
      </c>
      <c r="H167" s="3097">
        <v>134.95999999999998</v>
      </c>
      <c r="I167" s="3097">
        <v>7699144.0999999996</v>
      </c>
      <c r="J167" s="3075">
        <f>ROUND(I167/H167,0)</f>
        <v>57048</v>
      </c>
      <c r="K167" s="3328"/>
      <c r="L167" s="3328"/>
      <c r="M167" s="3328"/>
    </row>
    <row r="168" spans="1:14" ht="27">
      <c r="A168" s="3111" t="s">
        <v>4193</v>
      </c>
      <c r="B168" s="3329"/>
      <c r="C168" s="3096" t="s">
        <v>4180</v>
      </c>
      <c r="D168" s="3097" t="s">
        <v>3505</v>
      </c>
      <c r="E168" s="3098" t="s">
        <v>3238</v>
      </c>
      <c r="F168" s="3097" t="s">
        <v>3514</v>
      </c>
      <c r="G168" s="3097" t="s">
        <v>3516</v>
      </c>
      <c r="H168" s="3097">
        <v>84.86</v>
      </c>
      <c r="I168" s="3097">
        <v>2533029.42</v>
      </c>
      <c r="J168" s="3075">
        <f t="shared" si="17"/>
        <v>29850</v>
      </c>
      <c r="K168" s="3328"/>
      <c r="L168" s="3328"/>
      <c r="M168" s="3328"/>
    </row>
    <row r="169" spans="1:14">
      <c r="A169" s="3111" t="s">
        <v>4193</v>
      </c>
      <c r="B169" s="3329"/>
      <c r="C169" s="3096" t="s">
        <v>4180</v>
      </c>
      <c r="D169" s="3097" t="s">
        <v>3505</v>
      </c>
      <c r="E169" s="3097" t="s">
        <v>3240</v>
      </c>
      <c r="F169" s="3097" t="s">
        <v>3517</v>
      </c>
      <c r="G169" s="3097" t="s">
        <v>3517</v>
      </c>
      <c r="H169" s="3097">
        <v>84.19</v>
      </c>
      <c r="I169" s="3097">
        <v>2525106.46</v>
      </c>
      <c r="J169" s="3075">
        <f t="shared" si="17"/>
        <v>29993</v>
      </c>
      <c r="K169" s="3328"/>
      <c r="L169" s="3328"/>
      <c r="M169" s="3328"/>
    </row>
    <row r="170" spans="1:14">
      <c r="A170" s="3111" t="s">
        <v>4193</v>
      </c>
      <c r="B170" s="3329"/>
      <c r="C170" s="3096" t="s">
        <v>3218</v>
      </c>
      <c r="D170" s="3097" t="s">
        <v>3219</v>
      </c>
      <c r="E170" s="3097" t="s">
        <v>3518</v>
      </c>
      <c r="F170" s="3097" t="s">
        <v>3519</v>
      </c>
      <c r="G170" s="3097" t="s">
        <v>3519</v>
      </c>
      <c r="H170" s="3097">
        <v>45.64</v>
      </c>
      <c r="I170" s="3097">
        <v>420000.27</v>
      </c>
      <c r="J170" s="3075">
        <f t="shared" si="17"/>
        <v>9202</v>
      </c>
      <c r="K170" s="3328"/>
      <c r="L170" s="3328"/>
      <c r="M170" s="3328"/>
    </row>
    <row r="171" spans="1:14">
      <c r="A171" s="3111" t="s">
        <v>4193</v>
      </c>
      <c r="B171" s="3329"/>
      <c r="C171" s="3096" t="s">
        <v>3218</v>
      </c>
      <c r="D171" s="3097" t="s">
        <v>3219</v>
      </c>
      <c r="E171" s="3097" t="s">
        <v>3520</v>
      </c>
      <c r="F171" s="3097" t="s">
        <v>3521</v>
      </c>
      <c r="G171" s="3097" t="s">
        <v>3521</v>
      </c>
      <c r="H171" s="3097">
        <v>45.64</v>
      </c>
      <c r="I171" s="3097">
        <v>420000.27</v>
      </c>
      <c r="J171" s="3075">
        <f t="shared" si="17"/>
        <v>9202</v>
      </c>
      <c r="K171" s="3328"/>
      <c r="L171" s="3328"/>
      <c r="M171" s="3328"/>
      <c r="N171" s="1405">
        <f t="shared" si="21"/>
        <v>1360</v>
      </c>
    </row>
    <row r="172" spans="1:14">
      <c r="A172" s="3111" t="s">
        <v>4193</v>
      </c>
      <c r="B172" s="3329">
        <v>35</v>
      </c>
      <c r="C172" s="3096" t="s">
        <v>3209</v>
      </c>
      <c r="D172" s="3097" t="s">
        <v>3522</v>
      </c>
      <c r="E172" s="3097" t="s">
        <v>3224</v>
      </c>
      <c r="F172" s="3097" t="s">
        <v>3523</v>
      </c>
      <c r="G172" s="3097" t="s">
        <v>3524</v>
      </c>
      <c r="H172" s="3097">
        <v>135.63</v>
      </c>
      <c r="I172" s="3097">
        <v>7841013.0800000001</v>
      </c>
      <c r="J172" s="3075">
        <f>ROUND(I172/H172,0)</f>
        <v>57812</v>
      </c>
      <c r="K172" s="3328">
        <v>45</v>
      </c>
      <c r="L172" s="3328">
        <v>4</v>
      </c>
      <c r="M172" s="3328">
        <v>1</v>
      </c>
    </row>
    <row r="173" spans="1:14" ht="27">
      <c r="A173" s="3111" t="s">
        <v>4193</v>
      </c>
      <c r="B173" s="3329"/>
      <c r="C173" s="3096" t="s">
        <v>4180</v>
      </c>
      <c r="D173" s="3097" t="s">
        <v>3522</v>
      </c>
      <c r="E173" s="3098" t="s">
        <v>3227</v>
      </c>
      <c r="F173" s="3097" t="s">
        <v>3523</v>
      </c>
      <c r="G173" s="3097" t="s">
        <v>3525</v>
      </c>
      <c r="H173" s="3097">
        <v>85.44</v>
      </c>
      <c r="I173" s="3097">
        <v>2546879.25</v>
      </c>
      <c r="J173" s="3075">
        <f t="shared" si="17"/>
        <v>29809</v>
      </c>
      <c r="K173" s="3328"/>
      <c r="L173" s="3328"/>
      <c r="M173" s="3328"/>
    </row>
    <row r="174" spans="1:14">
      <c r="A174" s="3111" t="s">
        <v>4193</v>
      </c>
      <c r="B174" s="3329"/>
      <c r="C174" s="3096" t="s">
        <v>4180</v>
      </c>
      <c r="D174" s="3097" t="s">
        <v>3522</v>
      </c>
      <c r="E174" s="3097" t="s">
        <v>3229</v>
      </c>
      <c r="F174" s="3097" t="s">
        <v>3526</v>
      </c>
      <c r="G174" s="3097" t="s">
        <v>3526</v>
      </c>
      <c r="H174" s="3097">
        <v>84.639999999999986</v>
      </c>
      <c r="I174" s="3097">
        <v>2529291.2000000002</v>
      </c>
      <c r="J174" s="3075">
        <f t="shared" si="17"/>
        <v>29883</v>
      </c>
      <c r="K174" s="3328"/>
      <c r="L174" s="3328"/>
      <c r="M174" s="3328"/>
    </row>
    <row r="175" spans="1:14">
      <c r="A175" s="3111" t="s">
        <v>4193</v>
      </c>
      <c r="B175" s="3329"/>
      <c r="C175" s="3096" t="s">
        <v>3218</v>
      </c>
      <c r="D175" s="3097" t="s">
        <v>3219</v>
      </c>
      <c r="E175" s="3097" t="s">
        <v>3527</v>
      </c>
      <c r="F175" s="3097" t="s">
        <v>3528</v>
      </c>
      <c r="G175" s="3097" t="s">
        <v>3528</v>
      </c>
      <c r="H175" s="3097">
        <v>45.64</v>
      </c>
      <c r="I175" s="3097">
        <v>420000.27</v>
      </c>
      <c r="J175" s="3075">
        <f t="shared" si="17"/>
        <v>9202</v>
      </c>
      <c r="K175" s="3328"/>
      <c r="L175" s="3328"/>
      <c r="M175" s="3328"/>
    </row>
    <row r="176" spans="1:14">
      <c r="A176" s="3111" t="s">
        <v>4193</v>
      </c>
      <c r="B176" s="3329"/>
      <c r="C176" s="3096" t="s">
        <v>3218</v>
      </c>
      <c r="D176" s="3097" t="s">
        <v>3219</v>
      </c>
      <c r="E176" s="3097" t="s">
        <v>3529</v>
      </c>
      <c r="F176" s="3097" t="s">
        <v>3530</v>
      </c>
      <c r="G176" s="3097" t="s">
        <v>3530</v>
      </c>
      <c r="H176" s="3097">
        <v>45.64</v>
      </c>
      <c r="I176" s="3097">
        <v>420000.27</v>
      </c>
      <c r="J176" s="3075">
        <f t="shared" si="17"/>
        <v>9202</v>
      </c>
      <c r="K176" s="3328"/>
      <c r="L176" s="3328"/>
      <c r="M176" s="3328"/>
      <c r="N176" s="1405">
        <f t="shared" ref="N176" si="23">ROUND((I172+I173+I174+I175+I176)/10000,0)</f>
        <v>1376</v>
      </c>
    </row>
    <row r="177" spans="1:14">
      <c r="A177" s="3111" t="s">
        <v>4193</v>
      </c>
      <c r="B177" s="3329">
        <v>36</v>
      </c>
      <c r="C177" s="3096" t="s">
        <v>3209</v>
      </c>
      <c r="D177" s="3097" t="s">
        <v>3531</v>
      </c>
      <c r="E177" s="3097" t="s">
        <v>3235</v>
      </c>
      <c r="F177" s="3097" t="s">
        <v>3532</v>
      </c>
      <c r="G177" s="3097" t="s">
        <v>3533</v>
      </c>
      <c r="H177" s="3097">
        <v>139.39000000000001</v>
      </c>
      <c r="I177" s="3097">
        <v>8794550</v>
      </c>
      <c r="J177" s="3075">
        <f>ROUND(I177/H177,0)</f>
        <v>63093</v>
      </c>
      <c r="K177" s="3328">
        <v>46</v>
      </c>
      <c r="L177" s="3328">
        <v>4</v>
      </c>
      <c r="M177" s="3328">
        <v>3</v>
      </c>
    </row>
    <row r="178" spans="1:14" ht="27">
      <c r="A178" s="3111" t="s">
        <v>4193</v>
      </c>
      <c r="B178" s="3329"/>
      <c r="C178" s="3096" t="s">
        <v>4180</v>
      </c>
      <c r="D178" s="3097" t="s">
        <v>3531</v>
      </c>
      <c r="E178" s="3098" t="s">
        <v>3238</v>
      </c>
      <c r="F178" s="3097" t="s">
        <v>3532</v>
      </c>
      <c r="G178" s="3097" t="s">
        <v>3534</v>
      </c>
      <c r="H178" s="3097">
        <v>87.13</v>
      </c>
      <c r="I178" s="3097">
        <v>2597234.64</v>
      </c>
      <c r="J178" s="3075">
        <f t="shared" si="17"/>
        <v>29809</v>
      </c>
      <c r="K178" s="3328"/>
      <c r="L178" s="3328"/>
      <c r="M178" s="3328"/>
    </row>
    <row r="179" spans="1:14">
      <c r="A179" s="3111" t="s">
        <v>4193</v>
      </c>
      <c r="B179" s="3329"/>
      <c r="C179" s="3096" t="s">
        <v>4180</v>
      </c>
      <c r="D179" s="3097" t="s">
        <v>3531</v>
      </c>
      <c r="E179" s="3097" t="s">
        <v>3240</v>
      </c>
      <c r="F179" s="3097" t="s">
        <v>3535</v>
      </c>
      <c r="G179" s="3097" t="s">
        <v>3535</v>
      </c>
      <c r="H179" s="3097">
        <v>85.14</v>
      </c>
      <c r="I179" s="3097">
        <v>2552401.84</v>
      </c>
      <c r="J179" s="3075">
        <f t="shared" si="17"/>
        <v>29979</v>
      </c>
      <c r="K179" s="3328"/>
      <c r="L179" s="3328"/>
      <c r="M179" s="3328"/>
    </row>
    <row r="180" spans="1:14">
      <c r="A180" s="3111" t="s">
        <v>4193</v>
      </c>
      <c r="B180" s="3329"/>
      <c r="C180" s="3096" t="s">
        <v>3218</v>
      </c>
      <c r="D180" s="3097" t="s">
        <v>3219</v>
      </c>
      <c r="E180" s="3097" t="s">
        <v>3536</v>
      </c>
      <c r="F180" s="3097" t="s">
        <v>3537</v>
      </c>
      <c r="G180" s="3097" t="s">
        <v>3537</v>
      </c>
      <c r="H180" s="3097">
        <v>45.64</v>
      </c>
      <c r="I180" s="3097">
        <v>420000.27</v>
      </c>
      <c r="J180" s="3075">
        <f t="shared" si="17"/>
        <v>9202</v>
      </c>
      <c r="K180" s="3328"/>
      <c r="L180" s="3328"/>
      <c r="M180" s="3328"/>
    </row>
    <row r="181" spans="1:14">
      <c r="A181" s="3111" t="s">
        <v>4193</v>
      </c>
      <c r="B181" s="3329"/>
      <c r="C181" s="3096" t="s">
        <v>3218</v>
      </c>
      <c r="D181" s="3097" t="s">
        <v>3219</v>
      </c>
      <c r="E181" s="3097" t="s">
        <v>3538</v>
      </c>
      <c r="F181" s="3097" t="s">
        <v>3539</v>
      </c>
      <c r="G181" s="3097" t="s">
        <v>3539</v>
      </c>
      <c r="H181" s="3097">
        <v>45.64</v>
      </c>
      <c r="I181" s="3097">
        <v>420000.27</v>
      </c>
      <c r="J181" s="3075">
        <f t="shared" si="17"/>
        <v>9202</v>
      </c>
      <c r="K181" s="3328"/>
      <c r="L181" s="3328"/>
      <c r="M181" s="3328"/>
      <c r="N181" s="1405">
        <f t="shared" si="21"/>
        <v>1478</v>
      </c>
    </row>
    <row r="182" spans="1:14">
      <c r="A182" s="3111" t="s">
        <v>4193</v>
      </c>
      <c r="B182" s="3329">
        <v>37</v>
      </c>
      <c r="C182" s="3096" t="s">
        <v>3209</v>
      </c>
      <c r="D182" s="3097" t="s">
        <v>3531</v>
      </c>
      <c r="E182" s="3097" t="s">
        <v>3224</v>
      </c>
      <c r="F182" s="3097" t="s">
        <v>3540</v>
      </c>
      <c r="G182" s="3097" t="s">
        <v>3541</v>
      </c>
      <c r="H182" s="3097">
        <v>139.38</v>
      </c>
      <c r="I182" s="3097">
        <v>8794550.4600000009</v>
      </c>
      <c r="J182" s="3075">
        <f>ROUND(I182/H182,0)</f>
        <v>63098</v>
      </c>
      <c r="K182" s="3328"/>
      <c r="L182" s="3328"/>
      <c r="M182" s="3328"/>
    </row>
    <row r="183" spans="1:14" ht="27">
      <c r="A183" s="3111" t="s">
        <v>4193</v>
      </c>
      <c r="B183" s="3329"/>
      <c r="C183" s="3096" t="s">
        <v>4180</v>
      </c>
      <c r="D183" s="3097" t="s">
        <v>3531</v>
      </c>
      <c r="E183" s="3098" t="s">
        <v>3227</v>
      </c>
      <c r="F183" s="3097" t="s">
        <v>3540</v>
      </c>
      <c r="G183" s="3097" t="s">
        <v>3542</v>
      </c>
      <c r="H183" s="3097">
        <v>87.28</v>
      </c>
      <c r="I183" s="3097">
        <v>2601429.2799999998</v>
      </c>
      <c r="J183" s="3075">
        <f t="shared" si="17"/>
        <v>29806</v>
      </c>
      <c r="K183" s="3328"/>
      <c r="L183" s="3328"/>
      <c r="M183" s="3328"/>
    </row>
    <row r="184" spans="1:14">
      <c r="A184" s="3111" t="s">
        <v>4193</v>
      </c>
      <c r="B184" s="3329"/>
      <c r="C184" s="3096" t="s">
        <v>4180</v>
      </c>
      <c r="D184" s="3097" t="s">
        <v>3531</v>
      </c>
      <c r="E184" s="3097" t="s">
        <v>3229</v>
      </c>
      <c r="F184" s="3097" t="s">
        <v>3543</v>
      </c>
      <c r="G184" s="3097" t="s">
        <v>3543</v>
      </c>
      <c r="H184" s="3097">
        <v>85.14</v>
      </c>
      <c r="I184" s="3097">
        <v>2552401.84</v>
      </c>
      <c r="J184" s="3075">
        <f t="shared" si="17"/>
        <v>29979</v>
      </c>
      <c r="K184" s="3328"/>
      <c r="L184" s="3328"/>
      <c r="M184" s="3328"/>
    </row>
    <row r="185" spans="1:14">
      <c r="A185" s="3111" t="s">
        <v>4193</v>
      </c>
      <c r="B185" s="3329"/>
      <c r="C185" s="3096" t="s">
        <v>3218</v>
      </c>
      <c r="D185" s="3097" t="s">
        <v>3219</v>
      </c>
      <c r="E185" s="3097" t="s">
        <v>3544</v>
      </c>
      <c r="F185" s="3097" t="s">
        <v>3545</v>
      </c>
      <c r="G185" s="3097" t="s">
        <v>3545</v>
      </c>
      <c r="H185" s="3097">
        <v>45.64</v>
      </c>
      <c r="I185" s="3097">
        <v>420000.27</v>
      </c>
      <c r="J185" s="3075">
        <f t="shared" si="17"/>
        <v>9202</v>
      </c>
      <c r="K185" s="3328"/>
      <c r="L185" s="3328"/>
      <c r="M185" s="3328"/>
    </row>
    <row r="186" spans="1:14">
      <c r="A186" s="3111" t="s">
        <v>4193</v>
      </c>
      <c r="B186" s="3329"/>
      <c r="C186" s="3096" t="s">
        <v>3218</v>
      </c>
      <c r="D186" s="3097" t="s">
        <v>3219</v>
      </c>
      <c r="E186" s="3097" t="s">
        <v>3546</v>
      </c>
      <c r="F186" s="3097" t="s">
        <v>3547</v>
      </c>
      <c r="G186" s="3097" t="s">
        <v>3547</v>
      </c>
      <c r="H186" s="3097">
        <v>45.64</v>
      </c>
      <c r="I186" s="3097">
        <v>420000.27</v>
      </c>
      <c r="J186" s="3075">
        <f t="shared" si="17"/>
        <v>9202</v>
      </c>
      <c r="K186" s="3328"/>
      <c r="L186" s="3328"/>
      <c r="M186" s="3328"/>
      <c r="N186" s="1405">
        <f t="shared" ref="N186" si="24">ROUND((I182+I183+I184+I185+I186)/10000,0)</f>
        <v>1479</v>
      </c>
    </row>
    <row r="187" spans="1:14">
      <c r="A187" s="3111" t="s">
        <v>4193</v>
      </c>
      <c r="B187" s="3329">
        <v>38</v>
      </c>
      <c r="C187" s="3096" t="s">
        <v>3209</v>
      </c>
      <c r="D187" s="3097" t="s">
        <v>3531</v>
      </c>
      <c r="E187" s="3097" t="s">
        <v>3247</v>
      </c>
      <c r="F187" s="3097" t="s">
        <v>3548</v>
      </c>
      <c r="G187" s="3097" t="s">
        <v>3549</v>
      </c>
      <c r="H187" s="3097">
        <v>139.60000000000002</v>
      </c>
      <c r="I187" s="3097">
        <v>8808166.6999999993</v>
      </c>
      <c r="J187" s="3075">
        <f>ROUND(I187/H187,0)</f>
        <v>63096</v>
      </c>
      <c r="K187" s="3328"/>
      <c r="L187" s="3328"/>
      <c r="M187" s="3328"/>
    </row>
    <row r="188" spans="1:14" ht="24">
      <c r="A188" s="3111" t="s">
        <v>4193</v>
      </c>
      <c r="B188" s="3329"/>
      <c r="C188" s="3096" t="s">
        <v>4180</v>
      </c>
      <c r="D188" s="3097" t="s">
        <v>3531</v>
      </c>
      <c r="E188" s="3097" t="s">
        <v>3250</v>
      </c>
      <c r="F188" s="3097" t="s">
        <v>3548</v>
      </c>
      <c r="G188" s="3097" t="s">
        <v>3550</v>
      </c>
      <c r="H188" s="3097">
        <v>87.66</v>
      </c>
      <c r="I188" s="3097">
        <v>2612505.56</v>
      </c>
      <c r="J188" s="3075">
        <f t="shared" si="17"/>
        <v>29803</v>
      </c>
      <c r="K188" s="3328"/>
      <c r="L188" s="3328"/>
      <c r="M188" s="3328"/>
    </row>
    <row r="189" spans="1:14">
      <c r="A189" s="3111" t="s">
        <v>4193</v>
      </c>
      <c r="B189" s="3329"/>
      <c r="C189" s="3096" t="s">
        <v>4180</v>
      </c>
      <c r="D189" s="3097" t="s">
        <v>3531</v>
      </c>
      <c r="E189" s="3097" t="s">
        <v>3252</v>
      </c>
      <c r="F189" s="3097" t="s">
        <v>3551</v>
      </c>
      <c r="G189" s="3097" t="s">
        <v>3551</v>
      </c>
      <c r="H189" s="3097">
        <v>85.14</v>
      </c>
      <c r="I189" s="3097">
        <v>2552401.84</v>
      </c>
      <c r="J189" s="3075">
        <f t="shared" si="17"/>
        <v>29979</v>
      </c>
      <c r="K189" s="3328"/>
      <c r="L189" s="3328"/>
      <c r="M189" s="3328"/>
    </row>
    <row r="190" spans="1:14">
      <c r="A190" s="3111" t="s">
        <v>4193</v>
      </c>
      <c r="B190" s="3329"/>
      <c r="C190" s="3096" t="s">
        <v>3218</v>
      </c>
      <c r="D190" s="3097" t="s">
        <v>3219</v>
      </c>
      <c r="E190" s="3097" t="s">
        <v>3552</v>
      </c>
      <c r="F190" s="3097" t="s">
        <v>3553</v>
      </c>
      <c r="G190" s="3097" t="s">
        <v>3553</v>
      </c>
      <c r="H190" s="3097">
        <v>45.64</v>
      </c>
      <c r="I190" s="3097">
        <v>420000.27</v>
      </c>
      <c r="J190" s="3075">
        <f t="shared" si="17"/>
        <v>9202</v>
      </c>
      <c r="K190" s="3328"/>
      <c r="L190" s="3328"/>
      <c r="M190" s="3328"/>
    </row>
    <row r="191" spans="1:14">
      <c r="A191" s="3111" t="s">
        <v>4193</v>
      </c>
      <c r="B191" s="3329"/>
      <c r="C191" s="3096" t="s">
        <v>3218</v>
      </c>
      <c r="D191" s="3097" t="s">
        <v>3219</v>
      </c>
      <c r="E191" s="3097" t="s">
        <v>3554</v>
      </c>
      <c r="F191" s="3097" t="s">
        <v>3555</v>
      </c>
      <c r="G191" s="3097" t="s">
        <v>3555</v>
      </c>
      <c r="H191" s="3097">
        <v>45.64</v>
      </c>
      <c r="I191" s="3097">
        <v>420000.27</v>
      </c>
      <c r="J191" s="3075">
        <f t="shared" si="17"/>
        <v>9202</v>
      </c>
      <c r="K191" s="3328"/>
      <c r="L191" s="3328"/>
      <c r="M191" s="3328"/>
      <c r="N191" s="1405">
        <f t="shared" si="21"/>
        <v>1481</v>
      </c>
    </row>
    <row r="192" spans="1:14">
      <c r="A192" s="3111" t="s">
        <v>4193</v>
      </c>
      <c r="B192" s="3329">
        <v>39</v>
      </c>
      <c r="C192" s="3096" t="s">
        <v>3209</v>
      </c>
      <c r="D192" s="3097" t="s">
        <v>3556</v>
      </c>
      <c r="E192" s="3097" t="s">
        <v>3426</v>
      </c>
      <c r="F192" s="3097" t="s">
        <v>3557</v>
      </c>
      <c r="G192" s="3097" t="s">
        <v>3558</v>
      </c>
      <c r="H192" s="3097">
        <v>134.76</v>
      </c>
      <c r="I192" s="3097">
        <v>8211213.8399999999</v>
      </c>
      <c r="J192" s="3075">
        <f>ROUND(I192/H192,0)</f>
        <v>60932</v>
      </c>
      <c r="K192" s="3328">
        <v>47</v>
      </c>
      <c r="L192" s="3328">
        <v>6</v>
      </c>
      <c r="M192" s="3328">
        <v>4</v>
      </c>
    </row>
    <row r="193" spans="1:14" ht="27">
      <c r="A193" s="3111" t="s">
        <v>4193</v>
      </c>
      <c r="B193" s="3329"/>
      <c r="C193" s="3096" t="s">
        <v>4180</v>
      </c>
      <c r="D193" s="3097" t="s">
        <v>3556</v>
      </c>
      <c r="E193" s="3098" t="s">
        <v>3429</v>
      </c>
      <c r="F193" s="3097" t="s">
        <v>3557</v>
      </c>
      <c r="G193" s="3097" t="s">
        <v>3559</v>
      </c>
      <c r="H193" s="3097">
        <v>84.69</v>
      </c>
      <c r="I193" s="3097">
        <v>2527930.44</v>
      </c>
      <c r="J193" s="3075">
        <f t="shared" si="17"/>
        <v>29849</v>
      </c>
      <c r="K193" s="3328"/>
      <c r="L193" s="3328"/>
      <c r="M193" s="3328"/>
    </row>
    <row r="194" spans="1:14">
      <c r="A194" s="3111" t="s">
        <v>4193</v>
      </c>
      <c r="B194" s="3329"/>
      <c r="C194" s="3096" t="s">
        <v>4180</v>
      </c>
      <c r="D194" s="3097" t="s">
        <v>3556</v>
      </c>
      <c r="E194" s="3097" t="s">
        <v>3431</v>
      </c>
      <c r="F194" s="3097" t="s">
        <v>3560</v>
      </c>
      <c r="G194" s="3097" t="s">
        <v>3560</v>
      </c>
      <c r="H194" s="3097">
        <v>83.46</v>
      </c>
      <c r="I194" s="3097">
        <v>2503200.7599999998</v>
      </c>
      <c r="J194" s="3075">
        <f t="shared" si="17"/>
        <v>29993</v>
      </c>
      <c r="K194" s="3328"/>
      <c r="L194" s="3328"/>
      <c r="M194" s="3328"/>
    </row>
    <row r="195" spans="1:14">
      <c r="A195" s="3111" t="s">
        <v>4193</v>
      </c>
      <c r="B195" s="3329"/>
      <c r="C195" s="3096" t="s">
        <v>3218</v>
      </c>
      <c r="D195" s="3097" t="s">
        <v>3219</v>
      </c>
      <c r="E195" s="3097" t="s">
        <v>3561</v>
      </c>
      <c r="F195" s="3097" t="s">
        <v>3562</v>
      </c>
      <c r="G195" s="3097" t="s">
        <v>3562</v>
      </c>
      <c r="H195" s="3097">
        <v>45.64</v>
      </c>
      <c r="I195" s="3097">
        <v>420000.27</v>
      </c>
      <c r="J195" s="3075">
        <f t="shared" si="17"/>
        <v>9202</v>
      </c>
      <c r="K195" s="3328"/>
      <c r="L195" s="3328"/>
      <c r="M195" s="3328"/>
    </row>
    <row r="196" spans="1:14">
      <c r="A196" s="3111" t="s">
        <v>4193</v>
      </c>
      <c r="B196" s="3329"/>
      <c r="C196" s="3096" t="s">
        <v>3218</v>
      </c>
      <c r="D196" s="3097" t="s">
        <v>3219</v>
      </c>
      <c r="E196" s="3097" t="s">
        <v>3563</v>
      </c>
      <c r="F196" s="3097" t="s">
        <v>3564</v>
      </c>
      <c r="G196" s="3097" t="s">
        <v>3564</v>
      </c>
      <c r="H196" s="3097">
        <v>45.64</v>
      </c>
      <c r="I196" s="3097">
        <v>420000.27</v>
      </c>
      <c r="J196" s="3075">
        <f t="shared" si="17"/>
        <v>9202</v>
      </c>
      <c r="K196" s="3328"/>
      <c r="L196" s="3328"/>
      <c r="M196" s="3328"/>
      <c r="N196" s="1405">
        <f t="shared" ref="N196" si="25">ROUND((I192+I193+I194+I195+I196)/10000,0)</f>
        <v>1408</v>
      </c>
    </row>
    <row r="197" spans="1:14">
      <c r="A197" s="3111" t="s">
        <v>4193</v>
      </c>
      <c r="B197" s="3329">
        <v>40</v>
      </c>
      <c r="C197" s="3096" t="s">
        <v>3209</v>
      </c>
      <c r="D197" s="3097" t="s">
        <v>3556</v>
      </c>
      <c r="E197" s="3097" t="s">
        <v>3224</v>
      </c>
      <c r="F197" s="3097" t="s">
        <v>3565</v>
      </c>
      <c r="G197" s="3097" t="s">
        <v>3566</v>
      </c>
      <c r="H197" s="3097">
        <v>135.10000000000002</v>
      </c>
      <c r="I197" s="3097">
        <v>7822388.6200000001</v>
      </c>
      <c r="J197" s="3075">
        <f>ROUND(I197/H197,0)</f>
        <v>57901</v>
      </c>
      <c r="K197" s="3328"/>
      <c r="L197" s="3328"/>
      <c r="M197" s="3328"/>
    </row>
    <row r="198" spans="1:14" ht="27">
      <c r="A198" s="3111" t="s">
        <v>4193</v>
      </c>
      <c r="B198" s="3329"/>
      <c r="C198" s="3096" t="s">
        <v>4180</v>
      </c>
      <c r="D198" s="3097" t="s">
        <v>3556</v>
      </c>
      <c r="E198" s="3098" t="s">
        <v>3227</v>
      </c>
      <c r="F198" s="3097" t="s">
        <v>3565</v>
      </c>
      <c r="G198" s="3097" t="s">
        <v>3567</v>
      </c>
      <c r="H198" s="3097">
        <v>85.11</v>
      </c>
      <c r="I198" s="3097">
        <v>2540272.21</v>
      </c>
      <c r="J198" s="3075">
        <f t="shared" ref="J198:J256" si="26">ROUND(I198/H198,0)</f>
        <v>29847</v>
      </c>
      <c r="K198" s="3328"/>
      <c r="L198" s="3328"/>
      <c r="M198" s="3328"/>
    </row>
    <row r="199" spans="1:14">
      <c r="A199" s="3111" t="s">
        <v>4193</v>
      </c>
      <c r="B199" s="3329"/>
      <c r="C199" s="3096" t="s">
        <v>4180</v>
      </c>
      <c r="D199" s="3097" t="s">
        <v>3556</v>
      </c>
      <c r="E199" s="3097" t="s">
        <v>3229</v>
      </c>
      <c r="F199" s="3097" t="s">
        <v>3568</v>
      </c>
      <c r="G199" s="3097" t="s">
        <v>3568</v>
      </c>
      <c r="H199" s="3097">
        <v>84.18</v>
      </c>
      <c r="I199" s="3097">
        <v>2524807.66</v>
      </c>
      <c r="J199" s="3075">
        <f t="shared" si="26"/>
        <v>29993</v>
      </c>
      <c r="K199" s="3328"/>
      <c r="L199" s="3328"/>
      <c r="M199" s="3328"/>
    </row>
    <row r="200" spans="1:14">
      <c r="A200" s="3111" t="s">
        <v>4193</v>
      </c>
      <c r="B200" s="3329"/>
      <c r="C200" s="3096" t="s">
        <v>3218</v>
      </c>
      <c r="D200" s="3097" t="s">
        <v>3219</v>
      </c>
      <c r="E200" s="3097">
        <v>445</v>
      </c>
      <c r="F200" s="3097" t="s">
        <v>3569</v>
      </c>
      <c r="G200" s="3097" t="s">
        <v>3569</v>
      </c>
      <c r="H200" s="3097">
        <v>45.64</v>
      </c>
      <c r="I200" s="3097">
        <v>420000.27</v>
      </c>
      <c r="J200" s="3075">
        <f t="shared" si="26"/>
        <v>9202</v>
      </c>
      <c r="K200" s="3328"/>
      <c r="L200" s="3328"/>
      <c r="M200" s="3328"/>
    </row>
    <row r="201" spans="1:14">
      <c r="A201" s="3111" t="s">
        <v>4193</v>
      </c>
      <c r="B201" s="3329"/>
      <c r="C201" s="3096" t="s">
        <v>3218</v>
      </c>
      <c r="D201" s="3097" t="s">
        <v>3219</v>
      </c>
      <c r="E201" s="3097">
        <v>446</v>
      </c>
      <c r="F201" s="3097" t="s">
        <v>3570</v>
      </c>
      <c r="G201" s="3097" t="s">
        <v>3570</v>
      </c>
      <c r="H201" s="3097">
        <v>45.64</v>
      </c>
      <c r="I201" s="3097">
        <v>420000.27</v>
      </c>
      <c r="J201" s="3075">
        <f t="shared" si="26"/>
        <v>9202</v>
      </c>
      <c r="K201" s="3328"/>
      <c r="L201" s="3328"/>
      <c r="M201" s="3328"/>
      <c r="N201" s="1405">
        <f t="shared" si="21"/>
        <v>1373</v>
      </c>
    </row>
    <row r="202" spans="1:14">
      <c r="A202" s="3111" t="s">
        <v>4193</v>
      </c>
      <c r="B202" s="3329">
        <v>41</v>
      </c>
      <c r="C202" s="3096" t="s">
        <v>3209</v>
      </c>
      <c r="D202" s="3097" t="s">
        <v>3556</v>
      </c>
      <c r="E202" s="3097" t="s">
        <v>3388</v>
      </c>
      <c r="F202" s="3097" t="s">
        <v>3571</v>
      </c>
      <c r="G202" s="3097" t="s">
        <v>3572</v>
      </c>
      <c r="H202" s="3097">
        <v>134.76</v>
      </c>
      <c r="I202" s="3097">
        <v>8378693.5700000003</v>
      </c>
      <c r="J202" s="3075">
        <f>ROUND(I202/H202,0)</f>
        <v>62175</v>
      </c>
      <c r="K202" s="3328"/>
      <c r="L202" s="3328"/>
      <c r="M202" s="3328"/>
    </row>
    <row r="203" spans="1:14" ht="27">
      <c r="A203" s="3111" t="s">
        <v>4193</v>
      </c>
      <c r="B203" s="3329"/>
      <c r="C203" s="3096" t="s">
        <v>4180</v>
      </c>
      <c r="D203" s="3097" t="s">
        <v>3556</v>
      </c>
      <c r="E203" s="3098" t="s">
        <v>3391</v>
      </c>
      <c r="F203" s="3097" t="s">
        <v>3571</v>
      </c>
      <c r="G203" s="3097" t="s">
        <v>3573</v>
      </c>
      <c r="H203" s="3097">
        <v>84.69</v>
      </c>
      <c r="I203" s="3097">
        <v>2527930.44</v>
      </c>
      <c r="J203" s="3075">
        <f t="shared" si="26"/>
        <v>29849</v>
      </c>
      <c r="K203" s="3328"/>
      <c r="L203" s="3328"/>
      <c r="M203" s="3328"/>
    </row>
    <row r="204" spans="1:14">
      <c r="A204" s="3111" t="s">
        <v>4193</v>
      </c>
      <c r="B204" s="3329"/>
      <c r="C204" s="3096" t="s">
        <v>4180</v>
      </c>
      <c r="D204" s="3097" t="s">
        <v>3556</v>
      </c>
      <c r="E204" s="3097" t="s">
        <v>3393</v>
      </c>
      <c r="F204" s="3097" t="s">
        <v>3574</v>
      </c>
      <c r="G204" s="3097" t="s">
        <v>3574</v>
      </c>
      <c r="H204" s="3097">
        <v>83.46</v>
      </c>
      <c r="I204" s="3097">
        <v>2503200.7599999998</v>
      </c>
      <c r="J204" s="3075">
        <f t="shared" si="26"/>
        <v>29993</v>
      </c>
      <c r="K204" s="3328"/>
      <c r="L204" s="3328"/>
      <c r="M204" s="3328"/>
    </row>
    <row r="205" spans="1:14">
      <c r="A205" s="3111" t="s">
        <v>4193</v>
      </c>
      <c r="B205" s="3329"/>
      <c r="C205" s="3096" t="s">
        <v>3218</v>
      </c>
      <c r="D205" s="3097" t="s">
        <v>3219</v>
      </c>
      <c r="E205" s="3097" t="s">
        <v>3575</v>
      </c>
      <c r="F205" s="3097" t="s">
        <v>3576</v>
      </c>
      <c r="G205" s="3097" t="s">
        <v>3576</v>
      </c>
      <c r="H205" s="3097">
        <v>45.64</v>
      </c>
      <c r="I205" s="3097">
        <v>420000.27</v>
      </c>
      <c r="J205" s="3075">
        <f t="shared" si="26"/>
        <v>9202</v>
      </c>
      <c r="K205" s="3328"/>
      <c r="L205" s="3328"/>
      <c r="M205" s="3328"/>
    </row>
    <row r="206" spans="1:14">
      <c r="A206" s="3111" t="s">
        <v>4193</v>
      </c>
      <c r="B206" s="3329"/>
      <c r="C206" s="3096" t="s">
        <v>3218</v>
      </c>
      <c r="D206" s="3097" t="s">
        <v>3219</v>
      </c>
      <c r="E206" s="3097" t="s">
        <v>3577</v>
      </c>
      <c r="F206" s="3097" t="s">
        <v>3578</v>
      </c>
      <c r="G206" s="3097" t="s">
        <v>3578</v>
      </c>
      <c r="H206" s="3097">
        <v>45.64</v>
      </c>
      <c r="I206" s="3097">
        <v>420000.27</v>
      </c>
      <c r="J206" s="3075">
        <f t="shared" si="26"/>
        <v>9202</v>
      </c>
      <c r="K206" s="3328"/>
      <c r="L206" s="3328"/>
      <c r="M206" s="3328"/>
      <c r="N206" s="1405">
        <f t="shared" ref="N206" si="27">ROUND((I202+I203+I204+I205+I206)/10000,0)</f>
        <v>1425</v>
      </c>
    </row>
    <row r="207" spans="1:14">
      <c r="A207" s="3111" t="s">
        <v>4193</v>
      </c>
      <c r="B207" s="3329">
        <v>42</v>
      </c>
      <c r="C207" s="3096" t="s">
        <v>3209</v>
      </c>
      <c r="D207" s="3097" t="s">
        <v>3556</v>
      </c>
      <c r="E207" s="3097" t="s">
        <v>3247</v>
      </c>
      <c r="F207" s="3097" t="s">
        <v>3579</v>
      </c>
      <c r="G207" s="3097" t="s">
        <v>3580</v>
      </c>
      <c r="H207" s="3097">
        <v>135.10000000000002</v>
      </c>
      <c r="I207" s="3097">
        <v>7990688.0999999996</v>
      </c>
      <c r="J207" s="3075">
        <f>ROUND(I207/H207,0)</f>
        <v>59146</v>
      </c>
      <c r="K207" s="3328"/>
      <c r="L207" s="3328"/>
      <c r="M207" s="3328"/>
    </row>
    <row r="208" spans="1:14" ht="24">
      <c r="A208" s="3111" t="s">
        <v>4193</v>
      </c>
      <c r="B208" s="3329"/>
      <c r="C208" s="3096" t="s">
        <v>4180</v>
      </c>
      <c r="D208" s="3097" t="s">
        <v>3556</v>
      </c>
      <c r="E208" s="3097" t="s">
        <v>3250</v>
      </c>
      <c r="F208" s="3097" t="s">
        <v>3579</v>
      </c>
      <c r="G208" s="3097" t="s">
        <v>3581</v>
      </c>
      <c r="H208" s="3097">
        <v>85.11</v>
      </c>
      <c r="I208" s="3097">
        <v>2540272.21</v>
      </c>
      <c r="J208" s="3075">
        <f t="shared" si="26"/>
        <v>29847</v>
      </c>
      <c r="K208" s="3328"/>
      <c r="L208" s="3328"/>
      <c r="M208" s="3328"/>
    </row>
    <row r="209" spans="1:14">
      <c r="A209" s="3111" t="s">
        <v>4193</v>
      </c>
      <c r="B209" s="3329"/>
      <c r="C209" s="3096" t="s">
        <v>4180</v>
      </c>
      <c r="D209" s="3097" t="s">
        <v>3556</v>
      </c>
      <c r="E209" s="3097" t="s">
        <v>3252</v>
      </c>
      <c r="F209" s="3097" t="s">
        <v>3582</v>
      </c>
      <c r="G209" s="3097" t="s">
        <v>3582</v>
      </c>
      <c r="H209" s="3097">
        <v>84.18</v>
      </c>
      <c r="I209" s="3097">
        <v>2524807.66</v>
      </c>
      <c r="J209" s="3075">
        <f t="shared" si="26"/>
        <v>29993</v>
      </c>
      <c r="K209" s="3328"/>
      <c r="L209" s="3328"/>
      <c r="M209" s="3328"/>
    </row>
    <row r="210" spans="1:14">
      <c r="A210" s="3111" t="s">
        <v>4193</v>
      </c>
      <c r="B210" s="3329"/>
      <c r="C210" s="3096" t="s">
        <v>3218</v>
      </c>
      <c r="D210" s="3097" t="s">
        <v>3219</v>
      </c>
      <c r="E210" s="3097" t="s">
        <v>3583</v>
      </c>
      <c r="F210" s="3097" t="s">
        <v>3584</v>
      </c>
      <c r="G210" s="3097" t="s">
        <v>3584</v>
      </c>
      <c r="H210" s="3097">
        <v>45.64</v>
      </c>
      <c r="I210" s="3097">
        <v>420000.27</v>
      </c>
      <c r="J210" s="3075">
        <f t="shared" si="26"/>
        <v>9202</v>
      </c>
      <c r="K210" s="3328"/>
      <c r="L210" s="3328"/>
      <c r="M210" s="3328"/>
    </row>
    <row r="211" spans="1:14">
      <c r="A211" s="3111" t="s">
        <v>4193</v>
      </c>
      <c r="B211" s="3329"/>
      <c r="C211" s="3096" t="s">
        <v>3218</v>
      </c>
      <c r="D211" s="3097" t="s">
        <v>3219</v>
      </c>
      <c r="E211" s="3097" t="s">
        <v>3585</v>
      </c>
      <c r="F211" s="3097" t="s">
        <v>3586</v>
      </c>
      <c r="G211" s="3097" t="s">
        <v>3586</v>
      </c>
      <c r="H211" s="3097">
        <v>45.64</v>
      </c>
      <c r="I211" s="3097">
        <v>420000.27</v>
      </c>
      <c r="J211" s="3075">
        <f t="shared" si="26"/>
        <v>9202</v>
      </c>
      <c r="K211" s="3328"/>
      <c r="L211" s="3328"/>
      <c r="M211" s="3328"/>
      <c r="N211" s="1405">
        <f t="shared" si="21"/>
        <v>1390</v>
      </c>
    </row>
    <row r="212" spans="1:14">
      <c r="A212" s="3111" t="s">
        <v>4193</v>
      </c>
      <c r="B212" s="3329">
        <v>43</v>
      </c>
      <c r="C212" s="3096" t="s">
        <v>3209</v>
      </c>
      <c r="D212" s="3097" t="s">
        <v>3587</v>
      </c>
      <c r="E212" s="3097" t="s">
        <v>3211</v>
      </c>
      <c r="F212" s="3097" t="s">
        <v>3588</v>
      </c>
      <c r="G212" s="3097" t="s">
        <v>3589</v>
      </c>
      <c r="H212" s="3097">
        <v>139.13999999999999</v>
      </c>
      <c r="I212" s="3097">
        <v>8779144.0500000007</v>
      </c>
      <c r="J212" s="3075">
        <f>ROUND(I212/H212,0)</f>
        <v>63096</v>
      </c>
      <c r="K212" s="3328">
        <v>48</v>
      </c>
      <c r="L212" s="3328">
        <v>4</v>
      </c>
      <c r="M212" s="3328">
        <v>3</v>
      </c>
    </row>
    <row r="213" spans="1:14" ht="27">
      <c r="A213" s="3111" t="s">
        <v>4193</v>
      </c>
      <c r="B213" s="3329"/>
      <c r="C213" s="3096" t="s">
        <v>4180</v>
      </c>
      <c r="D213" s="3097" t="s">
        <v>3587</v>
      </c>
      <c r="E213" s="3098" t="s">
        <v>3214</v>
      </c>
      <c r="F213" s="3097" t="s">
        <v>3588</v>
      </c>
      <c r="G213" s="3097" t="s">
        <v>3590</v>
      </c>
      <c r="H213" s="3097">
        <v>87.08</v>
      </c>
      <c r="I213" s="3097">
        <v>2595253.08</v>
      </c>
      <c r="J213" s="3075">
        <f t="shared" si="26"/>
        <v>29803</v>
      </c>
      <c r="K213" s="3328"/>
      <c r="L213" s="3328"/>
      <c r="M213" s="3328"/>
    </row>
    <row r="214" spans="1:14">
      <c r="A214" s="3111" t="s">
        <v>4193</v>
      </c>
      <c r="B214" s="3329"/>
      <c r="C214" s="3096" t="s">
        <v>4180</v>
      </c>
      <c r="D214" s="3097" t="s">
        <v>3587</v>
      </c>
      <c r="E214" s="3097" t="s">
        <v>3216</v>
      </c>
      <c r="F214" s="3097" t="s">
        <v>3591</v>
      </c>
      <c r="G214" s="3097" t="s">
        <v>3591</v>
      </c>
      <c r="H214" s="3097">
        <v>84.52</v>
      </c>
      <c r="I214" s="3097">
        <v>2533791.27</v>
      </c>
      <c r="J214" s="3075">
        <f t="shared" si="26"/>
        <v>29979</v>
      </c>
      <c r="K214" s="3328"/>
      <c r="L214" s="3328"/>
      <c r="M214" s="3328"/>
    </row>
    <row r="215" spans="1:14">
      <c r="A215" s="3111" t="s">
        <v>4193</v>
      </c>
      <c r="B215" s="3329"/>
      <c r="C215" s="3096" t="s">
        <v>3218</v>
      </c>
      <c r="D215" s="3097" t="s">
        <v>3219</v>
      </c>
      <c r="E215" s="3097" t="s">
        <v>3592</v>
      </c>
      <c r="F215" s="3097" t="s">
        <v>3593</v>
      </c>
      <c r="G215" s="3097" t="s">
        <v>3593</v>
      </c>
      <c r="H215" s="3097">
        <v>45.64</v>
      </c>
      <c r="I215" s="3097">
        <v>420000.27</v>
      </c>
      <c r="J215" s="3075">
        <f t="shared" si="26"/>
        <v>9202</v>
      </c>
      <c r="K215" s="3328"/>
      <c r="L215" s="3328"/>
      <c r="M215" s="3328"/>
    </row>
    <row r="216" spans="1:14">
      <c r="A216" s="3111" t="s">
        <v>4193</v>
      </c>
      <c r="B216" s="3329"/>
      <c r="C216" s="3096" t="s">
        <v>3218</v>
      </c>
      <c r="D216" s="3097" t="s">
        <v>3219</v>
      </c>
      <c r="E216" s="3097" t="s">
        <v>3594</v>
      </c>
      <c r="F216" s="3097" t="s">
        <v>3595</v>
      </c>
      <c r="G216" s="3097" t="s">
        <v>3595</v>
      </c>
      <c r="H216" s="3097">
        <v>45.64</v>
      </c>
      <c r="I216" s="3097">
        <v>420000.27</v>
      </c>
      <c r="J216" s="3075">
        <f t="shared" si="26"/>
        <v>9202</v>
      </c>
      <c r="K216" s="3328"/>
      <c r="L216" s="3328"/>
      <c r="M216" s="3328"/>
      <c r="N216" s="1405">
        <f t="shared" ref="N216" si="28">ROUND((I212+I213+I214+I215+I216)/10000,0)</f>
        <v>1475</v>
      </c>
    </row>
    <row r="217" spans="1:14">
      <c r="A217" s="3111" t="s">
        <v>4193</v>
      </c>
      <c r="B217" s="3329">
        <v>44</v>
      </c>
      <c r="C217" s="3096" t="s">
        <v>3209</v>
      </c>
      <c r="D217" s="3097" t="s">
        <v>3587</v>
      </c>
      <c r="E217" s="3097" t="s">
        <v>3235</v>
      </c>
      <c r="F217" s="3097" t="s">
        <v>3596</v>
      </c>
      <c r="G217" s="3097" t="s">
        <v>3597</v>
      </c>
      <c r="H217" s="3097">
        <v>139.29000000000002</v>
      </c>
      <c r="I217" s="3097">
        <v>8788905.0999999996</v>
      </c>
      <c r="J217" s="3075">
        <f>ROUND(I217/H217,0)</f>
        <v>63098</v>
      </c>
      <c r="K217" s="3328"/>
      <c r="L217" s="3328"/>
      <c r="M217" s="3328"/>
    </row>
    <row r="218" spans="1:14" ht="27">
      <c r="A218" s="3111" t="s">
        <v>4193</v>
      </c>
      <c r="B218" s="3329"/>
      <c r="C218" s="3096" t="s">
        <v>4180</v>
      </c>
      <c r="D218" s="3097" t="s">
        <v>3587</v>
      </c>
      <c r="E218" s="3098" t="s">
        <v>3238</v>
      </c>
      <c r="F218" s="3097" t="s">
        <v>3596</v>
      </c>
      <c r="G218" s="3097" t="s">
        <v>3598</v>
      </c>
      <c r="H218" s="3097">
        <v>87.22</v>
      </c>
      <c r="I218" s="3097">
        <v>2599630.48</v>
      </c>
      <c r="J218" s="3075">
        <f t="shared" si="26"/>
        <v>29805</v>
      </c>
      <c r="K218" s="3328"/>
      <c r="L218" s="3328"/>
      <c r="M218" s="3328"/>
    </row>
    <row r="219" spans="1:14">
      <c r="A219" s="3111" t="s">
        <v>4193</v>
      </c>
      <c r="B219" s="3329"/>
      <c r="C219" s="3096" t="s">
        <v>4180</v>
      </c>
      <c r="D219" s="3097" t="s">
        <v>3587</v>
      </c>
      <c r="E219" s="3097" t="s">
        <v>3240</v>
      </c>
      <c r="F219" s="3097" t="s">
        <v>3599</v>
      </c>
      <c r="G219" s="3097" t="s">
        <v>3599</v>
      </c>
      <c r="H219" s="3097">
        <v>85.25</v>
      </c>
      <c r="I219" s="3097">
        <v>2555409.67</v>
      </c>
      <c r="J219" s="3075">
        <f t="shared" si="26"/>
        <v>29975</v>
      </c>
      <c r="K219" s="3328"/>
      <c r="L219" s="3328"/>
      <c r="M219" s="3328"/>
    </row>
    <row r="220" spans="1:14">
      <c r="A220" s="3111" t="s">
        <v>4193</v>
      </c>
      <c r="B220" s="3329"/>
      <c r="C220" s="3096" t="s">
        <v>3218</v>
      </c>
      <c r="D220" s="3097" t="s">
        <v>3219</v>
      </c>
      <c r="E220" s="3097" t="s">
        <v>3600</v>
      </c>
      <c r="F220" s="3097" t="s">
        <v>3601</v>
      </c>
      <c r="G220" s="3097" t="s">
        <v>3601</v>
      </c>
      <c r="H220" s="3097">
        <v>45.64</v>
      </c>
      <c r="I220" s="3097">
        <v>420000.27</v>
      </c>
      <c r="J220" s="3075">
        <f t="shared" si="26"/>
        <v>9202</v>
      </c>
      <c r="K220" s="3328"/>
      <c r="L220" s="3328"/>
      <c r="M220" s="3328"/>
    </row>
    <row r="221" spans="1:14">
      <c r="A221" s="3111" t="s">
        <v>4193</v>
      </c>
      <c r="B221" s="3329"/>
      <c r="C221" s="3096" t="s">
        <v>3218</v>
      </c>
      <c r="D221" s="3097" t="s">
        <v>3219</v>
      </c>
      <c r="E221" s="3097" t="s">
        <v>3602</v>
      </c>
      <c r="F221" s="3097" t="s">
        <v>3603</v>
      </c>
      <c r="G221" s="3097" t="s">
        <v>3603</v>
      </c>
      <c r="H221" s="3097">
        <v>45.64</v>
      </c>
      <c r="I221" s="3097">
        <v>420000.27</v>
      </c>
      <c r="J221" s="3075">
        <f t="shared" si="26"/>
        <v>9202</v>
      </c>
      <c r="K221" s="3328"/>
      <c r="L221" s="3328"/>
      <c r="M221" s="3328"/>
      <c r="N221" s="1405">
        <f t="shared" si="21"/>
        <v>1478</v>
      </c>
    </row>
    <row r="222" spans="1:14">
      <c r="A222" s="3111" t="s">
        <v>4193</v>
      </c>
      <c r="B222" s="3329">
        <v>45</v>
      </c>
      <c r="C222" s="3096" t="s">
        <v>3209</v>
      </c>
      <c r="D222" s="3097" t="s">
        <v>3587</v>
      </c>
      <c r="E222" s="3097" t="s">
        <v>3224</v>
      </c>
      <c r="F222" s="3097" t="s">
        <v>3604</v>
      </c>
      <c r="G222" s="3097" t="s">
        <v>3605</v>
      </c>
      <c r="H222" s="3097">
        <v>139.29000000000002</v>
      </c>
      <c r="I222" s="3097">
        <v>8788905.0999999996</v>
      </c>
      <c r="J222" s="3075">
        <f>ROUND(I222/H222,0)</f>
        <v>63098</v>
      </c>
      <c r="K222" s="3328"/>
      <c r="L222" s="3328"/>
      <c r="M222" s="3328"/>
    </row>
    <row r="223" spans="1:14" ht="27">
      <c r="A223" s="3111" t="s">
        <v>4193</v>
      </c>
      <c r="B223" s="3329"/>
      <c r="C223" s="3096" t="s">
        <v>4180</v>
      </c>
      <c r="D223" s="3097" t="s">
        <v>3587</v>
      </c>
      <c r="E223" s="3098" t="s">
        <v>3227</v>
      </c>
      <c r="F223" s="3097" t="s">
        <v>3604</v>
      </c>
      <c r="G223" s="3097" t="s">
        <v>3606</v>
      </c>
      <c r="H223" s="3097">
        <v>87.22</v>
      </c>
      <c r="I223" s="3097">
        <v>2599630.48</v>
      </c>
      <c r="J223" s="3075">
        <f t="shared" si="26"/>
        <v>29805</v>
      </c>
      <c r="K223" s="3328"/>
      <c r="L223" s="3328"/>
      <c r="M223" s="3328"/>
    </row>
    <row r="224" spans="1:14">
      <c r="A224" s="3111" t="s">
        <v>4193</v>
      </c>
      <c r="B224" s="3329"/>
      <c r="C224" s="3096" t="s">
        <v>4180</v>
      </c>
      <c r="D224" s="3097" t="s">
        <v>3587</v>
      </c>
      <c r="E224" s="3097" t="s">
        <v>3229</v>
      </c>
      <c r="F224" s="3097" t="s">
        <v>3607</v>
      </c>
      <c r="G224" s="3097" t="s">
        <v>3607</v>
      </c>
      <c r="H224" s="3097">
        <v>85.25</v>
      </c>
      <c r="I224" s="3097">
        <v>2555409.67</v>
      </c>
      <c r="J224" s="3075">
        <f t="shared" si="26"/>
        <v>29975</v>
      </c>
      <c r="K224" s="3328"/>
      <c r="L224" s="3328"/>
      <c r="M224" s="3328"/>
    </row>
    <row r="225" spans="1:14">
      <c r="A225" s="3111" t="s">
        <v>4193</v>
      </c>
      <c r="B225" s="3329"/>
      <c r="C225" s="3096" t="s">
        <v>3218</v>
      </c>
      <c r="D225" s="3097" t="s">
        <v>3219</v>
      </c>
      <c r="E225" s="3097" t="s">
        <v>3608</v>
      </c>
      <c r="F225" s="3097" t="s">
        <v>3609</v>
      </c>
      <c r="G225" s="3097" t="s">
        <v>3609</v>
      </c>
      <c r="H225" s="3097">
        <v>45.64</v>
      </c>
      <c r="I225" s="3097">
        <v>420000.27</v>
      </c>
      <c r="J225" s="3075">
        <f t="shared" si="26"/>
        <v>9202</v>
      </c>
      <c r="K225" s="3328"/>
      <c r="L225" s="3328"/>
      <c r="M225" s="3328"/>
    </row>
    <row r="226" spans="1:14">
      <c r="A226" s="3111" t="s">
        <v>4193</v>
      </c>
      <c r="B226" s="3329"/>
      <c r="C226" s="3096" t="s">
        <v>3218</v>
      </c>
      <c r="D226" s="3097" t="s">
        <v>3219</v>
      </c>
      <c r="E226" s="3097" t="s">
        <v>3610</v>
      </c>
      <c r="F226" s="3097" t="s">
        <v>3611</v>
      </c>
      <c r="G226" s="3097" t="s">
        <v>3611</v>
      </c>
      <c r="H226" s="3097">
        <v>45.64</v>
      </c>
      <c r="I226" s="3097">
        <v>420000.27</v>
      </c>
      <c r="J226" s="3075">
        <f t="shared" si="26"/>
        <v>9202</v>
      </c>
      <c r="K226" s="3328"/>
      <c r="L226" s="3328"/>
      <c r="M226" s="3328"/>
      <c r="N226" s="1405">
        <f t="shared" ref="N226" si="29">ROUND((I222+I223+I224+I225+I226)/10000,0)</f>
        <v>1478</v>
      </c>
    </row>
    <row r="227" spans="1:14">
      <c r="A227" s="3111" t="s">
        <v>4193</v>
      </c>
      <c r="B227" s="3329">
        <v>46</v>
      </c>
      <c r="C227" s="3096" t="s">
        <v>3209</v>
      </c>
      <c r="D227" s="3097" t="s">
        <v>3612</v>
      </c>
      <c r="E227" s="3097" t="s">
        <v>3388</v>
      </c>
      <c r="F227" s="3097" t="s">
        <v>3613</v>
      </c>
      <c r="G227" s="3097" t="s">
        <v>3614</v>
      </c>
      <c r="H227" s="3097">
        <v>134.66999999999999</v>
      </c>
      <c r="I227" s="3097">
        <v>7684755.0099999998</v>
      </c>
      <c r="J227" s="3075">
        <f>ROUND(I227/H227,0)</f>
        <v>57064</v>
      </c>
      <c r="K227" s="3328">
        <v>49</v>
      </c>
      <c r="L227" s="3328">
        <v>8</v>
      </c>
      <c r="M227" s="3328">
        <v>1</v>
      </c>
    </row>
    <row r="228" spans="1:14" ht="27">
      <c r="A228" s="3111" t="s">
        <v>4193</v>
      </c>
      <c r="B228" s="3329"/>
      <c r="C228" s="3096" t="s">
        <v>4180</v>
      </c>
      <c r="D228" s="3097" t="s">
        <v>3612</v>
      </c>
      <c r="E228" s="3098" t="s">
        <v>3391</v>
      </c>
      <c r="F228" s="3097" t="s">
        <v>3613</v>
      </c>
      <c r="G228" s="3097" t="s">
        <v>3615</v>
      </c>
      <c r="H228" s="3097">
        <v>84.7</v>
      </c>
      <c r="I228" s="3097">
        <v>2528228.09</v>
      </c>
      <c r="J228" s="3075">
        <f t="shared" si="26"/>
        <v>29849</v>
      </c>
      <c r="K228" s="3328"/>
      <c r="L228" s="3328"/>
      <c r="M228" s="3328"/>
    </row>
    <row r="229" spans="1:14">
      <c r="A229" s="3111" t="s">
        <v>4193</v>
      </c>
      <c r="B229" s="3329"/>
      <c r="C229" s="3096" t="s">
        <v>4180</v>
      </c>
      <c r="D229" s="3097" t="s">
        <v>3612</v>
      </c>
      <c r="E229" s="3097" t="s">
        <v>3393</v>
      </c>
      <c r="F229" s="3097" t="s">
        <v>3616</v>
      </c>
      <c r="G229" s="3097" t="s">
        <v>3616</v>
      </c>
      <c r="H229" s="3097">
        <v>84.1</v>
      </c>
      <c r="I229" s="3097">
        <v>2522398.69</v>
      </c>
      <c r="J229" s="3075">
        <f t="shared" si="26"/>
        <v>29993</v>
      </c>
      <c r="K229" s="3328"/>
      <c r="L229" s="3328"/>
      <c r="M229" s="3328"/>
    </row>
    <row r="230" spans="1:14">
      <c r="A230" s="3111" t="s">
        <v>4193</v>
      </c>
      <c r="B230" s="3329"/>
      <c r="C230" s="3096" t="s">
        <v>3218</v>
      </c>
      <c r="D230" s="3097" t="s">
        <v>3219</v>
      </c>
      <c r="E230" s="3097" t="s">
        <v>3617</v>
      </c>
      <c r="F230" s="3097" t="s">
        <v>3618</v>
      </c>
      <c r="G230" s="3097" t="s">
        <v>3618</v>
      </c>
      <c r="H230" s="3097">
        <v>45.64</v>
      </c>
      <c r="I230" s="3097">
        <v>420000.27</v>
      </c>
      <c r="J230" s="3075">
        <f t="shared" si="26"/>
        <v>9202</v>
      </c>
      <c r="K230" s="3328"/>
      <c r="L230" s="3328"/>
      <c r="M230" s="3328"/>
    </row>
    <row r="231" spans="1:14">
      <c r="A231" s="3111" t="s">
        <v>4193</v>
      </c>
      <c r="B231" s="3329"/>
      <c r="C231" s="3096" t="s">
        <v>3218</v>
      </c>
      <c r="D231" s="3097" t="s">
        <v>3219</v>
      </c>
      <c r="E231" s="3097" t="s">
        <v>3619</v>
      </c>
      <c r="F231" s="3097" t="s">
        <v>3620</v>
      </c>
      <c r="G231" s="3097" t="s">
        <v>3620</v>
      </c>
      <c r="H231" s="3097">
        <v>45.64</v>
      </c>
      <c r="I231" s="3097">
        <v>420000.27</v>
      </c>
      <c r="J231" s="3075">
        <f t="shared" si="26"/>
        <v>9202</v>
      </c>
      <c r="K231" s="3328"/>
      <c r="L231" s="3328"/>
      <c r="M231" s="3328"/>
      <c r="N231" s="1405">
        <f t="shared" ref="N231:N286" si="30">ROUND((I227+I228+I229+I230+I231)/10000,0)</f>
        <v>1358</v>
      </c>
    </row>
    <row r="232" spans="1:14">
      <c r="A232" s="3111" t="s">
        <v>4193</v>
      </c>
      <c r="B232" s="3329">
        <v>47</v>
      </c>
      <c r="C232" s="3096" t="s">
        <v>3209</v>
      </c>
      <c r="D232" s="3097" t="s">
        <v>3621</v>
      </c>
      <c r="E232" s="3097" t="s">
        <v>3224</v>
      </c>
      <c r="F232" s="3097" t="s">
        <v>3622</v>
      </c>
      <c r="G232" s="3097" t="s">
        <v>3623</v>
      </c>
      <c r="H232" s="3097">
        <v>135.04000000000002</v>
      </c>
      <c r="I232" s="3097">
        <v>7919233.0899999999</v>
      </c>
      <c r="J232" s="3075">
        <f>ROUND(I232/H232,0)</f>
        <v>58644</v>
      </c>
      <c r="K232" s="3328">
        <v>50</v>
      </c>
      <c r="L232" s="3328">
        <v>6</v>
      </c>
      <c r="M232" s="3328">
        <v>1</v>
      </c>
    </row>
    <row r="233" spans="1:14" ht="27">
      <c r="A233" s="3111" t="s">
        <v>4193</v>
      </c>
      <c r="B233" s="3329"/>
      <c r="C233" s="3096" t="s">
        <v>4180</v>
      </c>
      <c r="D233" s="3097" t="s">
        <v>3621</v>
      </c>
      <c r="E233" s="3098" t="s">
        <v>3227</v>
      </c>
      <c r="F233" s="3097" t="s">
        <v>3622</v>
      </c>
      <c r="G233" s="3097" t="s">
        <v>3624</v>
      </c>
      <c r="H233" s="3097">
        <v>85.07</v>
      </c>
      <c r="I233" s="3097">
        <v>2539345.4500000002</v>
      </c>
      <c r="J233" s="3075">
        <f t="shared" si="26"/>
        <v>29850</v>
      </c>
      <c r="K233" s="3328"/>
      <c r="L233" s="3328"/>
      <c r="M233" s="3328"/>
    </row>
    <row r="234" spans="1:14">
      <c r="A234" s="3111" t="s">
        <v>4193</v>
      </c>
      <c r="B234" s="3329"/>
      <c r="C234" s="3096" t="s">
        <v>4180</v>
      </c>
      <c r="D234" s="3097" t="s">
        <v>3621</v>
      </c>
      <c r="E234" s="3097" t="s">
        <v>3229</v>
      </c>
      <c r="F234" s="3097" t="s">
        <v>3625</v>
      </c>
      <c r="G234" s="3097" t="s">
        <v>3625</v>
      </c>
      <c r="H234" s="3097">
        <v>84.169999999999987</v>
      </c>
      <c r="I234" s="3097">
        <v>2524509.13</v>
      </c>
      <c r="J234" s="3075">
        <f t="shared" si="26"/>
        <v>29993</v>
      </c>
      <c r="K234" s="3328"/>
      <c r="L234" s="3328"/>
      <c r="M234" s="3328"/>
    </row>
    <row r="235" spans="1:14">
      <c r="A235" s="3111" t="s">
        <v>4193</v>
      </c>
      <c r="B235" s="3329"/>
      <c r="C235" s="3096" t="s">
        <v>3218</v>
      </c>
      <c r="D235" s="3097" t="s">
        <v>3219</v>
      </c>
      <c r="E235" s="3097" t="s">
        <v>3626</v>
      </c>
      <c r="F235" s="3097" t="s">
        <v>3627</v>
      </c>
      <c r="G235" s="3097" t="s">
        <v>3627</v>
      </c>
      <c r="H235" s="3097">
        <v>45.64</v>
      </c>
      <c r="I235" s="3097">
        <v>420000.27</v>
      </c>
      <c r="J235" s="3075">
        <f t="shared" si="26"/>
        <v>9202</v>
      </c>
      <c r="K235" s="3328"/>
      <c r="L235" s="3328"/>
      <c r="M235" s="3328"/>
    </row>
    <row r="236" spans="1:14">
      <c r="A236" s="3111" t="s">
        <v>4193</v>
      </c>
      <c r="B236" s="3329"/>
      <c r="C236" s="3096" t="s">
        <v>3218</v>
      </c>
      <c r="D236" s="3097" t="s">
        <v>3219</v>
      </c>
      <c r="E236" s="3097" t="s">
        <v>3628</v>
      </c>
      <c r="F236" s="3097" t="s">
        <v>3629</v>
      </c>
      <c r="G236" s="3097" t="s">
        <v>3629</v>
      </c>
      <c r="H236" s="3097">
        <v>45.64</v>
      </c>
      <c r="I236" s="3097">
        <v>420000.27</v>
      </c>
      <c r="J236" s="3075">
        <f t="shared" si="26"/>
        <v>9202</v>
      </c>
      <c r="K236" s="3328"/>
      <c r="L236" s="3328"/>
      <c r="M236" s="3328"/>
      <c r="N236" s="1405">
        <f t="shared" ref="N236" si="31">ROUND((I232+I233+I234+I235+I236)/10000,0)</f>
        <v>1382</v>
      </c>
    </row>
    <row r="237" spans="1:14">
      <c r="A237" s="3111" t="s">
        <v>4193</v>
      </c>
      <c r="B237" s="3329">
        <v>48</v>
      </c>
      <c r="C237" s="3096" t="s">
        <v>3209</v>
      </c>
      <c r="D237" s="3097" t="s">
        <v>3630</v>
      </c>
      <c r="E237" s="3097" t="s">
        <v>3426</v>
      </c>
      <c r="F237" s="3097" t="s">
        <v>3631</v>
      </c>
      <c r="G237" s="3097" t="s">
        <v>3632</v>
      </c>
      <c r="H237" s="3097">
        <v>134.72</v>
      </c>
      <c r="I237" s="3097">
        <v>7694249.8899999997</v>
      </c>
      <c r="J237" s="3075">
        <f>ROUND(I237/H237,0)</f>
        <v>57113</v>
      </c>
      <c r="K237" s="3328">
        <v>52</v>
      </c>
      <c r="L237" s="3328">
        <v>8</v>
      </c>
      <c r="M237" s="3328">
        <v>2</v>
      </c>
    </row>
    <row r="238" spans="1:14" ht="27">
      <c r="A238" s="3111" t="s">
        <v>4193</v>
      </c>
      <c r="B238" s="3329"/>
      <c r="C238" s="3096" t="s">
        <v>4180</v>
      </c>
      <c r="D238" s="3097" t="s">
        <v>3630</v>
      </c>
      <c r="E238" s="3098" t="s">
        <v>3429</v>
      </c>
      <c r="F238" s="3097" t="s">
        <v>3631</v>
      </c>
      <c r="G238" s="3097" t="s">
        <v>3633</v>
      </c>
      <c r="H238" s="3097">
        <v>84.72</v>
      </c>
      <c r="I238" s="3097">
        <v>2528843.71</v>
      </c>
      <c r="J238" s="3075">
        <f t="shared" si="26"/>
        <v>29849</v>
      </c>
      <c r="K238" s="3328"/>
      <c r="L238" s="3328"/>
      <c r="M238" s="3328"/>
    </row>
    <row r="239" spans="1:14">
      <c r="A239" s="3111" t="s">
        <v>4193</v>
      </c>
      <c r="B239" s="3329"/>
      <c r="C239" s="3096" t="s">
        <v>4180</v>
      </c>
      <c r="D239" s="3097" t="s">
        <v>3630</v>
      </c>
      <c r="E239" s="3097" t="s">
        <v>3431</v>
      </c>
      <c r="F239" s="3097" t="s">
        <v>3634</v>
      </c>
      <c r="G239" s="3097" t="s">
        <v>3634</v>
      </c>
      <c r="H239" s="3097">
        <v>84.1</v>
      </c>
      <c r="I239" s="3097">
        <v>2522697.2400000002</v>
      </c>
      <c r="J239" s="3075">
        <f t="shared" si="26"/>
        <v>29996</v>
      </c>
      <c r="K239" s="3328"/>
      <c r="L239" s="3328"/>
      <c r="M239" s="3328"/>
    </row>
    <row r="240" spans="1:14">
      <c r="A240" s="3111" t="s">
        <v>4193</v>
      </c>
      <c r="B240" s="3329"/>
      <c r="C240" s="3096" t="s">
        <v>3218</v>
      </c>
      <c r="D240" s="3097" t="s">
        <v>3219</v>
      </c>
      <c r="E240" s="3097" t="s">
        <v>3635</v>
      </c>
      <c r="F240" s="3097" t="s">
        <v>3636</v>
      </c>
      <c r="G240" s="3097" t="s">
        <v>3636</v>
      </c>
      <c r="H240" s="3097">
        <v>45.64</v>
      </c>
      <c r="I240" s="3097">
        <v>420000.27</v>
      </c>
      <c r="J240" s="3075">
        <f t="shared" si="26"/>
        <v>9202</v>
      </c>
      <c r="K240" s="3328"/>
      <c r="L240" s="3328"/>
      <c r="M240" s="3328"/>
    </row>
    <row r="241" spans="1:14">
      <c r="A241" s="3111" t="s">
        <v>4193</v>
      </c>
      <c r="B241" s="3329"/>
      <c r="C241" s="3096" t="s">
        <v>3218</v>
      </c>
      <c r="D241" s="3097" t="s">
        <v>3219</v>
      </c>
      <c r="E241" s="3097" t="s">
        <v>3637</v>
      </c>
      <c r="F241" s="3097" t="s">
        <v>3638</v>
      </c>
      <c r="G241" s="3097" t="s">
        <v>3638</v>
      </c>
      <c r="H241" s="3097">
        <v>45.64</v>
      </c>
      <c r="I241" s="3097">
        <v>420000.27</v>
      </c>
      <c r="J241" s="3075">
        <f t="shared" si="26"/>
        <v>9202</v>
      </c>
      <c r="K241" s="3328"/>
      <c r="L241" s="3328"/>
      <c r="M241" s="3328"/>
      <c r="N241" s="1405">
        <f t="shared" si="30"/>
        <v>1359</v>
      </c>
    </row>
    <row r="242" spans="1:14">
      <c r="A242" s="3111" t="s">
        <v>4193</v>
      </c>
      <c r="B242" s="3329">
        <v>49</v>
      </c>
      <c r="C242" s="3096" t="s">
        <v>3209</v>
      </c>
      <c r="D242" s="3097" t="s">
        <v>3630</v>
      </c>
      <c r="E242" s="3097" t="s">
        <v>3211</v>
      </c>
      <c r="F242" s="3097" t="s">
        <v>3639</v>
      </c>
      <c r="G242" s="3097" t="s">
        <v>3640</v>
      </c>
      <c r="H242" s="3097">
        <v>134.72</v>
      </c>
      <c r="I242" s="3097">
        <v>7694249.8899999997</v>
      </c>
      <c r="J242" s="3075">
        <f>ROUND(I242/H242,0)</f>
        <v>57113</v>
      </c>
      <c r="K242" s="3328"/>
      <c r="L242" s="3328"/>
      <c r="M242" s="3328"/>
    </row>
    <row r="243" spans="1:14" ht="27">
      <c r="A243" s="3111" t="s">
        <v>4193</v>
      </c>
      <c r="B243" s="3329"/>
      <c r="C243" s="3096" t="s">
        <v>4180</v>
      </c>
      <c r="D243" s="3097" t="s">
        <v>3630</v>
      </c>
      <c r="E243" s="3098" t="s">
        <v>3214</v>
      </c>
      <c r="F243" s="3097" t="s">
        <v>3639</v>
      </c>
      <c r="G243" s="3097" t="s">
        <v>3641</v>
      </c>
      <c r="H243" s="3097">
        <v>84.72</v>
      </c>
      <c r="I243" s="3097">
        <v>2528843.71</v>
      </c>
      <c r="J243" s="3075">
        <f t="shared" si="26"/>
        <v>29849</v>
      </c>
      <c r="K243" s="3328"/>
      <c r="L243" s="3328"/>
      <c r="M243" s="3328"/>
    </row>
    <row r="244" spans="1:14">
      <c r="A244" s="3111" t="s">
        <v>4193</v>
      </c>
      <c r="B244" s="3329"/>
      <c r="C244" s="3096" t="s">
        <v>4180</v>
      </c>
      <c r="D244" s="3097" t="s">
        <v>3630</v>
      </c>
      <c r="E244" s="3097" t="s">
        <v>3216</v>
      </c>
      <c r="F244" s="3097" t="s">
        <v>3642</v>
      </c>
      <c r="G244" s="3097" t="s">
        <v>3642</v>
      </c>
      <c r="H244" s="3097">
        <v>84.1</v>
      </c>
      <c r="I244" s="3097">
        <v>2522697.2400000002</v>
      </c>
      <c r="J244" s="3075">
        <f t="shared" si="26"/>
        <v>29996</v>
      </c>
      <c r="K244" s="3328"/>
      <c r="L244" s="3328"/>
      <c r="M244" s="3328"/>
    </row>
    <row r="245" spans="1:14">
      <c r="A245" s="3111" t="s">
        <v>4193</v>
      </c>
      <c r="B245" s="3329"/>
      <c r="C245" s="3096" t="s">
        <v>3218</v>
      </c>
      <c r="D245" s="3097" t="s">
        <v>3219</v>
      </c>
      <c r="E245" s="3097" t="s">
        <v>3643</v>
      </c>
      <c r="F245" s="3097" t="s">
        <v>3644</v>
      </c>
      <c r="G245" s="3097" t="s">
        <v>3644</v>
      </c>
      <c r="H245" s="3097">
        <v>45.64</v>
      </c>
      <c r="I245" s="3097">
        <v>420000.27</v>
      </c>
      <c r="J245" s="3075">
        <f t="shared" si="26"/>
        <v>9202</v>
      </c>
      <c r="K245" s="3328"/>
      <c r="L245" s="3328"/>
      <c r="M245" s="3328"/>
    </row>
    <row r="246" spans="1:14">
      <c r="A246" s="3111" t="s">
        <v>4193</v>
      </c>
      <c r="B246" s="3329"/>
      <c r="C246" s="3096" t="s">
        <v>3218</v>
      </c>
      <c r="D246" s="3097" t="s">
        <v>3219</v>
      </c>
      <c r="E246" s="3097" t="s">
        <v>3645</v>
      </c>
      <c r="F246" s="3097" t="s">
        <v>3646</v>
      </c>
      <c r="G246" s="3097" t="s">
        <v>3646</v>
      </c>
      <c r="H246" s="3097">
        <v>45.64</v>
      </c>
      <c r="I246" s="3097">
        <v>420000.27</v>
      </c>
      <c r="J246" s="3075">
        <f t="shared" si="26"/>
        <v>9202</v>
      </c>
      <c r="K246" s="3328"/>
      <c r="L246" s="3328"/>
      <c r="M246" s="3328"/>
      <c r="N246" s="1405">
        <f t="shared" ref="N246" si="32">ROUND((I242+I243+I244+I245+I246)/10000,0)</f>
        <v>1359</v>
      </c>
    </row>
    <row r="247" spans="1:14">
      <c r="A247" s="3111" t="s">
        <v>4193</v>
      </c>
      <c r="B247" s="3329">
        <v>50</v>
      </c>
      <c r="C247" s="3096" t="s">
        <v>3209</v>
      </c>
      <c r="D247" s="3097" t="s">
        <v>3647</v>
      </c>
      <c r="E247" s="3097" t="s">
        <v>3648</v>
      </c>
      <c r="F247" s="3097" t="s">
        <v>3649</v>
      </c>
      <c r="G247" s="3097" t="s">
        <v>3650</v>
      </c>
      <c r="H247" s="3097">
        <v>134.52000000000001</v>
      </c>
      <c r="I247" s="3097">
        <v>8501786.4100000001</v>
      </c>
      <c r="J247" s="3075">
        <f>ROUND(I247/H247,0)</f>
        <v>63201</v>
      </c>
      <c r="K247" s="3328">
        <v>53</v>
      </c>
      <c r="L247" s="3328">
        <v>8</v>
      </c>
      <c r="M247" s="3328">
        <v>2</v>
      </c>
    </row>
    <row r="248" spans="1:14" ht="27">
      <c r="A248" s="3111" t="s">
        <v>4193</v>
      </c>
      <c r="B248" s="3329"/>
      <c r="C248" s="3096" t="s">
        <v>4180</v>
      </c>
      <c r="D248" s="3097" t="s">
        <v>3647</v>
      </c>
      <c r="E248" s="3098" t="s">
        <v>3651</v>
      </c>
      <c r="F248" s="3097" t="s">
        <v>3649</v>
      </c>
      <c r="G248" s="3097" t="s">
        <v>3652</v>
      </c>
      <c r="H248" s="3097">
        <v>84.56</v>
      </c>
      <c r="I248" s="3097">
        <v>2524181.96</v>
      </c>
      <c r="J248" s="3075">
        <f t="shared" si="26"/>
        <v>29851</v>
      </c>
      <c r="K248" s="3328"/>
      <c r="L248" s="3328"/>
      <c r="M248" s="3328"/>
    </row>
    <row r="249" spans="1:14">
      <c r="A249" s="3111" t="s">
        <v>4193</v>
      </c>
      <c r="B249" s="3329"/>
      <c r="C249" s="3096" t="s">
        <v>4180</v>
      </c>
      <c r="D249" s="3097" t="s">
        <v>3647</v>
      </c>
      <c r="E249" s="3097" t="s">
        <v>3653</v>
      </c>
      <c r="F249" s="3097" t="s">
        <v>3654</v>
      </c>
      <c r="G249" s="3097" t="s">
        <v>3654</v>
      </c>
      <c r="H249" s="3097">
        <v>83.38</v>
      </c>
      <c r="I249" s="3097">
        <v>2500793.83</v>
      </c>
      <c r="J249" s="3075">
        <f t="shared" si="26"/>
        <v>29993</v>
      </c>
      <c r="K249" s="3328"/>
      <c r="L249" s="3328"/>
      <c r="M249" s="3328"/>
    </row>
    <row r="250" spans="1:14">
      <c r="A250" s="3111" t="s">
        <v>4193</v>
      </c>
      <c r="B250" s="3329"/>
      <c r="C250" s="3096" t="s">
        <v>3218</v>
      </c>
      <c r="D250" s="3097" t="s">
        <v>3219</v>
      </c>
      <c r="E250" s="3097" t="s">
        <v>3655</v>
      </c>
      <c r="F250" s="3097" t="s">
        <v>3656</v>
      </c>
      <c r="G250" s="3097" t="s">
        <v>3656</v>
      </c>
      <c r="H250" s="3097">
        <v>45.64</v>
      </c>
      <c r="I250" s="3097">
        <v>420000.27</v>
      </c>
      <c r="J250" s="3075">
        <f t="shared" si="26"/>
        <v>9202</v>
      </c>
      <c r="K250" s="3328"/>
      <c r="L250" s="3328"/>
      <c r="M250" s="3328"/>
    </row>
    <row r="251" spans="1:14">
      <c r="A251" s="3111" t="s">
        <v>4193</v>
      </c>
      <c r="B251" s="3329"/>
      <c r="C251" s="3096" t="s">
        <v>3218</v>
      </c>
      <c r="D251" s="3097" t="s">
        <v>3219</v>
      </c>
      <c r="E251" s="3097" t="s">
        <v>3657</v>
      </c>
      <c r="F251" s="3097" t="s">
        <v>3658</v>
      </c>
      <c r="G251" s="3097" t="s">
        <v>3658</v>
      </c>
      <c r="H251" s="3097">
        <v>45.64</v>
      </c>
      <c r="I251" s="3097">
        <v>420000.27</v>
      </c>
      <c r="J251" s="3075">
        <f t="shared" si="26"/>
        <v>9202</v>
      </c>
      <c r="K251" s="3328"/>
      <c r="L251" s="3328"/>
      <c r="M251" s="3328"/>
      <c r="N251" s="1405">
        <f t="shared" si="30"/>
        <v>1437</v>
      </c>
    </row>
    <row r="252" spans="1:14">
      <c r="A252" s="3111" t="s">
        <v>4193</v>
      </c>
      <c r="B252" s="3329">
        <v>51</v>
      </c>
      <c r="C252" s="3096" t="s">
        <v>3209</v>
      </c>
      <c r="D252" s="3097" t="s">
        <v>3647</v>
      </c>
      <c r="E252" s="3097" t="s">
        <v>3235</v>
      </c>
      <c r="F252" s="3097" t="s">
        <v>3659</v>
      </c>
      <c r="G252" s="3097" t="s">
        <v>3660</v>
      </c>
      <c r="H252" s="3097">
        <v>134.66999999999999</v>
      </c>
      <c r="I252" s="3097">
        <v>7967726.3099999996</v>
      </c>
      <c r="J252" s="3075">
        <f>ROUND(I252/H252,0)</f>
        <v>59165</v>
      </c>
      <c r="K252" s="3328"/>
      <c r="L252" s="3328"/>
      <c r="M252" s="3328"/>
    </row>
    <row r="253" spans="1:14" ht="27">
      <c r="A253" s="3111" t="s">
        <v>4193</v>
      </c>
      <c r="B253" s="3329"/>
      <c r="C253" s="3096" t="s">
        <v>4180</v>
      </c>
      <c r="D253" s="3097" t="s">
        <v>3647</v>
      </c>
      <c r="E253" s="3098" t="s">
        <v>3238</v>
      </c>
      <c r="F253" s="3097" t="s">
        <v>3659</v>
      </c>
      <c r="G253" s="3097" t="s">
        <v>3661</v>
      </c>
      <c r="H253" s="3097">
        <v>84.7</v>
      </c>
      <c r="I253" s="3097">
        <v>2528228.09</v>
      </c>
      <c r="J253" s="3075">
        <f t="shared" si="26"/>
        <v>29849</v>
      </c>
      <c r="K253" s="3328"/>
      <c r="L253" s="3328"/>
      <c r="M253" s="3328"/>
    </row>
    <row r="254" spans="1:14">
      <c r="A254" s="3111" t="s">
        <v>4193</v>
      </c>
      <c r="B254" s="3329"/>
      <c r="C254" s="3096" t="s">
        <v>4180</v>
      </c>
      <c r="D254" s="3097" t="s">
        <v>3647</v>
      </c>
      <c r="E254" s="3097" t="s">
        <v>3240</v>
      </c>
      <c r="F254" s="3097" t="s">
        <v>3662</v>
      </c>
      <c r="G254" s="3097" t="s">
        <v>3662</v>
      </c>
      <c r="H254" s="3097">
        <v>84.1</v>
      </c>
      <c r="I254" s="3097">
        <v>2522398.69</v>
      </c>
      <c r="J254" s="3075">
        <f t="shared" si="26"/>
        <v>29993</v>
      </c>
      <c r="K254" s="3328"/>
      <c r="L254" s="3328"/>
      <c r="M254" s="3328"/>
    </row>
    <row r="255" spans="1:14">
      <c r="A255" s="3111" t="s">
        <v>4193</v>
      </c>
      <c r="B255" s="3329"/>
      <c r="C255" s="3096" t="s">
        <v>3218</v>
      </c>
      <c r="D255" s="3097" t="s">
        <v>3219</v>
      </c>
      <c r="E255" s="3097" t="s">
        <v>3663</v>
      </c>
      <c r="F255" s="3097" t="s">
        <v>3664</v>
      </c>
      <c r="G255" s="3097" t="s">
        <v>3664</v>
      </c>
      <c r="H255" s="3097">
        <v>45.64</v>
      </c>
      <c r="I255" s="3097">
        <v>420000.27</v>
      </c>
      <c r="J255" s="3075">
        <f t="shared" si="26"/>
        <v>9202</v>
      </c>
      <c r="K255" s="3328"/>
      <c r="L255" s="3328"/>
      <c r="M255" s="3328"/>
    </row>
    <row r="256" spans="1:14">
      <c r="A256" s="3111" t="s">
        <v>4193</v>
      </c>
      <c r="B256" s="3329"/>
      <c r="C256" s="3096" t="s">
        <v>3218</v>
      </c>
      <c r="D256" s="3097" t="s">
        <v>3219</v>
      </c>
      <c r="E256" s="3097" t="s">
        <v>3665</v>
      </c>
      <c r="F256" s="3097" t="s">
        <v>3666</v>
      </c>
      <c r="G256" s="3097" t="s">
        <v>3666</v>
      </c>
      <c r="H256" s="3097">
        <v>45.64</v>
      </c>
      <c r="I256" s="3097">
        <v>420000.27</v>
      </c>
      <c r="J256" s="3075">
        <f t="shared" si="26"/>
        <v>9202</v>
      </c>
      <c r="K256" s="3328"/>
      <c r="L256" s="3328"/>
      <c r="M256" s="3328"/>
      <c r="N256" s="1405">
        <f t="shared" ref="N256" si="33">ROUND((I252+I253+I254+I255+I256)/10000,0)</f>
        <v>1386</v>
      </c>
    </row>
    <row r="257" spans="1:14" s="3110" customFormat="1">
      <c r="A257" s="3107" t="s">
        <v>4192</v>
      </c>
      <c r="B257" s="3329">
        <v>52</v>
      </c>
      <c r="C257" s="3108" t="s">
        <v>3209</v>
      </c>
      <c r="D257" s="3109" t="s">
        <v>3667</v>
      </c>
      <c r="E257" s="3109" t="s">
        <v>3388</v>
      </c>
      <c r="F257" s="3109" t="s">
        <v>3668</v>
      </c>
      <c r="G257" s="3109" t="s">
        <v>3669</v>
      </c>
      <c r="H257" s="3109">
        <v>134.66999999999999</v>
      </c>
      <c r="I257" s="3109">
        <v>7888736.9699999997</v>
      </c>
      <c r="J257" s="3086">
        <f>ROUND(I257/H257,0)</f>
        <v>58578</v>
      </c>
      <c r="K257" s="3328">
        <v>56</v>
      </c>
      <c r="L257" s="3328">
        <v>8</v>
      </c>
      <c r="M257" s="3328">
        <v>1</v>
      </c>
    </row>
    <row r="258" spans="1:14" ht="27">
      <c r="A258" s="3107" t="s">
        <v>4192</v>
      </c>
      <c r="B258" s="3329"/>
      <c r="C258" s="3096" t="s">
        <v>4180</v>
      </c>
      <c r="D258" s="3097" t="s">
        <v>3667</v>
      </c>
      <c r="E258" s="3098" t="s">
        <v>3391</v>
      </c>
      <c r="F258" s="3097" t="s">
        <v>3668</v>
      </c>
      <c r="G258" s="3097" t="s">
        <v>3670</v>
      </c>
      <c r="H258" s="3097">
        <v>84.7</v>
      </c>
      <c r="I258" s="3097">
        <v>2528228.09</v>
      </c>
      <c r="J258" s="3075">
        <f t="shared" ref="J258:J316" si="34">ROUND(I258/H258,0)</f>
        <v>29849</v>
      </c>
      <c r="K258" s="3328"/>
      <c r="L258" s="3328"/>
      <c r="M258" s="3328"/>
    </row>
    <row r="259" spans="1:14">
      <c r="A259" s="3107" t="s">
        <v>4192</v>
      </c>
      <c r="B259" s="3329"/>
      <c r="C259" s="3096" t="s">
        <v>4180</v>
      </c>
      <c r="D259" s="3097" t="s">
        <v>3667</v>
      </c>
      <c r="E259" s="3097" t="s">
        <v>3393</v>
      </c>
      <c r="F259" s="3097" t="s">
        <v>3671</v>
      </c>
      <c r="G259" s="3097" t="s">
        <v>3671</v>
      </c>
      <c r="H259" s="3097">
        <v>84.1</v>
      </c>
      <c r="I259" s="3097">
        <v>2522398.69</v>
      </c>
      <c r="J259" s="3075">
        <f t="shared" si="34"/>
        <v>29993</v>
      </c>
      <c r="K259" s="3328"/>
      <c r="L259" s="3328"/>
      <c r="M259" s="3328"/>
    </row>
    <row r="260" spans="1:14">
      <c r="A260" s="3107" t="s">
        <v>4192</v>
      </c>
      <c r="B260" s="3329"/>
      <c r="C260" s="3096" t="s">
        <v>3218</v>
      </c>
      <c r="D260" s="3097" t="s">
        <v>3219</v>
      </c>
      <c r="E260" s="3097" t="s">
        <v>3672</v>
      </c>
      <c r="F260" s="3097" t="s">
        <v>3673</v>
      </c>
      <c r="G260" s="3097" t="s">
        <v>3673</v>
      </c>
      <c r="H260" s="3097">
        <v>45.64</v>
      </c>
      <c r="I260" s="3097">
        <v>420000.27</v>
      </c>
      <c r="J260" s="3075">
        <f t="shared" si="34"/>
        <v>9202</v>
      </c>
      <c r="K260" s="3328"/>
      <c r="L260" s="3328"/>
      <c r="M260" s="3328"/>
    </row>
    <row r="261" spans="1:14">
      <c r="A261" s="3107" t="s">
        <v>4192</v>
      </c>
      <c r="B261" s="3329"/>
      <c r="C261" s="3096" t="s">
        <v>3218</v>
      </c>
      <c r="D261" s="3097" t="s">
        <v>3219</v>
      </c>
      <c r="E261" s="3097" t="s">
        <v>3674</v>
      </c>
      <c r="F261" s="3097" t="s">
        <v>3675</v>
      </c>
      <c r="G261" s="3097" t="s">
        <v>3675</v>
      </c>
      <c r="H261" s="3097">
        <v>45.64</v>
      </c>
      <c r="I261" s="3097">
        <v>420000.27</v>
      </c>
      <c r="J261" s="3075">
        <f t="shared" si="34"/>
        <v>9202</v>
      </c>
      <c r="K261" s="3328"/>
      <c r="L261" s="3328"/>
      <c r="M261" s="3328"/>
      <c r="N261" s="1405">
        <f t="shared" ref="N261" si="35">ROUND((I257+I258+I259+I260+I261)/10000,0)</f>
        <v>1378</v>
      </c>
    </row>
    <row r="262" spans="1:14">
      <c r="A262" s="3107" t="s">
        <v>4192</v>
      </c>
      <c r="B262" s="3329">
        <v>53</v>
      </c>
      <c r="C262" s="3096" t="s">
        <v>3209</v>
      </c>
      <c r="D262" s="3097" t="s">
        <v>3676</v>
      </c>
      <c r="E262" s="3097" t="s">
        <v>3426</v>
      </c>
      <c r="F262" s="3097" t="s">
        <v>3677</v>
      </c>
      <c r="G262" s="3097" t="s">
        <v>3678</v>
      </c>
      <c r="H262" s="3097">
        <v>134.87</v>
      </c>
      <c r="I262" s="3097">
        <v>8522122.4000000004</v>
      </c>
      <c r="J262" s="3075">
        <f>ROUND(I262/H262,0)</f>
        <v>63188</v>
      </c>
      <c r="K262" s="3328">
        <v>58</v>
      </c>
      <c r="L262" s="3328">
        <v>6</v>
      </c>
      <c r="M262" s="3328">
        <v>2</v>
      </c>
    </row>
    <row r="263" spans="1:14" ht="27">
      <c r="A263" s="3107" t="s">
        <v>4192</v>
      </c>
      <c r="B263" s="3329"/>
      <c r="C263" s="3096" t="s">
        <v>4180</v>
      </c>
      <c r="D263" s="3097" t="s">
        <v>3676</v>
      </c>
      <c r="E263" s="3098" t="s">
        <v>3429</v>
      </c>
      <c r="F263" s="3097" t="s">
        <v>3677</v>
      </c>
      <c r="G263" s="3097" t="s">
        <v>3679</v>
      </c>
      <c r="H263" s="3097">
        <v>84.76</v>
      </c>
      <c r="I263" s="3097">
        <v>2530081.7599999998</v>
      </c>
      <c r="J263" s="3075">
        <f t="shared" si="34"/>
        <v>29850</v>
      </c>
      <c r="K263" s="3328"/>
      <c r="L263" s="3328"/>
      <c r="M263" s="3328"/>
    </row>
    <row r="264" spans="1:14">
      <c r="A264" s="3107" t="s">
        <v>4192</v>
      </c>
      <c r="B264" s="3329"/>
      <c r="C264" s="3096" t="s">
        <v>4180</v>
      </c>
      <c r="D264" s="3097" t="s">
        <v>3676</v>
      </c>
      <c r="E264" s="3097" t="s">
        <v>3431</v>
      </c>
      <c r="F264" s="3097" t="s">
        <v>3680</v>
      </c>
      <c r="G264" s="3097" t="s">
        <v>3680</v>
      </c>
      <c r="H264" s="3097">
        <v>83.47999999999999</v>
      </c>
      <c r="I264" s="3097">
        <v>2503774.73</v>
      </c>
      <c r="J264" s="3075">
        <f t="shared" si="34"/>
        <v>29993</v>
      </c>
      <c r="K264" s="3328"/>
      <c r="L264" s="3328"/>
      <c r="M264" s="3328"/>
    </row>
    <row r="265" spans="1:14">
      <c r="A265" s="3107" t="s">
        <v>4192</v>
      </c>
      <c r="B265" s="3329"/>
      <c r="C265" s="3096" t="s">
        <v>3218</v>
      </c>
      <c r="D265" s="3097" t="s">
        <v>3219</v>
      </c>
      <c r="E265" s="3097" t="s">
        <v>3681</v>
      </c>
      <c r="F265" s="3097" t="s">
        <v>3682</v>
      </c>
      <c r="G265" s="3097" t="s">
        <v>3682</v>
      </c>
      <c r="H265" s="3097">
        <v>45.64</v>
      </c>
      <c r="I265" s="3097">
        <v>420000.27</v>
      </c>
      <c r="J265" s="3075">
        <f t="shared" si="34"/>
        <v>9202</v>
      </c>
      <c r="K265" s="3328"/>
      <c r="L265" s="3328"/>
      <c r="M265" s="3328"/>
    </row>
    <row r="266" spans="1:14">
      <c r="A266" s="3107" t="s">
        <v>4192</v>
      </c>
      <c r="B266" s="3329"/>
      <c r="C266" s="3096" t="s">
        <v>3218</v>
      </c>
      <c r="D266" s="3097" t="s">
        <v>3219</v>
      </c>
      <c r="E266" s="3097" t="s">
        <v>3683</v>
      </c>
      <c r="F266" s="3097" t="s">
        <v>3684</v>
      </c>
      <c r="G266" s="3097" t="s">
        <v>3684</v>
      </c>
      <c r="H266" s="3097">
        <v>45.64</v>
      </c>
      <c r="I266" s="3097">
        <v>420000.27</v>
      </c>
      <c r="J266" s="3075">
        <f t="shared" si="34"/>
        <v>9202</v>
      </c>
      <c r="K266" s="3328"/>
      <c r="L266" s="3328"/>
      <c r="M266" s="3328"/>
      <c r="N266" s="1405">
        <f>ROUND((I262+I263+I264+I265+I266)/10000,0)</f>
        <v>1440</v>
      </c>
    </row>
    <row r="267" spans="1:14">
      <c r="A267" s="3107" t="s">
        <v>4192</v>
      </c>
      <c r="B267" s="3329">
        <v>54</v>
      </c>
      <c r="C267" s="3096" t="s">
        <v>3209</v>
      </c>
      <c r="D267" s="3097" t="s">
        <v>3676</v>
      </c>
      <c r="E267" s="3097" t="s">
        <v>3247</v>
      </c>
      <c r="F267" s="3097" t="s">
        <v>3685</v>
      </c>
      <c r="G267" s="3097" t="s">
        <v>3686</v>
      </c>
      <c r="H267" s="3097">
        <v>135.21</v>
      </c>
      <c r="I267" s="3097">
        <v>8038523.8499999996</v>
      </c>
      <c r="J267" s="3075">
        <f>ROUND(I267/H267,0)</f>
        <v>59452</v>
      </c>
      <c r="K267" s="3328"/>
      <c r="L267" s="3328"/>
      <c r="M267" s="3328"/>
    </row>
    <row r="268" spans="1:14" ht="13.5" customHeight="1">
      <c r="A268" s="3107" t="s">
        <v>4192</v>
      </c>
      <c r="B268" s="3329"/>
      <c r="C268" s="3096" t="s">
        <v>4180</v>
      </c>
      <c r="D268" s="3097" t="s">
        <v>3676</v>
      </c>
      <c r="E268" s="3097" t="s">
        <v>3250</v>
      </c>
      <c r="F268" s="3097" t="s">
        <v>3685</v>
      </c>
      <c r="G268" s="3097" t="s">
        <v>3687</v>
      </c>
      <c r="H268" s="3097">
        <v>85.18</v>
      </c>
      <c r="I268" s="3097">
        <v>2542371.7200000002</v>
      </c>
      <c r="J268" s="3075">
        <f t="shared" si="34"/>
        <v>29847</v>
      </c>
      <c r="K268" s="3328"/>
      <c r="L268" s="3328"/>
      <c r="M268" s="3328"/>
    </row>
    <row r="269" spans="1:14">
      <c r="A269" s="3107" t="s">
        <v>4192</v>
      </c>
      <c r="B269" s="3329"/>
      <c r="C269" s="3096" t="s">
        <v>4180</v>
      </c>
      <c r="D269" s="3097" t="s">
        <v>3676</v>
      </c>
      <c r="E269" s="3097" t="s">
        <v>3252</v>
      </c>
      <c r="F269" s="3097" t="s">
        <v>3688</v>
      </c>
      <c r="G269" s="3097" t="s">
        <v>3688</v>
      </c>
      <c r="H269" s="3097">
        <v>84.199999999999989</v>
      </c>
      <c r="I269" s="3097">
        <v>2525405.5499999998</v>
      </c>
      <c r="J269" s="3075">
        <f t="shared" si="34"/>
        <v>29993</v>
      </c>
      <c r="K269" s="3328"/>
      <c r="L269" s="3328"/>
      <c r="M269" s="3328"/>
    </row>
    <row r="270" spans="1:14">
      <c r="A270" s="3107" t="s">
        <v>4192</v>
      </c>
      <c r="B270" s="3329"/>
      <c r="C270" s="3096" t="s">
        <v>3218</v>
      </c>
      <c r="D270" s="3097" t="s">
        <v>3219</v>
      </c>
      <c r="E270" s="3097" t="s">
        <v>3689</v>
      </c>
      <c r="F270" s="3097" t="s">
        <v>3690</v>
      </c>
      <c r="G270" s="3097" t="s">
        <v>3690</v>
      </c>
      <c r="H270" s="3097">
        <v>45.64</v>
      </c>
      <c r="I270" s="3097">
        <v>420000.27</v>
      </c>
      <c r="J270" s="3075">
        <f t="shared" si="34"/>
        <v>9202</v>
      </c>
      <c r="K270" s="3328"/>
      <c r="L270" s="3328"/>
      <c r="M270" s="3328"/>
    </row>
    <row r="271" spans="1:14">
      <c r="A271" s="3107" t="s">
        <v>4192</v>
      </c>
      <c r="B271" s="3329"/>
      <c r="C271" s="3096" t="s">
        <v>3218</v>
      </c>
      <c r="D271" s="3097" t="s">
        <v>3219</v>
      </c>
      <c r="E271" s="3097" t="s">
        <v>3691</v>
      </c>
      <c r="F271" s="3097" t="s">
        <v>3692</v>
      </c>
      <c r="G271" s="3097" t="s">
        <v>3692</v>
      </c>
      <c r="H271" s="3097">
        <v>45.64</v>
      </c>
      <c r="I271" s="3097">
        <v>420000.27</v>
      </c>
      <c r="J271" s="3075">
        <f t="shared" si="34"/>
        <v>9202</v>
      </c>
      <c r="K271" s="3328"/>
      <c r="L271" s="3328"/>
      <c r="M271" s="3328"/>
      <c r="N271" s="1405">
        <f t="shared" ref="N271" si="36">ROUND((I267+I268+I269+I270+I271)/10000,0)</f>
        <v>1395</v>
      </c>
    </row>
    <row r="272" spans="1:14">
      <c r="A272" s="3107" t="s">
        <v>4192</v>
      </c>
      <c r="B272" s="3329">
        <v>55</v>
      </c>
      <c r="C272" s="3096" t="s">
        <v>3209</v>
      </c>
      <c r="D272" s="3097" t="s">
        <v>3693</v>
      </c>
      <c r="E272" s="3097" t="s">
        <v>3388</v>
      </c>
      <c r="F272" s="3097" t="s">
        <v>3694</v>
      </c>
      <c r="G272" s="3097" t="s">
        <v>3695</v>
      </c>
      <c r="H272" s="3097">
        <v>134.76</v>
      </c>
      <c r="I272" s="3097">
        <v>7999929.0300000003</v>
      </c>
      <c r="J272" s="3075">
        <f>ROUND(I272/H272,0)</f>
        <v>59364</v>
      </c>
      <c r="K272" s="3328">
        <v>60</v>
      </c>
      <c r="L272" s="3328">
        <v>8</v>
      </c>
      <c r="M272" s="3328">
        <v>1</v>
      </c>
    </row>
    <row r="273" spans="1:14" ht="27">
      <c r="A273" s="3107" t="s">
        <v>4192</v>
      </c>
      <c r="B273" s="3329"/>
      <c r="C273" s="3096" t="s">
        <v>4180</v>
      </c>
      <c r="D273" s="3097" t="s">
        <v>3693</v>
      </c>
      <c r="E273" s="3098" t="s">
        <v>3391</v>
      </c>
      <c r="F273" s="3097" t="s">
        <v>3694</v>
      </c>
      <c r="G273" s="3097" t="s">
        <v>3696</v>
      </c>
      <c r="H273" s="3097">
        <v>84.74</v>
      </c>
      <c r="I273" s="3097">
        <v>2529767.79</v>
      </c>
      <c r="J273" s="3075">
        <f t="shared" si="34"/>
        <v>29853</v>
      </c>
      <c r="K273" s="3328"/>
      <c r="L273" s="3328"/>
      <c r="M273" s="3328"/>
    </row>
    <row r="274" spans="1:14">
      <c r="A274" s="3107" t="s">
        <v>4192</v>
      </c>
      <c r="B274" s="3329"/>
      <c r="C274" s="3096" t="s">
        <v>4180</v>
      </c>
      <c r="D274" s="3097" t="s">
        <v>3693</v>
      </c>
      <c r="E274" s="3097" t="s">
        <v>3393</v>
      </c>
      <c r="F274" s="3097" t="s">
        <v>3697</v>
      </c>
      <c r="G274" s="3097" t="s">
        <v>3697</v>
      </c>
      <c r="H274" s="3097">
        <v>84.110000000000014</v>
      </c>
      <c r="I274" s="3097">
        <v>2522996.36</v>
      </c>
      <c r="J274" s="3075">
        <f t="shared" si="34"/>
        <v>29996</v>
      </c>
      <c r="K274" s="3328"/>
      <c r="L274" s="3328"/>
      <c r="M274" s="3328"/>
    </row>
    <row r="275" spans="1:14">
      <c r="A275" s="3107" t="s">
        <v>4192</v>
      </c>
      <c r="B275" s="3329"/>
      <c r="C275" s="3096" t="s">
        <v>3218</v>
      </c>
      <c r="D275" s="3097" t="s">
        <v>3219</v>
      </c>
      <c r="E275" s="3097" t="s">
        <v>3698</v>
      </c>
      <c r="F275" s="3097" t="s">
        <v>3699</v>
      </c>
      <c r="G275" s="3097" t="s">
        <v>3699</v>
      </c>
      <c r="H275" s="3097">
        <v>45.64</v>
      </c>
      <c r="I275" s="3097">
        <v>420000.27</v>
      </c>
      <c r="J275" s="3075">
        <f t="shared" si="34"/>
        <v>9202</v>
      </c>
      <c r="K275" s="3328"/>
      <c r="L275" s="3328"/>
      <c r="M275" s="3328"/>
    </row>
    <row r="276" spans="1:14">
      <c r="A276" s="3107" t="s">
        <v>4192</v>
      </c>
      <c r="B276" s="3329"/>
      <c r="C276" s="3096" t="s">
        <v>3218</v>
      </c>
      <c r="D276" s="3097" t="s">
        <v>3219</v>
      </c>
      <c r="E276" s="3097" t="s">
        <v>3700</v>
      </c>
      <c r="F276" s="3097" t="s">
        <v>3701</v>
      </c>
      <c r="G276" s="3097" t="s">
        <v>3701</v>
      </c>
      <c r="H276" s="3097">
        <v>45.64</v>
      </c>
      <c r="I276" s="3097">
        <v>420000.27</v>
      </c>
      <c r="J276" s="3075">
        <f t="shared" si="34"/>
        <v>9202</v>
      </c>
      <c r="K276" s="3328"/>
      <c r="L276" s="3328"/>
      <c r="M276" s="3328"/>
      <c r="N276" s="1405">
        <f t="shared" si="30"/>
        <v>1389</v>
      </c>
    </row>
    <row r="277" spans="1:14">
      <c r="A277" s="3107" t="s">
        <v>4192</v>
      </c>
      <c r="B277" s="3329">
        <v>56</v>
      </c>
      <c r="C277" s="3096" t="s">
        <v>3209</v>
      </c>
      <c r="D277" s="3097" t="s">
        <v>3702</v>
      </c>
      <c r="E277" s="3097" t="s">
        <v>3224</v>
      </c>
      <c r="F277" s="3097" t="s">
        <v>3703</v>
      </c>
      <c r="G277" s="3097" t="s">
        <v>3704</v>
      </c>
      <c r="H277" s="3097">
        <v>139.41000000000003</v>
      </c>
      <c r="I277" s="3097">
        <v>8797126.5</v>
      </c>
      <c r="J277" s="3075">
        <f>ROUND(I277/H277,0)</f>
        <v>63103</v>
      </c>
      <c r="K277" s="3328">
        <v>61</v>
      </c>
      <c r="L277" s="3328">
        <v>4</v>
      </c>
      <c r="M277" s="3328">
        <v>1</v>
      </c>
    </row>
    <row r="278" spans="1:14" ht="27">
      <c r="A278" s="3107" t="s">
        <v>4192</v>
      </c>
      <c r="B278" s="3329"/>
      <c r="C278" s="3096" t="s">
        <v>4180</v>
      </c>
      <c r="D278" s="3097" t="s">
        <v>3702</v>
      </c>
      <c r="E278" s="3098" t="s">
        <v>3227</v>
      </c>
      <c r="F278" s="3097" t="s">
        <v>3703</v>
      </c>
      <c r="G278" s="3097" t="s">
        <v>3705</v>
      </c>
      <c r="H278" s="3097">
        <v>87.14</v>
      </c>
      <c r="I278" s="3097">
        <v>2597668.67</v>
      </c>
      <c r="J278" s="3075">
        <f t="shared" si="34"/>
        <v>29810</v>
      </c>
      <c r="K278" s="3328"/>
      <c r="L278" s="3328"/>
      <c r="M278" s="3328"/>
    </row>
    <row r="279" spans="1:14">
      <c r="A279" s="3107" t="s">
        <v>4192</v>
      </c>
      <c r="B279" s="3329"/>
      <c r="C279" s="3096" t="s">
        <v>4180</v>
      </c>
      <c r="D279" s="3097" t="s">
        <v>3702</v>
      </c>
      <c r="E279" s="3097" t="s">
        <v>3229</v>
      </c>
      <c r="F279" s="3097" t="s">
        <v>3706</v>
      </c>
      <c r="G279" s="3097" t="s">
        <v>3706</v>
      </c>
      <c r="H279" s="3097">
        <v>85.08</v>
      </c>
      <c r="I279" s="3097">
        <v>2552100.52</v>
      </c>
      <c r="J279" s="3075">
        <f t="shared" si="34"/>
        <v>29996</v>
      </c>
      <c r="K279" s="3328"/>
      <c r="L279" s="3328"/>
      <c r="M279" s="3328"/>
    </row>
    <row r="280" spans="1:14">
      <c r="A280" s="3107" t="s">
        <v>4192</v>
      </c>
      <c r="B280" s="3329"/>
      <c r="C280" s="3096" t="s">
        <v>3218</v>
      </c>
      <c r="D280" s="3097" t="s">
        <v>3219</v>
      </c>
      <c r="E280" s="3097" t="s">
        <v>3707</v>
      </c>
      <c r="F280" s="3097" t="s">
        <v>3708</v>
      </c>
      <c r="G280" s="3097" t="s">
        <v>3708</v>
      </c>
      <c r="H280" s="3097">
        <v>45.64</v>
      </c>
      <c r="I280" s="3097">
        <v>420000.27</v>
      </c>
      <c r="J280" s="3075">
        <f t="shared" si="34"/>
        <v>9202</v>
      </c>
      <c r="K280" s="3328"/>
      <c r="L280" s="3328"/>
      <c r="M280" s="3328"/>
    </row>
    <row r="281" spans="1:14">
      <c r="A281" s="3107" t="s">
        <v>4192</v>
      </c>
      <c r="B281" s="3329"/>
      <c r="C281" s="3096" t="s">
        <v>3218</v>
      </c>
      <c r="D281" s="3097" t="s">
        <v>3219</v>
      </c>
      <c r="E281" s="3097" t="s">
        <v>3709</v>
      </c>
      <c r="F281" s="3097" t="s">
        <v>3710</v>
      </c>
      <c r="G281" s="3097" t="s">
        <v>3710</v>
      </c>
      <c r="H281" s="3097">
        <v>45.64</v>
      </c>
      <c r="I281" s="3097">
        <v>420000.27</v>
      </c>
      <c r="J281" s="3075">
        <f t="shared" si="34"/>
        <v>9202</v>
      </c>
      <c r="K281" s="3328"/>
      <c r="L281" s="3328"/>
      <c r="M281" s="3328"/>
      <c r="N281" s="1405">
        <f t="shared" ref="N281" si="37">ROUND((I277+I278+I279+I280+I281)/10000,0)</f>
        <v>1479</v>
      </c>
    </row>
    <row r="282" spans="1:14" s="3120" customFormat="1">
      <c r="A282" s="3116" t="s">
        <v>4191</v>
      </c>
      <c r="B282" s="3329">
        <v>57</v>
      </c>
      <c r="C282" s="3117" t="s">
        <v>3209</v>
      </c>
      <c r="D282" s="3118" t="s">
        <v>3711</v>
      </c>
      <c r="E282" s="3118" t="s">
        <v>3211</v>
      </c>
      <c r="F282" s="3118" t="s">
        <v>3712</v>
      </c>
      <c r="G282" s="3118" t="s">
        <v>3713</v>
      </c>
      <c r="H282" s="3118">
        <v>134.95999999999998</v>
      </c>
      <c r="I282" s="3118">
        <v>7531083.8099999996</v>
      </c>
      <c r="J282" s="3119">
        <f>ROUND(I282/H282,0)</f>
        <v>55802</v>
      </c>
      <c r="K282" s="3328">
        <v>63</v>
      </c>
      <c r="L282" s="3328">
        <v>6</v>
      </c>
      <c r="M282" s="3328">
        <v>2</v>
      </c>
    </row>
    <row r="283" spans="1:14" ht="27">
      <c r="A283" s="3116" t="s">
        <v>4191</v>
      </c>
      <c r="B283" s="3329"/>
      <c r="C283" s="3096" t="s">
        <v>4180</v>
      </c>
      <c r="D283" s="3097" t="s">
        <v>3711</v>
      </c>
      <c r="E283" s="3098" t="s">
        <v>3214</v>
      </c>
      <c r="F283" s="3097" t="s">
        <v>3712</v>
      </c>
      <c r="G283" s="3097" t="s">
        <v>3714</v>
      </c>
      <c r="H283" s="3097">
        <v>84.86</v>
      </c>
      <c r="I283" s="3097">
        <v>2533029.42</v>
      </c>
      <c r="J283" s="3075">
        <f t="shared" si="34"/>
        <v>29850</v>
      </c>
      <c r="K283" s="3328"/>
      <c r="L283" s="3328"/>
      <c r="M283" s="3328"/>
    </row>
    <row r="284" spans="1:14">
      <c r="A284" s="3116" t="s">
        <v>4191</v>
      </c>
      <c r="B284" s="3329"/>
      <c r="C284" s="3096" t="s">
        <v>4180</v>
      </c>
      <c r="D284" s="3097" t="s">
        <v>3711</v>
      </c>
      <c r="E284" s="3097" t="s">
        <v>3216</v>
      </c>
      <c r="F284" s="3097" t="s">
        <v>3715</v>
      </c>
      <c r="G284" s="3097" t="s">
        <v>3715</v>
      </c>
      <c r="H284" s="3097">
        <v>84.19</v>
      </c>
      <c r="I284" s="3097">
        <v>2525106.46</v>
      </c>
      <c r="J284" s="3075">
        <f t="shared" si="34"/>
        <v>29993</v>
      </c>
      <c r="K284" s="3328"/>
      <c r="L284" s="3328"/>
      <c r="M284" s="3328"/>
    </row>
    <row r="285" spans="1:14">
      <c r="A285" s="3116" t="s">
        <v>4191</v>
      </c>
      <c r="B285" s="3329"/>
      <c r="C285" s="3096" t="s">
        <v>3218</v>
      </c>
      <c r="D285" s="3097" t="s">
        <v>3219</v>
      </c>
      <c r="E285" s="3097" t="s">
        <v>3716</v>
      </c>
      <c r="F285" s="3097" t="s">
        <v>3717</v>
      </c>
      <c r="G285" s="3097" t="s">
        <v>3717</v>
      </c>
      <c r="H285" s="3097">
        <v>45.64</v>
      </c>
      <c r="I285" s="3097">
        <v>420000.27</v>
      </c>
      <c r="J285" s="3075">
        <f t="shared" si="34"/>
        <v>9202</v>
      </c>
      <c r="K285" s="3328"/>
      <c r="L285" s="3328"/>
      <c r="M285" s="3328"/>
    </row>
    <row r="286" spans="1:14">
      <c r="A286" s="3116" t="s">
        <v>4191</v>
      </c>
      <c r="B286" s="3329"/>
      <c r="C286" s="3096" t="s">
        <v>3218</v>
      </c>
      <c r="D286" s="3097" t="s">
        <v>3219</v>
      </c>
      <c r="E286" s="3097" t="s">
        <v>3718</v>
      </c>
      <c r="F286" s="3097" t="s">
        <v>3719</v>
      </c>
      <c r="G286" s="3097" t="s">
        <v>3719</v>
      </c>
      <c r="H286" s="3097">
        <v>45.64</v>
      </c>
      <c r="I286" s="3097">
        <v>420000.27</v>
      </c>
      <c r="J286" s="3075">
        <f t="shared" si="34"/>
        <v>9202</v>
      </c>
      <c r="K286" s="3328"/>
      <c r="L286" s="3328"/>
      <c r="M286" s="3328"/>
      <c r="N286" s="1405">
        <f t="shared" si="30"/>
        <v>1343</v>
      </c>
    </row>
    <row r="287" spans="1:14">
      <c r="A287" s="3116" t="s">
        <v>4191</v>
      </c>
      <c r="B287" s="3329">
        <v>58</v>
      </c>
      <c r="C287" s="3096" t="s">
        <v>3209</v>
      </c>
      <c r="D287" s="3097" t="s">
        <v>3711</v>
      </c>
      <c r="E287" s="3097" t="s">
        <v>3224</v>
      </c>
      <c r="F287" s="3097" t="s">
        <v>3720</v>
      </c>
      <c r="G287" s="3097" t="s">
        <v>3721</v>
      </c>
      <c r="H287" s="3097">
        <v>135.15</v>
      </c>
      <c r="I287" s="3097">
        <v>7925701.1500000004</v>
      </c>
      <c r="J287" s="3075">
        <f>ROUND(I287/H287,0)</f>
        <v>58644</v>
      </c>
      <c r="K287" s="3328"/>
      <c r="L287" s="3328"/>
      <c r="M287" s="3328"/>
    </row>
    <row r="288" spans="1:14" ht="27">
      <c r="A288" s="3116" t="s">
        <v>4191</v>
      </c>
      <c r="B288" s="3329"/>
      <c r="C288" s="3096" t="s">
        <v>4180</v>
      </c>
      <c r="D288" s="3097" t="s">
        <v>3711</v>
      </c>
      <c r="E288" s="3098" t="s">
        <v>3227</v>
      </c>
      <c r="F288" s="3097" t="s">
        <v>3720</v>
      </c>
      <c r="G288" s="3097" t="s">
        <v>3722</v>
      </c>
      <c r="H288" s="3097">
        <v>85.14</v>
      </c>
      <c r="I288" s="3097">
        <v>2541445.1800000002</v>
      </c>
      <c r="J288" s="3075">
        <f t="shared" si="34"/>
        <v>29850</v>
      </c>
      <c r="K288" s="3328"/>
      <c r="L288" s="3328"/>
      <c r="M288" s="3328"/>
    </row>
    <row r="289" spans="1:14">
      <c r="A289" s="3116" t="s">
        <v>4191</v>
      </c>
      <c r="B289" s="3329"/>
      <c r="C289" s="3096" t="s">
        <v>4180</v>
      </c>
      <c r="D289" s="3097" t="s">
        <v>3711</v>
      </c>
      <c r="E289" s="3097" t="s">
        <v>3229</v>
      </c>
      <c r="F289" s="3097" t="s">
        <v>3723</v>
      </c>
      <c r="G289" s="3097" t="s">
        <v>3723</v>
      </c>
      <c r="H289" s="3097">
        <v>84.19</v>
      </c>
      <c r="I289" s="3097">
        <v>2525106.46</v>
      </c>
      <c r="J289" s="3075">
        <f t="shared" si="34"/>
        <v>29993</v>
      </c>
      <c r="K289" s="3328"/>
      <c r="L289" s="3328"/>
      <c r="M289" s="3328"/>
    </row>
    <row r="290" spans="1:14">
      <c r="A290" s="3116" t="s">
        <v>4191</v>
      </c>
      <c r="B290" s="3329"/>
      <c r="C290" s="3096" t="s">
        <v>3218</v>
      </c>
      <c r="D290" s="3097" t="s">
        <v>3219</v>
      </c>
      <c r="E290" s="3097" t="s">
        <v>3724</v>
      </c>
      <c r="F290" s="3097" t="s">
        <v>3725</v>
      </c>
      <c r="G290" s="3097" t="s">
        <v>3725</v>
      </c>
      <c r="H290" s="3097">
        <v>45.64</v>
      </c>
      <c r="I290" s="3097">
        <v>420000.27</v>
      </c>
      <c r="J290" s="3075">
        <f t="shared" si="34"/>
        <v>9202</v>
      </c>
      <c r="K290" s="3328"/>
      <c r="L290" s="3328"/>
      <c r="M290" s="3328"/>
    </row>
    <row r="291" spans="1:14">
      <c r="A291" s="3116" t="s">
        <v>4191</v>
      </c>
      <c r="B291" s="3329"/>
      <c r="C291" s="3096" t="s">
        <v>3218</v>
      </c>
      <c r="D291" s="3097" t="s">
        <v>3219</v>
      </c>
      <c r="E291" s="3097" t="s">
        <v>3726</v>
      </c>
      <c r="F291" s="3097" t="s">
        <v>3727</v>
      </c>
      <c r="G291" s="3097" t="s">
        <v>3727</v>
      </c>
      <c r="H291" s="3097">
        <v>45.64</v>
      </c>
      <c r="I291" s="3097">
        <v>420000.27</v>
      </c>
      <c r="J291" s="3075">
        <f t="shared" si="34"/>
        <v>9202</v>
      </c>
      <c r="K291" s="3328"/>
      <c r="L291" s="3328"/>
      <c r="M291" s="3328"/>
      <c r="N291" s="1405">
        <f t="shared" ref="N291" si="38">ROUND((I287+I288+I289+I290+I291)/10000,0)</f>
        <v>1383</v>
      </c>
    </row>
    <row r="292" spans="1:14">
      <c r="A292" s="3116" t="s">
        <v>4191</v>
      </c>
      <c r="B292" s="3329">
        <v>59</v>
      </c>
      <c r="C292" s="3096" t="s">
        <v>3209</v>
      </c>
      <c r="D292" s="3097" t="s">
        <v>3728</v>
      </c>
      <c r="E292" s="3097" t="s">
        <v>3426</v>
      </c>
      <c r="F292" s="3097" t="s">
        <v>3729</v>
      </c>
      <c r="G292" s="3097" t="s">
        <v>3730</v>
      </c>
      <c r="H292" s="3097">
        <v>134.76</v>
      </c>
      <c r="I292" s="3097">
        <v>7696599.0899999999</v>
      </c>
      <c r="J292" s="3075">
        <f>ROUND(I292/H292,0)</f>
        <v>57113</v>
      </c>
      <c r="K292" s="3328">
        <v>64</v>
      </c>
      <c r="L292" s="3328">
        <v>8</v>
      </c>
      <c r="M292" s="3328">
        <v>6</v>
      </c>
    </row>
    <row r="293" spans="1:14" ht="27">
      <c r="A293" s="3116" t="s">
        <v>4191</v>
      </c>
      <c r="B293" s="3329"/>
      <c r="C293" s="3096" t="s">
        <v>4180</v>
      </c>
      <c r="D293" s="3097" t="s">
        <v>3728</v>
      </c>
      <c r="E293" s="3098" t="s">
        <v>3429</v>
      </c>
      <c r="F293" s="3097" t="s">
        <v>3729</v>
      </c>
      <c r="G293" s="3097" t="s">
        <v>3731</v>
      </c>
      <c r="H293" s="3097">
        <v>84.74</v>
      </c>
      <c r="I293" s="3097">
        <v>2529767.79</v>
      </c>
      <c r="J293" s="3075">
        <f t="shared" si="34"/>
        <v>29853</v>
      </c>
      <c r="K293" s="3328"/>
      <c r="L293" s="3328"/>
      <c r="M293" s="3328"/>
    </row>
    <row r="294" spans="1:14">
      <c r="A294" s="3116" t="s">
        <v>4191</v>
      </c>
      <c r="B294" s="3329"/>
      <c r="C294" s="3096" t="s">
        <v>4180</v>
      </c>
      <c r="D294" s="3097" t="s">
        <v>3728</v>
      </c>
      <c r="E294" s="3097" t="s">
        <v>3431</v>
      </c>
      <c r="F294" s="3097" t="s">
        <v>3732</v>
      </c>
      <c r="G294" s="3097" t="s">
        <v>3732</v>
      </c>
      <c r="H294" s="3097">
        <v>84.110000000000014</v>
      </c>
      <c r="I294" s="3097">
        <v>2522996.36</v>
      </c>
      <c r="J294" s="3075">
        <f t="shared" si="34"/>
        <v>29996</v>
      </c>
      <c r="K294" s="3328"/>
      <c r="L294" s="3328"/>
      <c r="M294" s="3328"/>
    </row>
    <row r="295" spans="1:14">
      <c r="A295" s="3116" t="s">
        <v>4191</v>
      </c>
      <c r="B295" s="3329"/>
      <c r="C295" s="3096" t="s">
        <v>3218</v>
      </c>
      <c r="D295" s="3097" t="s">
        <v>3219</v>
      </c>
      <c r="E295" s="3097" t="s">
        <v>3733</v>
      </c>
      <c r="F295" s="3097" t="s">
        <v>3734</v>
      </c>
      <c r="G295" s="3097" t="s">
        <v>3734</v>
      </c>
      <c r="H295" s="3097">
        <v>45.64</v>
      </c>
      <c r="I295" s="3097">
        <v>420000.27</v>
      </c>
      <c r="J295" s="3075">
        <f t="shared" si="34"/>
        <v>9202</v>
      </c>
      <c r="K295" s="3328"/>
      <c r="L295" s="3328"/>
      <c r="M295" s="3328"/>
    </row>
    <row r="296" spans="1:14">
      <c r="A296" s="3116" t="s">
        <v>4191</v>
      </c>
      <c r="B296" s="3329"/>
      <c r="C296" s="3096" t="s">
        <v>3218</v>
      </c>
      <c r="D296" s="3097" t="s">
        <v>3219</v>
      </c>
      <c r="E296" s="3097" t="s">
        <v>3735</v>
      </c>
      <c r="F296" s="3097" t="s">
        <v>3736</v>
      </c>
      <c r="G296" s="3097" t="s">
        <v>3736</v>
      </c>
      <c r="H296" s="3097">
        <v>45.64</v>
      </c>
      <c r="I296" s="3097">
        <v>420000.27</v>
      </c>
      <c r="J296" s="3075">
        <f t="shared" si="34"/>
        <v>9202</v>
      </c>
      <c r="K296" s="3328"/>
      <c r="L296" s="3328"/>
      <c r="M296" s="3328"/>
      <c r="N296" s="1405">
        <f t="shared" ref="N296:N356" si="39">ROUND((I292+I293+I294+I295+I296)/10000,0)</f>
        <v>1359</v>
      </c>
    </row>
    <row r="297" spans="1:14">
      <c r="A297" s="3116" t="s">
        <v>4191</v>
      </c>
      <c r="B297" s="3329">
        <v>60</v>
      </c>
      <c r="C297" s="3096" t="s">
        <v>3209</v>
      </c>
      <c r="D297" s="3097" t="s">
        <v>3728</v>
      </c>
      <c r="E297" s="3097" t="s">
        <v>3211</v>
      </c>
      <c r="F297" s="3097" t="s">
        <v>3737</v>
      </c>
      <c r="G297" s="3097" t="s">
        <v>3738</v>
      </c>
      <c r="H297" s="3097">
        <v>134.76</v>
      </c>
      <c r="I297" s="3097">
        <v>7696599.0899999999</v>
      </c>
      <c r="J297" s="3075">
        <f>ROUND(I297/H297,0)</f>
        <v>57113</v>
      </c>
      <c r="K297" s="3328"/>
      <c r="L297" s="3328"/>
      <c r="M297" s="3328"/>
    </row>
    <row r="298" spans="1:14" ht="27">
      <c r="A298" s="3116" t="s">
        <v>4191</v>
      </c>
      <c r="B298" s="3329"/>
      <c r="C298" s="3096" t="s">
        <v>4180</v>
      </c>
      <c r="D298" s="3097" t="s">
        <v>3728</v>
      </c>
      <c r="E298" s="3098" t="s">
        <v>3214</v>
      </c>
      <c r="F298" s="3097" t="s">
        <v>3737</v>
      </c>
      <c r="G298" s="3097" t="s">
        <v>3739</v>
      </c>
      <c r="H298" s="3097">
        <v>84.74</v>
      </c>
      <c r="I298" s="3097">
        <v>2529767.79</v>
      </c>
      <c r="J298" s="3075">
        <f t="shared" si="34"/>
        <v>29853</v>
      </c>
      <c r="K298" s="3328"/>
      <c r="L298" s="3328"/>
      <c r="M298" s="3328"/>
    </row>
    <row r="299" spans="1:14">
      <c r="A299" s="3116" t="s">
        <v>4191</v>
      </c>
      <c r="B299" s="3329"/>
      <c r="C299" s="3096" t="s">
        <v>4180</v>
      </c>
      <c r="D299" s="3097" t="s">
        <v>3728</v>
      </c>
      <c r="E299" s="3097" t="s">
        <v>3216</v>
      </c>
      <c r="F299" s="3097" t="s">
        <v>3740</v>
      </c>
      <c r="G299" s="3097" t="s">
        <v>3740</v>
      </c>
      <c r="H299" s="3097">
        <v>84.110000000000014</v>
      </c>
      <c r="I299" s="3097">
        <v>2522996.36</v>
      </c>
      <c r="J299" s="3075">
        <f t="shared" si="34"/>
        <v>29996</v>
      </c>
      <c r="K299" s="3328"/>
      <c r="L299" s="3328"/>
      <c r="M299" s="3328"/>
    </row>
    <row r="300" spans="1:14">
      <c r="A300" s="3116" t="s">
        <v>4191</v>
      </c>
      <c r="B300" s="3329"/>
      <c r="C300" s="3096" t="s">
        <v>3218</v>
      </c>
      <c r="D300" s="3097" t="s">
        <v>3219</v>
      </c>
      <c r="E300" s="3097" t="s">
        <v>3741</v>
      </c>
      <c r="F300" s="3097" t="s">
        <v>3742</v>
      </c>
      <c r="G300" s="3097" t="s">
        <v>3742</v>
      </c>
      <c r="H300" s="3097">
        <v>45.64</v>
      </c>
      <c r="I300" s="3097">
        <v>420000.27</v>
      </c>
      <c r="J300" s="3075">
        <f t="shared" si="34"/>
        <v>9202</v>
      </c>
      <c r="K300" s="3328"/>
      <c r="L300" s="3328"/>
      <c r="M300" s="3328"/>
    </row>
    <row r="301" spans="1:14">
      <c r="A301" s="3116" t="s">
        <v>4191</v>
      </c>
      <c r="B301" s="3329"/>
      <c r="C301" s="3096" t="s">
        <v>3218</v>
      </c>
      <c r="D301" s="3097" t="s">
        <v>3219</v>
      </c>
      <c r="E301" s="3097" t="s">
        <v>3743</v>
      </c>
      <c r="F301" s="3097" t="s">
        <v>3744</v>
      </c>
      <c r="G301" s="3097" t="s">
        <v>3744</v>
      </c>
      <c r="H301" s="3097">
        <v>45.64</v>
      </c>
      <c r="I301" s="3097">
        <v>420000.27</v>
      </c>
      <c r="J301" s="3075">
        <f t="shared" si="34"/>
        <v>9202</v>
      </c>
      <c r="K301" s="3328"/>
      <c r="L301" s="3328"/>
      <c r="M301" s="3328"/>
      <c r="N301" s="1405">
        <f t="shared" ref="N301" si="40">ROUND((I297+I298+I299+I300+I301)/10000,0)</f>
        <v>1359</v>
      </c>
    </row>
    <row r="302" spans="1:14">
      <c r="A302" s="3116" t="s">
        <v>4191</v>
      </c>
      <c r="B302" s="3329">
        <v>61</v>
      </c>
      <c r="C302" s="3096" t="s">
        <v>3209</v>
      </c>
      <c r="D302" s="3097" t="s">
        <v>3728</v>
      </c>
      <c r="E302" s="3097" t="s">
        <v>3224</v>
      </c>
      <c r="F302" s="3097" t="s">
        <v>3745</v>
      </c>
      <c r="G302" s="3097" t="s">
        <v>3746</v>
      </c>
      <c r="H302" s="3097">
        <v>134.95000000000002</v>
      </c>
      <c r="I302" s="3097">
        <v>7826407.71</v>
      </c>
      <c r="J302" s="3075">
        <f>ROUND(I302/H302,0)</f>
        <v>57995</v>
      </c>
      <c r="K302" s="3328"/>
      <c r="L302" s="3328"/>
      <c r="M302" s="3328"/>
    </row>
    <row r="303" spans="1:14" ht="27">
      <c r="A303" s="3116" t="s">
        <v>4191</v>
      </c>
      <c r="B303" s="3329"/>
      <c r="C303" s="3096" t="s">
        <v>4180</v>
      </c>
      <c r="D303" s="3097" t="s">
        <v>3728</v>
      </c>
      <c r="E303" s="3098" t="s">
        <v>3227</v>
      </c>
      <c r="F303" s="3097" t="s">
        <v>3745</v>
      </c>
      <c r="G303" s="3097" t="s">
        <v>3747</v>
      </c>
      <c r="H303" s="3097">
        <v>85.02</v>
      </c>
      <c r="I303" s="3097">
        <v>2537988.13</v>
      </c>
      <c r="J303" s="3075">
        <f t="shared" si="34"/>
        <v>29852</v>
      </c>
      <c r="K303" s="3328"/>
      <c r="L303" s="3328"/>
      <c r="M303" s="3328"/>
    </row>
    <row r="304" spans="1:14">
      <c r="A304" s="3116" t="s">
        <v>4191</v>
      </c>
      <c r="B304" s="3329"/>
      <c r="C304" s="3096" t="s">
        <v>4180</v>
      </c>
      <c r="D304" s="3097" t="s">
        <v>3728</v>
      </c>
      <c r="E304" s="3097" t="s">
        <v>3229</v>
      </c>
      <c r="F304" s="3097" t="s">
        <v>3748</v>
      </c>
      <c r="G304" s="3097" t="s">
        <v>3748</v>
      </c>
      <c r="H304" s="3097">
        <v>84.110000000000014</v>
      </c>
      <c r="I304" s="3097">
        <v>2522996.36</v>
      </c>
      <c r="J304" s="3075">
        <f t="shared" si="34"/>
        <v>29996</v>
      </c>
      <c r="K304" s="3328"/>
      <c r="L304" s="3328"/>
      <c r="M304" s="3328"/>
    </row>
    <row r="305" spans="1:14">
      <c r="A305" s="3116" t="s">
        <v>4191</v>
      </c>
      <c r="B305" s="3329"/>
      <c r="C305" s="3096" t="s">
        <v>3218</v>
      </c>
      <c r="D305" s="3097" t="s">
        <v>3219</v>
      </c>
      <c r="E305" s="3097" t="s">
        <v>3749</v>
      </c>
      <c r="F305" s="3097" t="s">
        <v>3750</v>
      </c>
      <c r="G305" s="3097" t="s">
        <v>3750</v>
      </c>
      <c r="H305" s="3097">
        <v>45.64</v>
      </c>
      <c r="I305" s="3097">
        <v>420000.27</v>
      </c>
      <c r="J305" s="3075">
        <f t="shared" si="34"/>
        <v>9202</v>
      </c>
      <c r="K305" s="3328"/>
      <c r="L305" s="3328"/>
      <c r="M305" s="3328"/>
    </row>
    <row r="306" spans="1:14">
      <c r="A306" s="3116" t="s">
        <v>4191</v>
      </c>
      <c r="B306" s="3329"/>
      <c r="C306" s="3096" t="s">
        <v>3218</v>
      </c>
      <c r="D306" s="3097" t="s">
        <v>3219</v>
      </c>
      <c r="E306" s="3097" t="s">
        <v>3751</v>
      </c>
      <c r="F306" s="3097" t="s">
        <v>3752</v>
      </c>
      <c r="G306" s="3097" t="s">
        <v>3752</v>
      </c>
      <c r="H306" s="3097">
        <v>45.64</v>
      </c>
      <c r="I306" s="3097">
        <v>420000.27</v>
      </c>
      <c r="J306" s="3075">
        <f t="shared" si="34"/>
        <v>9202</v>
      </c>
      <c r="K306" s="3328"/>
      <c r="L306" s="3328"/>
      <c r="M306" s="3328"/>
      <c r="N306" s="1405">
        <f t="shared" si="39"/>
        <v>1373</v>
      </c>
    </row>
    <row r="307" spans="1:14">
      <c r="A307" s="3116" t="s">
        <v>4191</v>
      </c>
      <c r="B307" s="3329">
        <v>62</v>
      </c>
      <c r="C307" s="3096" t="s">
        <v>3209</v>
      </c>
      <c r="D307" s="3097" t="s">
        <v>3728</v>
      </c>
      <c r="E307" s="3097" t="s">
        <v>3648</v>
      </c>
      <c r="F307" s="3097" t="s">
        <v>3753</v>
      </c>
      <c r="G307" s="3097" t="s">
        <v>3754</v>
      </c>
      <c r="H307" s="3097">
        <v>134.61000000000001</v>
      </c>
      <c r="I307" s="3097">
        <v>8507458.3399999999</v>
      </c>
      <c r="J307" s="3075">
        <f>ROUND(I307/H307,0)</f>
        <v>63201</v>
      </c>
      <c r="K307" s="3328"/>
      <c r="L307" s="3328"/>
      <c r="M307" s="3328"/>
    </row>
    <row r="308" spans="1:14" ht="27">
      <c r="A308" s="3116" t="s">
        <v>4191</v>
      </c>
      <c r="B308" s="3329"/>
      <c r="C308" s="3096" t="s">
        <v>4180</v>
      </c>
      <c r="D308" s="3097" t="s">
        <v>3728</v>
      </c>
      <c r="E308" s="3098" t="s">
        <v>3651</v>
      </c>
      <c r="F308" s="3097" t="s">
        <v>3753</v>
      </c>
      <c r="G308" s="3097" t="s">
        <v>3755</v>
      </c>
      <c r="H308" s="3097">
        <v>84.61</v>
      </c>
      <c r="I308" s="3097">
        <v>2525657.5699999998</v>
      </c>
      <c r="J308" s="3075">
        <f t="shared" si="34"/>
        <v>29851</v>
      </c>
      <c r="K308" s="3328"/>
      <c r="L308" s="3328"/>
      <c r="M308" s="3328"/>
    </row>
    <row r="309" spans="1:14">
      <c r="A309" s="3116" t="s">
        <v>4191</v>
      </c>
      <c r="B309" s="3329"/>
      <c r="C309" s="3096" t="s">
        <v>4180</v>
      </c>
      <c r="D309" s="3097" t="s">
        <v>3728</v>
      </c>
      <c r="E309" s="3097" t="s">
        <v>3653</v>
      </c>
      <c r="F309" s="3097" t="s">
        <v>3756</v>
      </c>
      <c r="G309" s="3097" t="s">
        <v>3756</v>
      </c>
      <c r="H309" s="3097">
        <v>83.39</v>
      </c>
      <c r="I309" s="3097">
        <v>2501404.7999999998</v>
      </c>
      <c r="J309" s="3075">
        <f t="shared" si="34"/>
        <v>29996</v>
      </c>
      <c r="K309" s="3328"/>
      <c r="L309" s="3328"/>
      <c r="M309" s="3328"/>
    </row>
    <row r="310" spans="1:14">
      <c r="A310" s="3116" t="s">
        <v>4191</v>
      </c>
      <c r="B310" s="3329"/>
      <c r="C310" s="3096" t="s">
        <v>3218</v>
      </c>
      <c r="D310" s="3097" t="s">
        <v>3219</v>
      </c>
      <c r="E310" s="3097" t="s">
        <v>3757</v>
      </c>
      <c r="F310" s="3097" t="s">
        <v>3758</v>
      </c>
      <c r="G310" s="3097" t="s">
        <v>3758</v>
      </c>
      <c r="H310" s="3097">
        <v>45.64</v>
      </c>
      <c r="I310" s="3097">
        <v>420000.27</v>
      </c>
      <c r="J310" s="3075">
        <f t="shared" si="34"/>
        <v>9202</v>
      </c>
      <c r="K310" s="3328"/>
      <c r="L310" s="3328"/>
      <c r="M310" s="3328"/>
    </row>
    <row r="311" spans="1:14">
      <c r="A311" s="3116" t="s">
        <v>4191</v>
      </c>
      <c r="B311" s="3329"/>
      <c r="C311" s="3096" t="s">
        <v>3218</v>
      </c>
      <c r="D311" s="3097" t="s">
        <v>3219</v>
      </c>
      <c r="E311" s="3097" t="s">
        <v>3759</v>
      </c>
      <c r="F311" s="3097" t="s">
        <v>3760</v>
      </c>
      <c r="G311" s="3097" t="s">
        <v>3760</v>
      </c>
      <c r="H311" s="3097">
        <v>45.64</v>
      </c>
      <c r="I311" s="3097">
        <v>420000.27</v>
      </c>
      <c r="J311" s="3075">
        <f t="shared" si="34"/>
        <v>9202</v>
      </c>
      <c r="K311" s="3328"/>
      <c r="L311" s="3328"/>
      <c r="M311" s="3328"/>
      <c r="N311" s="1405">
        <f t="shared" ref="N311" si="41">ROUND((I307+I308+I309+I310+I311)/10000,0)</f>
        <v>1437</v>
      </c>
    </row>
    <row r="312" spans="1:14">
      <c r="A312" s="3116" t="s">
        <v>4191</v>
      </c>
      <c r="B312" s="3329">
        <v>63</v>
      </c>
      <c r="C312" s="3096" t="s">
        <v>3209</v>
      </c>
      <c r="D312" s="3097" t="s">
        <v>3728</v>
      </c>
      <c r="E312" s="3097" t="s">
        <v>3388</v>
      </c>
      <c r="F312" s="3097" t="s">
        <v>3761</v>
      </c>
      <c r="G312" s="3097" t="s">
        <v>3762</v>
      </c>
      <c r="H312" s="3097">
        <v>134.76</v>
      </c>
      <c r="I312" s="3097">
        <v>7894120.8600000003</v>
      </c>
      <c r="J312" s="3075">
        <f>ROUND(I312/H312,0)</f>
        <v>58579</v>
      </c>
      <c r="K312" s="3328"/>
      <c r="L312" s="3328"/>
      <c r="M312" s="3328"/>
    </row>
    <row r="313" spans="1:14" ht="27">
      <c r="A313" s="3116" t="s">
        <v>4191</v>
      </c>
      <c r="B313" s="3329"/>
      <c r="C313" s="3096" t="s">
        <v>4180</v>
      </c>
      <c r="D313" s="3097" t="s">
        <v>3728</v>
      </c>
      <c r="E313" s="3098" t="s">
        <v>3391</v>
      </c>
      <c r="F313" s="3097" t="s">
        <v>3761</v>
      </c>
      <c r="G313" s="3097" t="s">
        <v>3763</v>
      </c>
      <c r="H313" s="3097">
        <v>84.74</v>
      </c>
      <c r="I313" s="3097">
        <v>2529767.79</v>
      </c>
      <c r="J313" s="3075">
        <f t="shared" si="34"/>
        <v>29853</v>
      </c>
      <c r="K313" s="3328"/>
      <c r="L313" s="3328"/>
      <c r="M313" s="3328"/>
    </row>
    <row r="314" spans="1:14">
      <c r="A314" s="3116" t="s">
        <v>4191</v>
      </c>
      <c r="B314" s="3329"/>
      <c r="C314" s="3096" t="s">
        <v>4180</v>
      </c>
      <c r="D314" s="3097" t="s">
        <v>3728</v>
      </c>
      <c r="E314" s="3097" t="s">
        <v>3393</v>
      </c>
      <c r="F314" s="3097" t="s">
        <v>3764</v>
      </c>
      <c r="G314" s="3097" t="s">
        <v>3764</v>
      </c>
      <c r="H314" s="3097">
        <v>84.110000000000014</v>
      </c>
      <c r="I314" s="3097">
        <v>2522996.36</v>
      </c>
      <c r="J314" s="3075">
        <f t="shared" si="34"/>
        <v>29996</v>
      </c>
      <c r="K314" s="3328"/>
      <c r="L314" s="3328"/>
      <c r="M314" s="3328"/>
    </row>
    <row r="315" spans="1:14">
      <c r="A315" s="3116" t="s">
        <v>4191</v>
      </c>
      <c r="B315" s="3329"/>
      <c r="C315" s="3096" t="s">
        <v>3218</v>
      </c>
      <c r="D315" s="3097" t="s">
        <v>3219</v>
      </c>
      <c r="E315" s="3097" t="s">
        <v>3765</v>
      </c>
      <c r="F315" s="3097" t="s">
        <v>3766</v>
      </c>
      <c r="G315" s="3097" t="s">
        <v>3766</v>
      </c>
      <c r="H315" s="3097">
        <v>45.64</v>
      </c>
      <c r="I315" s="3097">
        <v>420000.27</v>
      </c>
      <c r="J315" s="3075">
        <f t="shared" si="34"/>
        <v>9202</v>
      </c>
      <c r="K315" s="3328"/>
      <c r="L315" s="3328"/>
      <c r="M315" s="3328"/>
    </row>
    <row r="316" spans="1:14">
      <c r="A316" s="3116" t="s">
        <v>4191</v>
      </c>
      <c r="B316" s="3329"/>
      <c r="C316" s="3096" t="s">
        <v>3218</v>
      </c>
      <c r="D316" s="3097" t="s">
        <v>3219</v>
      </c>
      <c r="E316" s="3097" t="s">
        <v>3767</v>
      </c>
      <c r="F316" s="3097" t="s">
        <v>3768</v>
      </c>
      <c r="G316" s="3097" t="s">
        <v>3768</v>
      </c>
      <c r="H316" s="3097">
        <v>45.64</v>
      </c>
      <c r="I316" s="3097">
        <v>420000.27</v>
      </c>
      <c r="J316" s="3075">
        <f t="shared" si="34"/>
        <v>9202</v>
      </c>
      <c r="K316" s="3328"/>
      <c r="L316" s="3328"/>
      <c r="M316" s="3328"/>
      <c r="N316" s="1405">
        <f t="shared" si="39"/>
        <v>1379</v>
      </c>
    </row>
    <row r="317" spans="1:14">
      <c r="A317" s="3116" t="s">
        <v>4191</v>
      </c>
      <c r="B317" s="3329">
        <v>64</v>
      </c>
      <c r="C317" s="3096" t="s">
        <v>3209</v>
      </c>
      <c r="D317" s="3097" t="s">
        <v>3728</v>
      </c>
      <c r="E317" s="3097" t="s">
        <v>3235</v>
      </c>
      <c r="F317" s="3097" t="s">
        <v>3769</v>
      </c>
      <c r="G317" s="3097" t="s">
        <v>3770</v>
      </c>
      <c r="H317" s="3097">
        <v>134.76</v>
      </c>
      <c r="I317" s="3097">
        <v>7894120.8600000003</v>
      </c>
      <c r="J317" s="3075">
        <f>ROUND(I317/H317,0)</f>
        <v>58579</v>
      </c>
      <c r="K317" s="3328"/>
      <c r="L317" s="3328"/>
      <c r="M317" s="3328"/>
    </row>
    <row r="318" spans="1:14" ht="27">
      <c r="A318" s="3116" t="s">
        <v>4191</v>
      </c>
      <c r="B318" s="3329"/>
      <c r="C318" s="3096" t="s">
        <v>4180</v>
      </c>
      <c r="D318" s="3097" t="s">
        <v>3728</v>
      </c>
      <c r="E318" s="3098" t="s">
        <v>3238</v>
      </c>
      <c r="F318" s="3097" t="s">
        <v>3769</v>
      </c>
      <c r="G318" s="3097" t="s">
        <v>3771</v>
      </c>
      <c r="H318" s="3097">
        <v>84.74</v>
      </c>
      <c r="I318" s="3097">
        <v>2529767.79</v>
      </c>
      <c r="J318" s="3075">
        <f t="shared" ref="J318:J381" si="42">ROUND(I318/H318,0)</f>
        <v>29853</v>
      </c>
      <c r="K318" s="3328"/>
      <c r="L318" s="3328"/>
      <c r="M318" s="3328"/>
    </row>
    <row r="319" spans="1:14">
      <c r="A319" s="3116" t="s">
        <v>4191</v>
      </c>
      <c r="B319" s="3329"/>
      <c r="C319" s="3096" t="s">
        <v>4180</v>
      </c>
      <c r="D319" s="3097" t="s">
        <v>3728</v>
      </c>
      <c r="E319" s="3097" t="s">
        <v>3240</v>
      </c>
      <c r="F319" s="3097" t="s">
        <v>3772</v>
      </c>
      <c r="G319" s="3097" t="s">
        <v>3772</v>
      </c>
      <c r="H319" s="3097">
        <v>84.110000000000014</v>
      </c>
      <c r="I319" s="3097">
        <v>2522996.36</v>
      </c>
      <c r="J319" s="3075">
        <f t="shared" si="42"/>
        <v>29996</v>
      </c>
      <c r="K319" s="3328"/>
      <c r="L319" s="3328"/>
      <c r="M319" s="3328"/>
    </row>
    <row r="320" spans="1:14">
      <c r="A320" s="3116" t="s">
        <v>4191</v>
      </c>
      <c r="B320" s="3329"/>
      <c r="C320" s="3096" t="s">
        <v>3218</v>
      </c>
      <c r="D320" s="3097" t="s">
        <v>3219</v>
      </c>
      <c r="E320" s="3097" t="s">
        <v>3773</v>
      </c>
      <c r="F320" s="3097" t="s">
        <v>3774</v>
      </c>
      <c r="G320" s="3097" t="s">
        <v>3774</v>
      </c>
      <c r="H320" s="3097">
        <v>45.64</v>
      </c>
      <c r="I320" s="3097">
        <v>420000.27</v>
      </c>
      <c r="J320" s="3075">
        <f t="shared" si="42"/>
        <v>9202</v>
      </c>
      <c r="K320" s="3328"/>
      <c r="L320" s="3328"/>
      <c r="M320" s="3328"/>
    </row>
    <row r="321" spans="1:14">
      <c r="A321" s="3116" t="s">
        <v>4191</v>
      </c>
      <c r="B321" s="3329"/>
      <c r="C321" s="3096" t="s">
        <v>3218</v>
      </c>
      <c r="D321" s="3097" t="s">
        <v>3219</v>
      </c>
      <c r="E321" s="3097" t="s">
        <v>3775</v>
      </c>
      <c r="F321" s="3097" t="s">
        <v>3776</v>
      </c>
      <c r="G321" s="3097" t="s">
        <v>3776</v>
      </c>
      <c r="H321" s="3097">
        <v>45.64</v>
      </c>
      <c r="I321" s="3097">
        <v>420000.27</v>
      </c>
      <c r="J321" s="3075">
        <f t="shared" si="42"/>
        <v>9202</v>
      </c>
      <c r="K321" s="3328"/>
      <c r="L321" s="3328"/>
      <c r="M321" s="3328"/>
      <c r="N321" s="1405">
        <f t="shared" ref="N321" si="43">ROUND((I317+I318+I319+I320+I321)/10000,0)</f>
        <v>1379</v>
      </c>
    </row>
    <row r="322" spans="1:14">
      <c r="A322" s="3116" t="s">
        <v>4191</v>
      </c>
      <c r="B322" s="3329">
        <v>65</v>
      </c>
      <c r="C322" s="3096" t="s">
        <v>3209</v>
      </c>
      <c r="D322" s="3097" t="s">
        <v>3777</v>
      </c>
      <c r="E322" s="3097" t="s">
        <v>3426</v>
      </c>
      <c r="F322" s="3097" t="s">
        <v>3778</v>
      </c>
      <c r="G322" s="3097" t="s">
        <v>3779</v>
      </c>
      <c r="H322" s="3097">
        <v>134.81</v>
      </c>
      <c r="I322" s="3097">
        <v>8518897.3399999999</v>
      </c>
      <c r="J322" s="3075">
        <f>ROUND(I322/H322,0)</f>
        <v>63192</v>
      </c>
      <c r="K322" s="3328">
        <v>68</v>
      </c>
      <c r="L322" s="3328">
        <v>6</v>
      </c>
      <c r="M322" s="3328">
        <v>6</v>
      </c>
    </row>
    <row r="323" spans="1:14" ht="27">
      <c r="A323" s="3116" t="s">
        <v>4191</v>
      </c>
      <c r="B323" s="3329"/>
      <c r="C323" s="3096" t="s">
        <v>4180</v>
      </c>
      <c r="D323" s="3097" t="s">
        <v>3777</v>
      </c>
      <c r="E323" s="3098" t="s">
        <v>3429</v>
      </c>
      <c r="F323" s="3097" t="s">
        <v>3778</v>
      </c>
      <c r="G323" s="3097" t="s">
        <v>3780</v>
      </c>
      <c r="H323" s="3097">
        <v>84.72</v>
      </c>
      <c r="I323" s="3097">
        <v>2528852.1800000002</v>
      </c>
      <c r="J323" s="3075">
        <f t="shared" si="42"/>
        <v>29850</v>
      </c>
      <c r="K323" s="3328"/>
      <c r="L323" s="3328"/>
      <c r="M323" s="3328"/>
    </row>
    <row r="324" spans="1:14">
      <c r="A324" s="3116" t="s">
        <v>4191</v>
      </c>
      <c r="B324" s="3329"/>
      <c r="C324" s="3096" t="s">
        <v>4180</v>
      </c>
      <c r="D324" s="3097" t="s">
        <v>3777</v>
      </c>
      <c r="E324" s="3097" t="s">
        <v>3431</v>
      </c>
      <c r="F324" s="3097" t="s">
        <v>3781</v>
      </c>
      <c r="G324" s="3097" t="s">
        <v>3781</v>
      </c>
      <c r="H324" s="3097">
        <v>83.47</v>
      </c>
      <c r="I324" s="3097">
        <v>2503498.1800000002</v>
      </c>
      <c r="J324" s="3075">
        <f t="shared" si="42"/>
        <v>29993</v>
      </c>
      <c r="K324" s="3328"/>
      <c r="L324" s="3328"/>
      <c r="M324" s="3328"/>
    </row>
    <row r="325" spans="1:14">
      <c r="A325" s="3116" t="s">
        <v>4191</v>
      </c>
      <c r="B325" s="3329"/>
      <c r="C325" s="3096" t="s">
        <v>3218</v>
      </c>
      <c r="D325" s="3097" t="s">
        <v>3219</v>
      </c>
      <c r="E325" s="3097" t="s">
        <v>3782</v>
      </c>
      <c r="F325" s="3097" t="s">
        <v>3783</v>
      </c>
      <c r="G325" s="3097" t="s">
        <v>3783</v>
      </c>
      <c r="H325" s="3097">
        <v>45.64</v>
      </c>
      <c r="I325" s="3097">
        <v>420000.27</v>
      </c>
      <c r="J325" s="3075">
        <f t="shared" si="42"/>
        <v>9202</v>
      </c>
      <c r="K325" s="3328"/>
      <c r="L325" s="3328"/>
      <c r="M325" s="3328"/>
    </row>
    <row r="326" spans="1:14">
      <c r="A326" s="3116" t="s">
        <v>4191</v>
      </c>
      <c r="B326" s="3329"/>
      <c r="C326" s="3096" t="s">
        <v>3218</v>
      </c>
      <c r="D326" s="3097" t="s">
        <v>3219</v>
      </c>
      <c r="E326" s="3097" t="s">
        <v>3784</v>
      </c>
      <c r="F326" s="3097" t="s">
        <v>3785</v>
      </c>
      <c r="G326" s="3097" t="s">
        <v>3785</v>
      </c>
      <c r="H326" s="3097">
        <v>45.64</v>
      </c>
      <c r="I326" s="3097">
        <v>420000.27</v>
      </c>
      <c r="J326" s="3075">
        <f t="shared" si="42"/>
        <v>9202</v>
      </c>
      <c r="K326" s="3328"/>
      <c r="L326" s="3328"/>
      <c r="M326" s="3328"/>
      <c r="N326" s="1405">
        <f t="shared" si="39"/>
        <v>1439</v>
      </c>
    </row>
    <row r="327" spans="1:14">
      <c r="A327" s="3116" t="s">
        <v>4191</v>
      </c>
      <c r="B327" s="3329">
        <v>66</v>
      </c>
      <c r="C327" s="3096" t="s">
        <v>3209</v>
      </c>
      <c r="D327" s="3097" t="s">
        <v>3777</v>
      </c>
      <c r="E327" s="3097" t="s">
        <v>3211</v>
      </c>
      <c r="F327" s="3097" t="s">
        <v>3786</v>
      </c>
      <c r="G327" s="3097" t="s">
        <v>3787</v>
      </c>
      <c r="H327" s="3097">
        <v>134.95999999999998</v>
      </c>
      <c r="I327" s="3097">
        <v>7587756.21</v>
      </c>
      <c r="J327" s="3075">
        <f>ROUND(I327/H327,0)</f>
        <v>56222</v>
      </c>
      <c r="K327" s="3328"/>
      <c r="L327" s="3328"/>
      <c r="M327" s="3328"/>
    </row>
    <row r="328" spans="1:14" ht="27">
      <c r="A328" s="3116" t="s">
        <v>4191</v>
      </c>
      <c r="B328" s="3329"/>
      <c r="C328" s="3096" t="s">
        <v>4180</v>
      </c>
      <c r="D328" s="3097" t="s">
        <v>3777</v>
      </c>
      <c r="E328" s="3098" t="s">
        <v>3214</v>
      </c>
      <c r="F328" s="3097" t="s">
        <v>3786</v>
      </c>
      <c r="G328" s="3097" t="s">
        <v>3788</v>
      </c>
      <c r="H328" s="3097">
        <v>84.86</v>
      </c>
      <c r="I328" s="3097">
        <v>2533029.42</v>
      </c>
      <c r="J328" s="3075">
        <f t="shared" si="42"/>
        <v>29850</v>
      </c>
      <c r="K328" s="3328"/>
      <c r="L328" s="3328"/>
      <c r="M328" s="3328"/>
    </row>
    <row r="329" spans="1:14">
      <c r="A329" s="3116" t="s">
        <v>4191</v>
      </c>
      <c r="B329" s="3329"/>
      <c r="C329" s="3096" t="s">
        <v>4180</v>
      </c>
      <c r="D329" s="3097" t="s">
        <v>3777</v>
      </c>
      <c r="E329" s="3097" t="s">
        <v>3216</v>
      </c>
      <c r="F329" s="3097" t="s">
        <v>3789</v>
      </c>
      <c r="G329" s="3097" t="s">
        <v>3789</v>
      </c>
      <c r="H329" s="3097">
        <v>84.19</v>
      </c>
      <c r="I329" s="3097">
        <v>2525106.46</v>
      </c>
      <c r="J329" s="3075">
        <f t="shared" si="42"/>
        <v>29993</v>
      </c>
      <c r="K329" s="3328"/>
      <c r="L329" s="3328"/>
      <c r="M329" s="3328"/>
    </row>
    <row r="330" spans="1:14">
      <c r="A330" s="3116" t="s">
        <v>4191</v>
      </c>
      <c r="B330" s="3329"/>
      <c r="C330" s="3096" t="s">
        <v>3218</v>
      </c>
      <c r="D330" s="3097" t="s">
        <v>3219</v>
      </c>
      <c r="E330" s="3097" t="s">
        <v>3790</v>
      </c>
      <c r="F330" s="3097" t="s">
        <v>3791</v>
      </c>
      <c r="G330" s="3097" t="s">
        <v>3791</v>
      </c>
      <c r="H330" s="3097">
        <v>45.64</v>
      </c>
      <c r="I330" s="3097">
        <v>420000.27</v>
      </c>
      <c r="J330" s="3075">
        <f t="shared" si="42"/>
        <v>9202</v>
      </c>
      <c r="K330" s="3328"/>
      <c r="L330" s="3328"/>
      <c r="M330" s="3328"/>
    </row>
    <row r="331" spans="1:14">
      <c r="A331" s="3116" t="s">
        <v>4191</v>
      </c>
      <c r="B331" s="3329"/>
      <c r="C331" s="3096" t="s">
        <v>3218</v>
      </c>
      <c r="D331" s="3097" t="s">
        <v>3219</v>
      </c>
      <c r="E331" s="3097" t="s">
        <v>3792</v>
      </c>
      <c r="F331" s="3097" t="s">
        <v>3793</v>
      </c>
      <c r="G331" s="3097" t="s">
        <v>3793</v>
      </c>
      <c r="H331" s="3097">
        <v>45.64</v>
      </c>
      <c r="I331" s="3097">
        <v>420000.27</v>
      </c>
      <c r="J331" s="3075">
        <f t="shared" si="42"/>
        <v>9202</v>
      </c>
      <c r="K331" s="3328"/>
      <c r="L331" s="3328"/>
      <c r="M331" s="3328"/>
      <c r="N331" s="1405">
        <f t="shared" ref="N331" si="44">ROUND((I327+I328+I329+I330+I331)/10000,0)</f>
        <v>1349</v>
      </c>
    </row>
    <row r="332" spans="1:14">
      <c r="A332" s="3116" t="s">
        <v>4191</v>
      </c>
      <c r="B332" s="3329">
        <v>67</v>
      </c>
      <c r="C332" s="3096" t="s">
        <v>3209</v>
      </c>
      <c r="D332" s="3097" t="s">
        <v>3777</v>
      </c>
      <c r="E332" s="3097" t="s">
        <v>3224</v>
      </c>
      <c r="F332" s="3097" t="s">
        <v>3794</v>
      </c>
      <c r="G332" s="3097" t="s">
        <v>3795</v>
      </c>
      <c r="H332" s="3097">
        <v>135.15</v>
      </c>
      <c r="I332" s="3097">
        <v>7717508.29</v>
      </c>
      <c r="J332" s="3075">
        <f>ROUND(I332/H332,0)</f>
        <v>57103</v>
      </c>
      <c r="K332" s="3328"/>
      <c r="L332" s="3328"/>
      <c r="M332" s="3328"/>
    </row>
    <row r="333" spans="1:14" ht="27">
      <c r="A333" s="3116" t="s">
        <v>4191</v>
      </c>
      <c r="B333" s="3329"/>
      <c r="C333" s="3096" t="s">
        <v>4180</v>
      </c>
      <c r="D333" s="3097" t="s">
        <v>3777</v>
      </c>
      <c r="E333" s="3098" t="s">
        <v>3227</v>
      </c>
      <c r="F333" s="3097" t="s">
        <v>3794</v>
      </c>
      <c r="G333" s="3097" t="s">
        <v>3796</v>
      </c>
      <c r="H333" s="3097">
        <v>85.14</v>
      </c>
      <c r="I333" s="3097">
        <v>2541445.1800000002</v>
      </c>
      <c r="J333" s="3075">
        <f t="shared" si="42"/>
        <v>29850</v>
      </c>
      <c r="K333" s="3328"/>
      <c r="L333" s="3328"/>
      <c r="M333" s="3328"/>
    </row>
    <row r="334" spans="1:14">
      <c r="A334" s="3116" t="s">
        <v>4191</v>
      </c>
      <c r="B334" s="3329"/>
      <c r="C334" s="3096" t="s">
        <v>4180</v>
      </c>
      <c r="D334" s="3097" t="s">
        <v>3777</v>
      </c>
      <c r="E334" s="3097" t="s">
        <v>3229</v>
      </c>
      <c r="F334" s="3097" t="s">
        <v>3797</v>
      </c>
      <c r="G334" s="3097" t="s">
        <v>3797</v>
      </c>
      <c r="H334" s="3097">
        <v>84.19</v>
      </c>
      <c r="I334" s="3097">
        <v>2525106.46</v>
      </c>
      <c r="J334" s="3075">
        <f t="shared" si="42"/>
        <v>29993</v>
      </c>
      <c r="K334" s="3328"/>
      <c r="L334" s="3328"/>
      <c r="M334" s="3328"/>
    </row>
    <row r="335" spans="1:14">
      <c r="A335" s="3116" t="s">
        <v>4191</v>
      </c>
      <c r="B335" s="3329"/>
      <c r="C335" s="3096" t="s">
        <v>3218</v>
      </c>
      <c r="D335" s="3097" t="s">
        <v>3219</v>
      </c>
      <c r="E335" s="3097" t="s">
        <v>3798</v>
      </c>
      <c r="F335" s="3097" t="s">
        <v>3799</v>
      </c>
      <c r="G335" s="3097" t="s">
        <v>3799</v>
      </c>
      <c r="H335" s="3097">
        <v>45.64</v>
      </c>
      <c r="I335" s="3097">
        <v>420000.27</v>
      </c>
      <c r="J335" s="3075">
        <f t="shared" si="42"/>
        <v>9202</v>
      </c>
      <c r="K335" s="3328"/>
      <c r="L335" s="3328"/>
      <c r="M335" s="3328"/>
    </row>
    <row r="336" spans="1:14">
      <c r="A336" s="3116" t="s">
        <v>4191</v>
      </c>
      <c r="B336" s="3329"/>
      <c r="C336" s="3096" t="s">
        <v>3218</v>
      </c>
      <c r="D336" s="3097" t="s">
        <v>3219</v>
      </c>
      <c r="E336" s="3097" t="s">
        <v>3800</v>
      </c>
      <c r="F336" s="3097" t="s">
        <v>3801</v>
      </c>
      <c r="G336" s="3097" t="s">
        <v>3801</v>
      </c>
      <c r="H336" s="3097">
        <v>45.64</v>
      </c>
      <c r="I336" s="3097">
        <v>420000.27</v>
      </c>
      <c r="J336" s="3075">
        <f t="shared" si="42"/>
        <v>9202</v>
      </c>
      <c r="K336" s="3328"/>
      <c r="L336" s="3328"/>
      <c r="M336" s="3328"/>
      <c r="N336" s="1405">
        <f t="shared" si="39"/>
        <v>1362</v>
      </c>
    </row>
    <row r="337" spans="1:14">
      <c r="A337" s="3116" t="s">
        <v>4191</v>
      </c>
      <c r="B337" s="3329">
        <v>68</v>
      </c>
      <c r="C337" s="3096" t="s">
        <v>3209</v>
      </c>
      <c r="D337" s="3097" t="s">
        <v>3777</v>
      </c>
      <c r="E337" s="3097" t="s">
        <v>3388</v>
      </c>
      <c r="F337" s="3097" t="s">
        <v>3802</v>
      </c>
      <c r="G337" s="3097" t="s">
        <v>3803</v>
      </c>
      <c r="H337" s="3097">
        <v>134.81</v>
      </c>
      <c r="I337" s="3097">
        <v>8518897.3399999999</v>
      </c>
      <c r="J337" s="3075">
        <f>ROUND(I337/H337,0)</f>
        <v>63192</v>
      </c>
      <c r="K337" s="3328"/>
      <c r="L337" s="3328"/>
      <c r="M337" s="3328"/>
    </row>
    <row r="338" spans="1:14" ht="27">
      <c r="A338" s="3116" t="s">
        <v>4191</v>
      </c>
      <c r="B338" s="3329"/>
      <c r="C338" s="3096" t="s">
        <v>4180</v>
      </c>
      <c r="D338" s="3097" t="s">
        <v>3777</v>
      </c>
      <c r="E338" s="3098" t="s">
        <v>3391</v>
      </c>
      <c r="F338" s="3097" t="s">
        <v>3802</v>
      </c>
      <c r="G338" s="3097" t="s">
        <v>3804</v>
      </c>
      <c r="H338" s="3097">
        <v>84.72</v>
      </c>
      <c r="I338" s="3097">
        <v>2528852.1800000002</v>
      </c>
      <c r="J338" s="3075">
        <f t="shared" si="42"/>
        <v>29850</v>
      </c>
      <c r="K338" s="3328"/>
      <c r="L338" s="3328"/>
      <c r="M338" s="3328"/>
    </row>
    <row r="339" spans="1:14">
      <c r="A339" s="3116" t="s">
        <v>4191</v>
      </c>
      <c r="B339" s="3329"/>
      <c r="C339" s="3096" t="s">
        <v>4180</v>
      </c>
      <c r="D339" s="3097" t="s">
        <v>3777</v>
      </c>
      <c r="E339" s="3097" t="s">
        <v>3393</v>
      </c>
      <c r="F339" s="3097" t="s">
        <v>3805</v>
      </c>
      <c r="G339" s="3097" t="s">
        <v>3805</v>
      </c>
      <c r="H339" s="3097">
        <v>83.47</v>
      </c>
      <c r="I339" s="3097">
        <v>2503497.35</v>
      </c>
      <c r="J339" s="3075">
        <f t="shared" si="42"/>
        <v>29993</v>
      </c>
      <c r="K339" s="3328"/>
      <c r="L339" s="3328"/>
      <c r="M339" s="3328"/>
    </row>
    <row r="340" spans="1:14">
      <c r="A340" s="3116" t="s">
        <v>4191</v>
      </c>
      <c r="B340" s="3329"/>
      <c r="C340" s="3096" t="s">
        <v>3218</v>
      </c>
      <c r="D340" s="3097" t="s">
        <v>3219</v>
      </c>
      <c r="E340" s="3097" t="s">
        <v>3806</v>
      </c>
      <c r="F340" s="3097" t="s">
        <v>3807</v>
      </c>
      <c r="G340" s="3097" t="s">
        <v>3807</v>
      </c>
      <c r="H340" s="3097">
        <v>45.64</v>
      </c>
      <c r="I340" s="3097">
        <v>420000.27</v>
      </c>
      <c r="J340" s="3075">
        <f t="shared" si="42"/>
        <v>9202</v>
      </c>
      <c r="K340" s="3328"/>
      <c r="L340" s="3328"/>
      <c r="M340" s="3328"/>
    </row>
    <row r="341" spans="1:14">
      <c r="A341" s="3116" t="s">
        <v>4191</v>
      </c>
      <c r="B341" s="3329"/>
      <c r="C341" s="3096" t="s">
        <v>3218</v>
      </c>
      <c r="D341" s="3097" t="s">
        <v>3219</v>
      </c>
      <c r="E341" s="3097" t="s">
        <v>3808</v>
      </c>
      <c r="F341" s="3097" t="s">
        <v>3809</v>
      </c>
      <c r="G341" s="3097" t="s">
        <v>3809</v>
      </c>
      <c r="H341" s="3097">
        <v>45.64</v>
      </c>
      <c r="I341" s="3097">
        <v>420000.27</v>
      </c>
      <c r="J341" s="3075">
        <f t="shared" si="42"/>
        <v>9202</v>
      </c>
      <c r="K341" s="3328"/>
      <c r="L341" s="3328"/>
      <c r="M341" s="3328"/>
      <c r="N341" s="1405">
        <f t="shared" ref="N341" si="45">ROUND((I337+I338+I339+I340+I341)/10000,0)</f>
        <v>1439</v>
      </c>
    </row>
    <row r="342" spans="1:14">
      <c r="A342" s="3116" t="s">
        <v>4191</v>
      </c>
      <c r="B342" s="3329">
        <v>69</v>
      </c>
      <c r="C342" s="3096" t="s">
        <v>3209</v>
      </c>
      <c r="D342" s="3097" t="s">
        <v>3777</v>
      </c>
      <c r="E342" s="3097" t="s">
        <v>3235</v>
      </c>
      <c r="F342" s="3097" t="s">
        <v>3810</v>
      </c>
      <c r="G342" s="3097" t="s">
        <v>3811</v>
      </c>
      <c r="H342" s="3097">
        <v>134.95999999999998</v>
      </c>
      <c r="I342" s="3097">
        <v>7785473.96</v>
      </c>
      <c r="J342" s="3075">
        <f>ROUND(I342/H342,0)</f>
        <v>57687</v>
      </c>
      <c r="K342" s="3328"/>
      <c r="L342" s="3328"/>
      <c r="M342" s="3328"/>
    </row>
    <row r="343" spans="1:14" ht="27">
      <c r="A343" s="3116" t="s">
        <v>4191</v>
      </c>
      <c r="B343" s="3329"/>
      <c r="C343" s="3096" t="s">
        <v>4180</v>
      </c>
      <c r="D343" s="3097" t="s">
        <v>3777</v>
      </c>
      <c r="E343" s="3098" t="s">
        <v>3238</v>
      </c>
      <c r="F343" s="3097" t="s">
        <v>3810</v>
      </c>
      <c r="G343" s="3097" t="s">
        <v>3812</v>
      </c>
      <c r="H343" s="3097">
        <v>84.86</v>
      </c>
      <c r="I343" s="3097">
        <v>2533029.42</v>
      </c>
      <c r="J343" s="3075">
        <f t="shared" si="42"/>
        <v>29850</v>
      </c>
      <c r="K343" s="3328"/>
      <c r="L343" s="3328"/>
      <c r="M343" s="3328"/>
    </row>
    <row r="344" spans="1:14">
      <c r="A344" s="3116" t="s">
        <v>4191</v>
      </c>
      <c r="B344" s="3329"/>
      <c r="C344" s="3096" t="s">
        <v>4180</v>
      </c>
      <c r="D344" s="3097" t="s">
        <v>3777</v>
      </c>
      <c r="E344" s="3097" t="s">
        <v>3240</v>
      </c>
      <c r="F344" s="3097" t="s">
        <v>3813</v>
      </c>
      <c r="G344" s="3097" t="s">
        <v>3813</v>
      </c>
      <c r="H344" s="3097">
        <v>84.19</v>
      </c>
      <c r="I344" s="3097">
        <v>2525106.46</v>
      </c>
      <c r="J344" s="3075">
        <f t="shared" si="42"/>
        <v>29993</v>
      </c>
      <c r="K344" s="3328"/>
      <c r="L344" s="3328"/>
      <c r="M344" s="3328"/>
    </row>
    <row r="345" spans="1:14">
      <c r="A345" s="3116" t="s">
        <v>4191</v>
      </c>
      <c r="B345" s="3329"/>
      <c r="C345" s="3096" t="s">
        <v>3218</v>
      </c>
      <c r="D345" s="3097" t="s">
        <v>3219</v>
      </c>
      <c r="E345" s="3097" t="s">
        <v>3814</v>
      </c>
      <c r="F345" s="3097" t="s">
        <v>3815</v>
      </c>
      <c r="G345" s="3097" t="s">
        <v>3815</v>
      </c>
      <c r="H345" s="3097">
        <v>45.64</v>
      </c>
      <c r="I345" s="3097">
        <v>420000.27</v>
      </c>
      <c r="J345" s="3075">
        <f t="shared" si="42"/>
        <v>9202</v>
      </c>
      <c r="K345" s="3328"/>
      <c r="L345" s="3328"/>
      <c r="M345" s="3328"/>
    </row>
    <row r="346" spans="1:14">
      <c r="A346" s="3116" t="s">
        <v>4191</v>
      </c>
      <c r="B346" s="3329"/>
      <c r="C346" s="3096" t="s">
        <v>3218</v>
      </c>
      <c r="D346" s="3097" t="s">
        <v>3219</v>
      </c>
      <c r="E346" s="3097" t="s">
        <v>3816</v>
      </c>
      <c r="F346" s="3097" t="s">
        <v>3817</v>
      </c>
      <c r="G346" s="3097" t="s">
        <v>3817</v>
      </c>
      <c r="H346" s="3097">
        <v>45.64</v>
      </c>
      <c r="I346" s="3097">
        <v>420000.27</v>
      </c>
      <c r="J346" s="3075">
        <f t="shared" si="42"/>
        <v>9202</v>
      </c>
      <c r="K346" s="3328"/>
      <c r="L346" s="3328"/>
      <c r="M346" s="3328"/>
      <c r="N346" s="1405">
        <f t="shared" si="39"/>
        <v>1368</v>
      </c>
    </row>
    <row r="347" spans="1:14">
      <c r="A347" s="3116" t="s">
        <v>4191</v>
      </c>
      <c r="B347" s="3329">
        <v>70</v>
      </c>
      <c r="C347" s="3096" t="s">
        <v>3209</v>
      </c>
      <c r="D347" s="3097" t="s">
        <v>3777</v>
      </c>
      <c r="E347" s="3097" t="s">
        <v>3247</v>
      </c>
      <c r="F347" s="3097" t="s">
        <v>3818</v>
      </c>
      <c r="G347" s="3097" t="s">
        <v>3819</v>
      </c>
      <c r="H347" s="3097">
        <v>135.15</v>
      </c>
      <c r="I347" s="3097">
        <v>7915507.0999999996</v>
      </c>
      <c r="J347" s="3075">
        <f>ROUND(I347/H347,0)</f>
        <v>58568</v>
      </c>
      <c r="K347" s="3328"/>
      <c r="L347" s="3328"/>
      <c r="M347" s="3328"/>
    </row>
    <row r="348" spans="1:14" ht="24">
      <c r="A348" s="3116" t="s">
        <v>4191</v>
      </c>
      <c r="B348" s="3329"/>
      <c r="C348" s="3096" t="s">
        <v>4180</v>
      </c>
      <c r="D348" s="3097" t="s">
        <v>3777</v>
      </c>
      <c r="E348" s="3097" t="s">
        <v>3250</v>
      </c>
      <c r="F348" s="3097" t="s">
        <v>3818</v>
      </c>
      <c r="G348" s="3097" t="s">
        <v>3820</v>
      </c>
      <c r="H348" s="3097">
        <v>85.14</v>
      </c>
      <c r="I348" s="3097">
        <v>2541445.1800000002</v>
      </c>
      <c r="J348" s="3075">
        <f t="shared" si="42"/>
        <v>29850</v>
      </c>
      <c r="K348" s="3328"/>
      <c r="L348" s="3328"/>
      <c r="M348" s="3328"/>
    </row>
    <row r="349" spans="1:14">
      <c r="A349" s="3116" t="s">
        <v>4191</v>
      </c>
      <c r="B349" s="3329"/>
      <c r="C349" s="3096" t="s">
        <v>4180</v>
      </c>
      <c r="D349" s="3097" t="s">
        <v>3777</v>
      </c>
      <c r="E349" s="3097" t="s">
        <v>3252</v>
      </c>
      <c r="F349" s="3097" t="s">
        <v>3821</v>
      </c>
      <c r="G349" s="3097" t="s">
        <v>3821</v>
      </c>
      <c r="H349" s="3097">
        <v>84.19</v>
      </c>
      <c r="I349" s="3097">
        <v>2525106.46</v>
      </c>
      <c r="J349" s="3075">
        <f t="shared" si="42"/>
        <v>29993</v>
      </c>
      <c r="K349" s="3328"/>
      <c r="L349" s="3328"/>
      <c r="M349" s="3328"/>
    </row>
    <row r="350" spans="1:14">
      <c r="A350" s="3116" t="s">
        <v>4191</v>
      </c>
      <c r="B350" s="3329"/>
      <c r="C350" s="3096" t="s">
        <v>3218</v>
      </c>
      <c r="D350" s="3097" t="s">
        <v>3219</v>
      </c>
      <c r="E350" s="3097" t="s">
        <v>3822</v>
      </c>
      <c r="F350" s="3097" t="s">
        <v>3823</v>
      </c>
      <c r="G350" s="3097" t="s">
        <v>3823</v>
      </c>
      <c r="H350" s="3097">
        <v>45.64</v>
      </c>
      <c r="I350" s="3097">
        <v>420000.27</v>
      </c>
      <c r="J350" s="3075">
        <f t="shared" si="42"/>
        <v>9202</v>
      </c>
      <c r="K350" s="3328"/>
      <c r="L350" s="3328"/>
      <c r="M350" s="3328"/>
    </row>
    <row r="351" spans="1:14">
      <c r="A351" s="3116" t="s">
        <v>4191</v>
      </c>
      <c r="B351" s="3329"/>
      <c r="C351" s="3096" t="s">
        <v>3218</v>
      </c>
      <c r="D351" s="3097" t="s">
        <v>3219</v>
      </c>
      <c r="E351" s="3097" t="s">
        <v>3824</v>
      </c>
      <c r="F351" s="3097" t="s">
        <v>3825</v>
      </c>
      <c r="G351" s="3097" t="s">
        <v>3825</v>
      </c>
      <c r="H351" s="3097">
        <v>45.64</v>
      </c>
      <c r="I351" s="3097">
        <v>420000.27</v>
      </c>
      <c r="J351" s="3075">
        <f t="shared" si="42"/>
        <v>9202</v>
      </c>
      <c r="K351" s="3328"/>
      <c r="L351" s="3328"/>
      <c r="M351" s="3328"/>
      <c r="N351" s="1405">
        <f t="shared" ref="N351" si="46">ROUND((I347+I348+I349+I350+I351)/10000,0)</f>
        <v>1382</v>
      </c>
    </row>
    <row r="352" spans="1:14">
      <c r="A352" s="3116" t="s">
        <v>4191</v>
      </c>
      <c r="B352" s="3329">
        <v>71</v>
      </c>
      <c r="C352" s="3096" t="s">
        <v>3209</v>
      </c>
      <c r="D352" s="3097" t="s">
        <v>3826</v>
      </c>
      <c r="E352" s="3097" t="s">
        <v>3211</v>
      </c>
      <c r="F352" s="3097" t="s">
        <v>3827</v>
      </c>
      <c r="G352" s="3097" t="s">
        <v>3828</v>
      </c>
      <c r="H352" s="3097">
        <v>135.19</v>
      </c>
      <c r="I352" s="3097">
        <v>8530334.8800000008</v>
      </c>
      <c r="J352" s="3075">
        <f>ROUND(I352/H352,0)</f>
        <v>63099</v>
      </c>
      <c r="K352" s="3328">
        <v>69</v>
      </c>
      <c r="L352" s="3328">
        <v>4</v>
      </c>
      <c r="M352" s="3328">
        <v>2</v>
      </c>
    </row>
    <row r="353" spans="1:14" ht="27">
      <c r="A353" s="3116" t="s">
        <v>4191</v>
      </c>
      <c r="B353" s="3329"/>
      <c r="C353" s="3096" t="s">
        <v>4180</v>
      </c>
      <c r="D353" s="3097" t="s">
        <v>3826</v>
      </c>
      <c r="E353" s="3098" t="s">
        <v>3214</v>
      </c>
      <c r="F353" s="3097" t="s">
        <v>3827</v>
      </c>
      <c r="G353" s="3097" t="s">
        <v>3829</v>
      </c>
      <c r="H353" s="3097">
        <v>84.97</v>
      </c>
      <c r="I353" s="3097">
        <v>2532723.73</v>
      </c>
      <c r="J353" s="3075">
        <f t="shared" si="42"/>
        <v>29807</v>
      </c>
      <c r="K353" s="3328"/>
      <c r="L353" s="3328"/>
      <c r="M353" s="3328"/>
    </row>
    <row r="354" spans="1:14">
      <c r="A354" s="3116" t="s">
        <v>4191</v>
      </c>
      <c r="B354" s="3329"/>
      <c r="C354" s="3096" t="s">
        <v>4180</v>
      </c>
      <c r="D354" s="3097" t="s">
        <v>3826</v>
      </c>
      <c r="E354" s="3097" t="s">
        <v>3216</v>
      </c>
      <c r="F354" s="3097" t="s">
        <v>3830</v>
      </c>
      <c r="G354" s="3097" t="s">
        <v>3830</v>
      </c>
      <c r="H354" s="3097">
        <v>83.89</v>
      </c>
      <c r="I354" s="3097">
        <v>2507108.02</v>
      </c>
      <c r="J354" s="3075">
        <f t="shared" si="42"/>
        <v>29886</v>
      </c>
      <c r="K354" s="3328"/>
      <c r="L354" s="3328"/>
      <c r="M354" s="3328"/>
    </row>
    <row r="355" spans="1:14">
      <c r="A355" s="3116" t="s">
        <v>4191</v>
      </c>
      <c r="B355" s="3329"/>
      <c r="C355" s="3096" t="s">
        <v>3218</v>
      </c>
      <c r="D355" s="3097" t="s">
        <v>3219</v>
      </c>
      <c r="E355" s="3097" t="s">
        <v>3831</v>
      </c>
      <c r="F355" s="3097" t="s">
        <v>3832</v>
      </c>
      <c r="G355" s="3097" t="s">
        <v>3832</v>
      </c>
      <c r="H355" s="3097">
        <v>45.64</v>
      </c>
      <c r="I355" s="3097">
        <v>420000.27</v>
      </c>
      <c r="J355" s="3075">
        <f t="shared" si="42"/>
        <v>9202</v>
      </c>
      <c r="K355" s="3328"/>
      <c r="L355" s="3328"/>
      <c r="M355" s="3328"/>
    </row>
    <row r="356" spans="1:14">
      <c r="A356" s="3116" t="s">
        <v>4191</v>
      </c>
      <c r="B356" s="3329"/>
      <c r="C356" s="3096" t="s">
        <v>3218</v>
      </c>
      <c r="D356" s="3097" t="s">
        <v>3219</v>
      </c>
      <c r="E356" s="3097" t="s">
        <v>3833</v>
      </c>
      <c r="F356" s="3097" t="s">
        <v>3834</v>
      </c>
      <c r="G356" s="3097" t="s">
        <v>3834</v>
      </c>
      <c r="H356" s="3097">
        <v>45.64</v>
      </c>
      <c r="I356" s="3097">
        <v>420000.27</v>
      </c>
      <c r="J356" s="3075">
        <f t="shared" si="42"/>
        <v>9202</v>
      </c>
      <c r="K356" s="3328"/>
      <c r="L356" s="3328"/>
      <c r="M356" s="3328"/>
      <c r="N356" s="1405">
        <f t="shared" si="39"/>
        <v>1441</v>
      </c>
    </row>
    <row r="357" spans="1:14">
      <c r="A357" s="3116" t="s">
        <v>4191</v>
      </c>
      <c r="B357" s="3329">
        <v>72</v>
      </c>
      <c r="C357" s="3096" t="s">
        <v>3209</v>
      </c>
      <c r="D357" s="3097" t="s">
        <v>3826</v>
      </c>
      <c r="E357" s="3097" t="s">
        <v>3224</v>
      </c>
      <c r="F357" s="3097" t="s">
        <v>3835</v>
      </c>
      <c r="G357" s="3097" t="s">
        <v>3836</v>
      </c>
      <c r="H357" s="3097">
        <v>135.54000000000002</v>
      </c>
      <c r="I357" s="3097">
        <v>7847383.7800000003</v>
      </c>
      <c r="J357" s="3075">
        <f>ROUND(I357/H357,0)</f>
        <v>57897</v>
      </c>
      <c r="K357" s="3328"/>
      <c r="L357" s="3328"/>
      <c r="M357" s="3328"/>
    </row>
    <row r="358" spans="1:14" ht="27">
      <c r="A358" s="3116" t="s">
        <v>4191</v>
      </c>
      <c r="B358" s="3329"/>
      <c r="C358" s="3096" t="s">
        <v>4180</v>
      </c>
      <c r="D358" s="3097" t="s">
        <v>3826</v>
      </c>
      <c r="E358" s="3098" t="s">
        <v>3227</v>
      </c>
      <c r="F358" s="3097" t="s">
        <v>3835</v>
      </c>
      <c r="G358" s="3097" t="s">
        <v>3837</v>
      </c>
      <c r="H358" s="3097">
        <v>85.38</v>
      </c>
      <c r="I358" s="3097">
        <v>2545026.6800000002</v>
      </c>
      <c r="J358" s="3075">
        <f t="shared" si="42"/>
        <v>29808</v>
      </c>
      <c r="K358" s="3328"/>
      <c r="L358" s="3328"/>
      <c r="M358" s="3328"/>
    </row>
    <row r="359" spans="1:14">
      <c r="A359" s="3116" t="s">
        <v>4191</v>
      </c>
      <c r="B359" s="3329"/>
      <c r="C359" s="3096" t="s">
        <v>4180</v>
      </c>
      <c r="D359" s="3097" t="s">
        <v>3826</v>
      </c>
      <c r="E359" s="3097" t="s">
        <v>3229</v>
      </c>
      <c r="F359" s="3097" t="s">
        <v>3838</v>
      </c>
      <c r="G359" s="3097" t="s">
        <v>3838</v>
      </c>
      <c r="H359" s="3097">
        <v>84.62</v>
      </c>
      <c r="I359" s="3097">
        <v>2528693.54</v>
      </c>
      <c r="J359" s="3075">
        <f t="shared" si="42"/>
        <v>29883</v>
      </c>
      <c r="K359" s="3328"/>
      <c r="L359" s="3328"/>
      <c r="M359" s="3328"/>
    </row>
    <row r="360" spans="1:14">
      <c r="A360" s="3116" t="s">
        <v>4191</v>
      </c>
      <c r="B360" s="3329"/>
      <c r="C360" s="3096" t="s">
        <v>3218</v>
      </c>
      <c r="D360" s="3097" t="s">
        <v>3219</v>
      </c>
      <c r="E360" s="3097" t="s">
        <v>3839</v>
      </c>
      <c r="F360" s="3097" t="s">
        <v>3840</v>
      </c>
      <c r="G360" s="3097" t="s">
        <v>3840</v>
      </c>
      <c r="H360" s="3097">
        <v>45.64</v>
      </c>
      <c r="I360" s="3097">
        <v>420000.27</v>
      </c>
      <c r="J360" s="3075">
        <f t="shared" si="42"/>
        <v>9202</v>
      </c>
      <c r="K360" s="3328"/>
      <c r="L360" s="3328"/>
      <c r="M360" s="3328"/>
    </row>
    <row r="361" spans="1:14">
      <c r="A361" s="3116" t="s">
        <v>4191</v>
      </c>
      <c r="B361" s="3329"/>
      <c r="C361" s="3096" t="s">
        <v>3218</v>
      </c>
      <c r="D361" s="3097" t="s">
        <v>3219</v>
      </c>
      <c r="E361" s="3097" t="s">
        <v>3841</v>
      </c>
      <c r="F361" s="3097" t="s">
        <v>3842</v>
      </c>
      <c r="G361" s="3097" t="s">
        <v>3842</v>
      </c>
      <c r="H361" s="3097">
        <v>45.64</v>
      </c>
      <c r="I361" s="3097">
        <v>420000.27</v>
      </c>
      <c r="J361" s="3075">
        <f t="shared" si="42"/>
        <v>9202</v>
      </c>
      <c r="K361" s="3328"/>
      <c r="L361" s="3328"/>
      <c r="M361" s="3328"/>
      <c r="N361" s="1405">
        <f t="shared" ref="N361" si="47">ROUND((I357+I358+I359+I360+I361)/10000,0)</f>
        <v>1376</v>
      </c>
    </row>
    <row r="362" spans="1:14" s="3125" customFormat="1">
      <c r="A362" s="3121" t="s">
        <v>4192</v>
      </c>
      <c r="B362" s="3329">
        <v>73</v>
      </c>
      <c r="C362" s="3122" t="s">
        <v>3209</v>
      </c>
      <c r="D362" s="3123" t="s">
        <v>3843</v>
      </c>
      <c r="E362" s="3123" t="s">
        <v>3224</v>
      </c>
      <c r="F362" s="3123" t="s">
        <v>3844</v>
      </c>
      <c r="G362" s="3123" t="s">
        <v>3845</v>
      </c>
      <c r="H362" s="3123">
        <v>135.04000000000002</v>
      </c>
      <c r="I362" s="3123">
        <v>7711136.4500000002</v>
      </c>
      <c r="J362" s="3124">
        <f>ROUND(I362/H362,0)</f>
        <v>57103</v>
      </c>
      <c r="K362" s="3328">
        <v>71</v>
      </c>
      <c r="L362" s="3328">
        <v>6</v>
      </c>
      <c r="M362" s="3328">
        <v>4</v>
      </c>
    </row>
    <row r="363" spans="1:14" ht="27">
      <c r="A363" s="3121" t="s">
        <v>4192</v>
      </c>
      <c r="B363" s="3329"/>
      <c r="C363" s="3096" t="s">
        <v>4180</v>
      </c>
      <c r="D363" s="3097" t="s">
        <v>3843</v>
      </c>
      <c r="E363" s="3098" t="s">
        <v>3227</v>
      </c>
      <c r="F363" s="3097" t="s">
        <v>3844</v>
      </c>
      <c r="G363" s="3097" t="s">
        <v>3846</v>
      </c>
      <c r="H363" s="3097">
        <v>85.07</v>
      </c>
      <c r="I363" s="3097">
        <v>2539345.4500000002</v>
      </c>
      <c r="J363" s="3075">
        <f t="shared" si="42"/>
        <v>29850</v>
      </c>
      <c r="K363" s="3328"/>
      <c r="L363" s="3328"/>
      <c r="M363" s="3328"/>
    </row>
    <row r="364" spans="1:14">
      <c r="A364" s="3121" t="s">
        <v>4192</v>
      </c>
      <c r="B364" s="3329"/>
      <c r="C364" s="3096" t="s">
        <v>4180</v>
      </c>
      <c r="D364" s="3097" t="s">
        <v>3843</v>
      </c>
      <c r="E364" s="3097" t="s">
        <v>3229</v>
      </c>
      <c r="F364" s="3097" t="s">
        <v>3847</v>
      </c>
      <c r="G364" s="3097" t="s">
        <v>3847</v>
      </c>
      <c r="H364" s="3097">
        <v>84.169999999999987</v>
      </c>
      <c r="I364" s="3097">
        <v>2524509.9700000002</v>
      </c>
      <c r="J364" s="3075">
        <f t="shared" si="42"/>
        <v>29993</v>
      </c>
      <c r="K364" s="3328"/>
      <c r="L364" s="3328"/>
      <c r="M364" s="3328"/>
    </row>
    <row r="365" spans="1:14">
      <c r="A365" s="3121" t="s">
        <v>4192</v>
      </c>
      <c r="B365" s="3329"/>
      <c r="C365" s="3096" t="s">
        <v>3218</v>
      </c>
      <c r="D365" s="3097" t="s">
        <v>3219</v>
      </c>
      <c r="E365" s="3097" t="s">
        <v>3848</v>
      </c>
      <c r="F365" s="3097" t="s">
        <v>3849</v>
      </c>
      <c r="G365" s="3097" t="s">
        <v>3849</v>
      </c>
      <c r="H365" s="3097">
        <v>45.64</v>
      </c>
      <c r="I365" s="3097">
        <v>420000.27</v>
      </c>
      <c r="J365" s="3075">
        <f t="shared" si="42"/>
        <v>9202</v>
      </c>
      <c r="K365" s="3328"/>
      <c r="L365" s="3328"/>
      <c r="M365" s="3328"/>
    </row>
    <row r="366" spans="1:14">
      <c r="A366" s="3121" t="s">
        <v>4192</v>
      </c>
      <c r="B366" s="3329"/>
      <c r="C366" s="3096" t="s">
        <v>3218</v>
      </c>
      <c r="D366" s="3097" t="s">
        <v>3219</v>
      </c>
      <c r="E366" s="3097" t="s">
        <v>3850</v>
      </c>
      <c r="F366" s="3097" t="s">
        <v>3851</v>
      </c>
      <c r="G366" s="3097" t="s">
        <v>3851</v>
      </c>
      <c r="H366" s="3097">
        <v>45.64</v>
      </c>
      <c r="I366" s="3097">
        <v>420000.27</v>
      </c>
      <c r="J366" s="3075">
        <f t="shared" si="42"/>
        <v>9202</v>
      </c>
      <c r="K366" s="3328"/>
      <c r="L366" s="3328"/>
      <c r="M366" s="3328"/>
      <c r="N366" s="1405">
        <f t="shared" ref="N366:N426" si="48">ROUND((I362+I363+I364+I365+I366)/10000,0)</f>
        <v>1361</v>
      </c>
    </row>
    <row r="367" spans="1:14">
      <c r="A367" s="3121" t="s">
        <v>4192</v>
      </c>
      <c r="B367" s="3329">
        <v>74</v>
      </c>
      <c r="C367" s="3096" t="s">
        <v>3209</v>
      </c>
      <c r="D367" s="3097" t="s">
        <v>3843</v>
      </c>
      <c r="E367" s="3097" t="s">
        <v>3388</v>
      </c>
      <c r="F367" s="3097" t="s">
        <v>3852</v>
      </c>
      <c r="G367" s="3097" t="s">
        <v>3853</v>
      </c>
      <c r="H367" s="3097">
        <v>134.70000000000002</v>
      </c>
      <c r="I367" s="3097">
        <v>8511954.3200000003</v>
      </c>
      <c r="J367" s="3075">
        <f>ROUND(I367/H367,0)</f>
        <v>63192</v>
      </c>
      <c r="K367" s="3328"/>
      <c r="L367" s="3328"/>
      <c r="M367" s="3328"/>
    </row>
    <row r="368" spans="1:14" ht="27">
      <c r="A368" s="3121" t="s">
        <v>4192</v>
      </c>
      <c r="B368" s="3329"/>
      <c r="C368" s="3096" t="s">
        <v>4180</v>
      </c>
      <c r="D368" s="3097" t="s">
        <v>3843</v>
      </c>
      <c r="E368" s="3098" t="s">
        <v>3391</v>
      </c>
      <c r="F368" s="3097" t="s">
        <v>3852</v>
      </c>
      <c r="G368" s="3097" t="s">
        <v>3854</v>
      </c>
      <c r="H368" s="3097">
        <v>84.65</v>
      </c>
      <c r="I368" s="3097">
        <v>2526763.56</v>
      </c>
      <c r="J368" s="3075">
        <f t="shared" si="42"/>
        <v>29850</v>
      </c>
      <c r="K368" s="3328"/>
      <c r="L368" s="3328"/>
      <c r="M368" s="3328"/>
    </row>
    <row r="369" spans="1:14">
      <c r="A369" s="3121" t="s">
        <v>4192</v>
      </c>
      <c r="B369" s="3329"/>
      <c r="C369" s="3096" t="s">
        <v>4180</v>
      </c>
      <c r="D369" s="3097" t="s">
        <v>3843</v>
      </c>
      <c r="E369" s="3097" t="s">
        <v>3393</v>
      </c>
      <c r="F369" s="3097" t="s">
        <v>3855</v>
      </c>
      <c r="G369" s="3097" t="s">
        <v>3855</v>
      </c>
      <c r="H369" s="3097">
        <v>83.45</v>
      </c>
      <c r="I369" s="3097">
        <v>2502904.17</v>
      </c>
      <c r="J369" s="3075">
        <f t="shared" si="42"/>
        <v>29993</v>
      </c>
      <c r="K369" s="3328"/>
      <c r="L369" s="3328"/>
      <c r="M369" s="3328"/>
    </row>
    <row r="370" spans="1:14">
      <c r="A370" s="3121" t="s">
        <v>4192</v>
      </c>
      <c r="B370" s="3329"/>
      <c r="C370" s="3096" t="s">
        <v>3218</v>
      </c>
      <c r="D370" s="3097" t="s">
        <v>3219</v>
      </c>
      <c r="E370" s="3097" t="s">
        <v>3856</v>
      </c>
      <c r="F370" s="3097" t="s">
        <v>3857</v>
      </c>
      <c r="G370" s="3097" t="s">
        <v>3857</v>
      </c>
      <c r="H370" s="3097">
        <v>45.64</v>
      </c>
      <c r="I370" s="3097">
        <v>420000.27</v>
      </c>
      <c r="J370" s="3075">
        <f t="shared" si="42"/>
        <v>9202</v>
      </c>
      <c r="K370" s="3328"/>
      <c r="L370" s="3328"/>
      <c r="M370" s="3328"/>
    </row>
    <row r="371" spans="1:14">
      <c r="A371" s="3121" t="s">
        <v>4192</v>
      </c>
      <c r="B371" s="3329"/>
      <c r="C371" s="3096" t="s">
        <v>3218</v>
      </c>
      <c r="D371" s="3097" t="s">
        <v>3219</v>
      </c>
      <c r="E371" s="3097" t="s">
        <v>3858</v>
      </c>
      <c r="F371" s="3097" t="s">
        <v>3859</v>
      </c>
      <c r="G371" s="3097" t="s">
        <v>3859</v>
      </c>
      <c r="H371" s="3097">
        <v>45.64</v>
      </c>
      <c r="I371" s="3097">
        <v>420000.27</v>
      </c>
      <c r="J371" s="3075">
        <f t="shared" si="42"/>
        <v>9202</v>
      </c>
      <c r="K371" s="3328"/>
      <c r="L371" s="3328"/>
      <c r="M371" s="3328"/>
      <c r="N371" s="1405">
        <f t="shared" ref="N371" si="49">ROUND((I367+I368+I369+I370+I371)/10000,0)</f>
        <v>1438</v>
      </c>
    </row>
    <row r="372" spans="1:14">
      <c r="A372" s="3121" t="s">
        <v>4192</v>
      </c>
      <c r="B372" s="3329">
        <v>75</v>
      </c>
      <c r="C372" s="3096" t="s">
        <v>3209</v>
      </c>
      <c r="D372" s="3097" t="s">
        <v>3843</v>
      </c>
      <c r="E372" s="3097" t="s">
        <v>3235</v>
      </c>
      <c r="F372" s="3097" t="s">
        <v>3860</v>
      </c>
      <c r="G372" s="3097" t="s">
        <v>3861</v>
      </c>
      <c r="H372" s="3097">
        <v>134.85</v>
      </c>
      <c r="I372" s="3097">
        <v>7779013.7400000002</v>
      </c>
      <c r="J372" s="3075">
        <f>ROUND(I372/H372,0)</f>
        <v>57686</v>
      </c>
      <c r="K372" s="3328"/>
      <c r="L372" s="3328"/>
      <c r="M372" s="3328"/>
    </row>
    <row r="373" spans="1:14" ht="27">
      <c r="A373" s="3121" t="s">
        <v>4192</v>
      </c>
      <c r="B373" s="3329"/>
      <c r="C373" s="3096" t="s">
        <v>4180</v>
      </c>
      <c r="D373" s="3097" t="s">
        <v>3843</v>
      </c>
      <c r="E373" s="3098" t="s">
        <v>3238</v>
      </c>
      <c r="F373" s="3097" t="s">
        <v>3860</v>
      </c>
      <c r="G373" s="3097" t="s">
        <v>3862</v>
      </c>
      <c r="H373" s="3097">
        <v>84.789999999999992</v>
      </c>
      <c r="I373" s="3097">
        <v>2530936.56</v>
      </c>
      <c r="J373" s="3075">
        <f t="shared" si="42"/>
        <v>29849</v>
      </c>
      <c r="K373" s="3328"/>
      <c r="L373" s="3328"/>
      <c r="M373" s="3328"/>
    </row>
    <row r="374" spans="1:14">
      <c r="A374" s="3121" t="s">
        <v>4192</v>
      </c>
      <c r="B374" s="3329"/>
      <c r="C374" s="3096" t="s">
        <v>4180</v>
      </c>
      <c r="D374" s="3097" t="s">
        <v>3843</v>
      </c>
      <c r="E374" s="3097" t="s">
        <v>3240</v>
      </c>
      <c r="F374" s="3097" t="s">
        <v>3863</v>
      </c>
      <c r="G374" s="3097" t="s">
        <v>3863</v>
      </c>
      <c r="H374" s="3097">
        <v>84.169999999999987</v>
      </c>
      <c r="I374" s="3097">
        <v>2524509.9700000002</v>
      </c>
      <c r="J374" s="3075">
        <f t="shared" si="42"/>
        <v>29993</v>
      </c>
      <c r="K374" s="3328"/>
      <c r="L374" s="3328"/>
      <c r="M374" s="3328"/>
    </row>
    <row r="375" spans="1:14">
      <c r="A375" s="3121" t="s">
        <v>4192</v>
      </c>
      <c r="B375" s="3329"/>
      <c r="C375" s="3096" t="s">
        <v>3218</v>
      </c>
      <c r="D375" s="3097" t="s">
        <v>3219</v>
      </c>
      <c r="E375" s="3097" t="s">
        <v>3864</v>
      </c>
      <c r="F375" s="3097" t="s">
        <v>3865</v>
      </c>
      <c r="G375" s="3097" t="s">
        <v>3865</v>
      </c>
      <c r="H375" s="3097">
        <v>45.64</v>
      </c>
      <c r="I375" s="3097">
        <v>420000.27</v>
      </c>
      <c r="J375" s="3075">
        <f t="shared" si="42"/>
        <v>9202</v>
      </c>
      <c r="K375" s="3328"/>
      <c r="L375" s="3328"/>
      <c r="M375" s="3328"/>
    </row>
    <row r="376" spans="1:14">
      <c r="A376" s="3121" t="s">
        <v>4192</v>
      </c>
      <c r="B376" s="3329"/>
      <c r="C376" s="3096" t="s">
        <v>3218</v>
      </c>
      <c r="D376" s="3097" t="s">
        <v>3219</v>
      </c>
      <c r="E376" s="3097" t="s">
        <v>3866</v>
      </c>
      <c r="F376" s="3097" t="s">
        <v>3867</v>
      </c>
      <c r="G376" s="3097" t="s">
        <v>3867</v>
      </c>
      <c r="H376" s="3097">
        <v>45.64</v>
      </c>
      <c r="I376" s="3097">
        <v>420000.27</v>
      </c>
      <c r="J376" s="3075">
        <f t="shared" si="42"/>
        <v>9202</v>
      </c>
      <c r="K376" s="3328"/>
      <c r="L376" s="3328"/>
      <c r="M376" s="3328"/>
      <c r="N376" s="1405">
        <f t="shared" si="48"/>
        <v>1367</v>
      </c>
    </row>
    <row r="377" spans="1:14">
      <c r="A377" s="3121" t="s">
        <v>4192</v>
      </c>
      <c r="B377" s="3329">
        <v>76</v>
      </c>
      <c r="C377" s="3096" t="s">
        <v>3209</v>
      </c>
      <c r="D377" s="3097" t="s">
        <v>3843</v>
      </c>
      <c r="E377" s="3097" t="s">
        <v>3247</v>
      </c>
      <c r="F377" s="3097" t="s">
        <v>3868</v>
      </c>
      <c r="G377" s="3097" t="s">
        <v>3869</v>
      </c>
      <c r="H377" s="3097">
        <v>135.04000000000002</v>
      </c>
      <c r="I377" s="3097">
        <v>7909038.9199999999</v>
      </c>
      <c r="J377" s="3075">
        <f>ROUND(I377/H377,0)</f>
        <v>58568</v>
      </c>
      <c r="K377" s="3328"/>
      <c r="L377" s="3328"/>
      <c r="M377" s="3328"/>
    </row>
    <row r="378" spans="1:14" ht="24">
      <c r="A378" s="3121" t="s">
        <v>4192</v>
      </c>
      <c r="B378" s="3329"/>
      <c r="C378" s="3096" t="s">
        <v>4180</v>
      </c>
      <c r="D378" s="3097" t="s">
        <v>3843</v>
      </c>
      <c r="E378" s="3097" t="s">
        <v>3250</v>
      </c>
      <c r="F378" s="3097" t="s">
        <v>3868</v>
      </c>
      <c r="G378" s="3097" t="s">
        <v>3870</v>
      </c>
      <c r="H378" s="3097">
        <v>85.07</v>
      </c>
      <c r="I378" s="3097">
        <v>2539345.4500000002</v>
      </c>
      <c r="J378" s="3075">
        <f t="shared" si="42"/>
        <v>29850</v>
      </c>
      <c r="K378" s="3328"/>
      <c r="L378" s="3328"/>
      <c r="M378" s="3328"/>
    </row>
    <row r="379" spans="1:14">
      <c r="A379" s="3121" t="s">
        <v>4192</v>
      </c>
      <c r="B379" s="3329"/>
      <c r="C379" s="3096" t="s">
        <v>4180</v>
      </c>
      <c r="D379" s="3097" t="s">
        <v>3843</v>
      </c>
      <c r="E379" s="3097" t="s">
        <v>3252</v>
      </c>
      <c r="F379" s="3097" t="s">
        <v>3871</v>
      </c>
      <c r="G379" s="3097" t="s">
        <v>3871</v>
      </c>
      <c r="H379" s="3097">
        <v>84.169999999999987</v>
      </c>
      <c r="I379" s="3097">
        <v>2524509.13</v>
      </c>
      <c r="J379" s="3075">
        <f t="shared" si="42"/>
        <v>29993</v>
      </c>
      <c r="K379" s="3328"/>
      <c r="L379" s="3328"/>
      <c r="M379" s="3328"/>
    </row>
    <row r="380" spans="1:14">
      <c r="A380" s="3121" t="s">
        <v>4192</v>
      </c>
      <c r="B380" s="3329"/>
      <c r="C380" s="3096" t="s">
        <v>3218</v>
      </c>
      <c r="D380" s="3097" t="s">
        <v>3219</v>
      </c>
      <c r="E380" s="3097" t="s">
        <v>3872</v>
      </c>
      <c r="F380" s="3097" t="s">
        <v>3873</v>
      </c>
      <c r="G380" s="3097" t="s">
        <v>3873</v>
      </c>
      <c r="H380" s="3097">
        <v>45.64</v>
      </c>
      <c r="I380" s="3097">
        <v>420000.27</v>
      </c>
      <c r="J380" s="3075">
        <f t="shared" si="42"/>
        <v>9202</v>
      </c>
      <c r="K380" s="3328"/>
      <c r="L380" s="3328"/>
      <c r="M380" s="3328"/>
    </row>
    <row r="381" spans="1:14">
      <c r="A381" s="3121" t="s">
        <v>4192</v>
      </c>
      <c r="B381" s="3329"/>
      <c r="C381" s="3096" t="s">
        <v>3218</v>
      </c>
      <c r="D381" s="3097" t="s">
        <v>3219</v>
      </c>
      <c r="E381" s="3097" t="s">
        <v>3874</v>
      </c>
      <c r="F381" s="3097" t="s">
        <v>3875</v>
      </c>
      <c r="G381" s="3097" t="s">
        <v>3875</v>
      </c>
      <c r="H381" s="3097">
        <v>45.64</v>
      </c>
      <c r="I381" s="3097">
        <v>420000.27</v>
      </c>
      <c r="J381" s="3075">
        <f t="shared" si="42"/>
        <v>9202</v>
      </c>
      <c r="K381" s="3328"/>
      <c r="L381" s="3328"/>
      <c r="M381" s="3328"/>
      <c r="N381" s="1405">
        <f t="shared" ref="N381" si="50">ROUND((I377+I378+I379+I380+I381)/10000,0)</f>
        <v>1381</v>
      </c>
    </row>
    <row r="382" spans="1:14">
      <c r="A382" s="3121" t="s">
        <v>4192</v>
      </c>
      <c r="B382" s="3329">
        <v>77</v>
      </c>
      <c r="C382" s="3096" t="s">
        <v>3209</v>
      </c>
      <c r="D382" s="3097" t="s">
        <v>3876</v>
      </c>
      <c r="E382" s="3097" t="s">
        <v>3426</v>
      </c>
      <c r="F382" s="3097" t="s">
        <v>3877</v>
      </c>
      <c r="G382" s="3097" t="s">
        <v>3878</v>
      </c>
      <c r="H382" s="3097">
        <v>134.87</v>
      </c>
      <c r="I382" s="3097">
        <v>8522123.75</v>
      </c>
      <c r="J382" s="3075">
        <f>ROUND(I382/H382,0)</f>
        <v>63188</v>
      </c>
      <c r="K382" s="3328">
        <v>72</v>
      </c>
      <c r="L382" s="3328">
        <v>6</v>
      </c>
      <c r="M382" s="3328">
        <v>6</v>
      </c>
    </row>
    <row r="383" spans="1:14" ht="27">
      <c r="A383" s="3121" t="s">
        <v>4192</v>
      </c>
      <c r="B383" s="3329"/>
      <c r="C383" s="3096" t="s">
        <v>4180</v>
      </c>
      <c r="D383" s="3097" t="s">
        <v>3876</v>
      </c>
      <c r="E383" s="3098" t="s">
        <v>3429</v>
      </c>
      <c r="F383" s="3097" t="s">
        <v>3877</v>
      </c>
      <c r="G383" s="3097" t="s">
        <v>3879</v>
      </c>
      <c r="H383" s="3097">
        <v>84.76</v>
      </c>
      <c r="I383" s="3097">
        <v>2530081.7599999998</v>
      </c>
      <c r="J383" s="3075">
        <f t="shared" ref="J383:J441" si="51">ROUND(I383/H383,0)</f>
        <v>29850</v>
      </c>
      <c r="K383" s="3328"/>
      <c r="L383" s="3328"/>
      <c r="M383" s="3328"/>
    </row>
    <row r="384" spans="1:14">
      <c r="A384" s="3121" t="s">
        <v>4192</v>
      </c>
      <c r="B384" s="3329"/>
      <c r="C384" s="3096" t="s">
        <v>4180</v>
      </c>
      <c r="D384" s="3097" t="s">
        <v>3876</v>
      </c>
      <c r="E384" s="3097" t="s">
        <v>3431</v>
      </c>
      <c r="F384" s="3097" t="s">
        <v>3880</v>
      </c>
      <c r="G384" s="3097" t="s">
        <v>3880</v>
      </c>
      <c r="H384" s="3097">
        <v>83.47999999999999</v>
      </c>
      <c r="I384" s="3097">
        <v>2503793.94</v>
      </c>
      <c r="J384" s="3075">
        <f t="shared" si="51"/>
        <v>29993</v>
      </c>
      <c r="K384" s="3328"/>
      <c r="L384" s="3328"/>
      <c r="M384" s="3328"/>
    </row>
    <row r="385" spans="1:14">
      <c r="A385" s="3121" t="s">
        <v>4192</v>
      </c>
      <c r="B385" s="3329"/>
      <c r="C385" s="3096" t="s">
        <v>3218</v>
      </c>
      <c r="D385" s="3097" t="s">
        <v>3219</v>
      </c>
      <c r="E385" s="3097" t="s">
        <v>3881</v>
      </c>
      <c r="F385" s="3097" t="s">
        <v>3882</v>
      </c>
      <c r="G385" s="3097" t="s">
        <v>3882</v>
      </c>
      <c r="H385" s="3097">
        <v>45.64</v>
      </c>
      <c r="I385" s="3097">
        <v>420000.27</v>
      </c>
      <c r="J385" s="3075">
        <f t="shared" si="51"/>
        <v>9202</v>
      </c>
      <c r="K385" s="3328"/>
      <c r="L385" s="3328"/>
      <c r="M385" s="3328"/>
    </row>
    <row r="386" spans="1:14">
      <c r="A386" s="3121" t="s">
        <v>4192</v>
      </c>
      <c r="B386" s="3329"/>
      <c r="C386" s="3096" t="s">
        <v>3218</v>
      </c>
      <c r="D386" s="3097" t="s">
        <v>3219</v>
      </c>
      <c r="E386" s="3097" t="s">
        <v>3883</v>
      </c>
      <c r="F386" s="3097" t="s">
        <v>3884</v>
      </c>
      <c r="G386" s="3097" t="s">
        <v>3884</v>
      </c>
      <c r="H386" s="3097">
        <v>45.64</v>
      </c>
      <c r="I386" s="3097">
        <v>420000.27</v>
      </c>
      <c r="J386" s="3075">
        <f t="shared" si="51"/>
        <v>9202</v>
      </c>
      <c r="K386" s="3328"/>
      <c r="L386" s="3328"/>
      <c r="M386" s="3328"/>
      <c r="N386" s="1405">
        <f t="shared" si="48"/>
        <v>1440</v>
      </c>
    </row>
    <row r="387" spans="1:14">
      <c r="A387" s="3121" t="s">
        <v>4192</v>
      </c>
      <c r="B387" s="3329">
        <v>78</v>
      </c>
      <c r="C387" s="3096" t="s">
        <v>3209</v>
      </c>
      <c r="D387" s="3097" t="s">
        <v>3876</v>
      </c>
      <c r="E387" s="3097" t="s">
        <v>3211</v>
      </c>
      <c r="F387" s="3097" t="s">
        <v>3885</v>
      </c>
      <c r="G387" s="3097" t="s">
        <v>3886</v>
      </c>
      <c r="H387" s="3097">
        <v>135.01999999999998</v>
      </c>
      <c r="I387" s="3097">
        <v>7591182.2000000002</v>
      </c>
      <c r="J387" s="3075">
        <f>ROUND(I387/H387,0)</f>
        <v>56223</v>
      </c>
      <c r="K387" s="3328"/>
      <c r="L387" s="3328"/>
      <c r="M387" s="3328"/>
    </row>
    <row r="388" spans="1:14" ht="27">
      <c r="A388" s="3121" t="s">
        <v>4192</v>
      </c>
      <c r="B388" s="3329"/>
      <c r="C388" s="3096" t="s">
        <v>4180</v>
      </c>
      <c r="D388" s="3097" t="s">
        <v>3876</v>
      </c>
      <c r="E388" s="3098" t="s">
        <v>3214</v>
      </c>
      <c r="F388" s="3097" t="s">
        <v>3885</v>
      </c>
      <c r="G388" s="3097" t="s">
        <v>3887</v>
      </c>
      <c r="H388" s="3097">
        <v>84.9</v>
      </c>
      <c r="I388" s="3097">
        <v>2534260.7599999998</v>
      </c>
      <c r="J388" s="3075">
        <f t="shared" si="51"/>
        <v>29850</v>
      </c>
      <c r="K388" s="3328"/>
      <c r="L388" s="3328"/>
      <c r="M388" s="3328"/>
    </row>
    <row r="389" spans="1:14">
      <c r="A389" s="3121" t="s">
        <v>4192</v>
      </c>
      <c r="B389" s="3329"/>
      <c r="C389" s="3096" t="s">
        <v>4180</v>
      </c>
      <c r="D389" s="3097" t="s">
        <v>3876</v>
      </c>
      <c r="E389" s="3097" t="s">
        <v>3216</v>
      </c>
      <c r="F389" s="3097" t="s">
        <v>3888</v>
      </c>
      <c r="G389" s="3097" t="s">
        <v>3888</v>
      </c>
      <c r="H389" s="3097">
        <v>84.199999999999989</v>
      </c>
      <c r="I389" s="3097">
        <v>2525405.5499999998</v>
      </c>
      <c r="J389" s="3075">
        <f t="shared" si="51"/>
        <v>29993</v>
      </c>
      <c r="K389" s="3328"/>
      <c r="L389" s="3328"/>
      <c r="M389" s="3328"/>
    </row>
    <row r="390" spans="1:14">
      <c r="A390" s="3121" t="s">
        <v>4192</v>
      </c>
      <c r="B390" s="3329"/>
      <c r="C390" s="3096" t="s">
        <v>3218</v>
      </c>
      <c r="D390" s="3097" t="s">
        <v>3219</v>
      </c>
      <c r="E390" s="3097" t="s">
        <v>3889</v>
      </c>
      <c r="F390" s="3097" t="s">
        <v>3890</v>
      </c>
      <c r="G390" s="3097" t="s">
        <v>3890</v>
      </c>
      <c r="H390" s="3097">
        <v>45.64</v>
      </c>
      <c r="I390" s="3097">
        <v>420000.27</v>
      </c>
      <c r="J390" s="3075">
        <f t="shared" si="51"/>
        <v>9202</v>
      </c>
      <c r="K390" s="3328"/>
      <c r="L390" s="3328"/>
      <c r="M390" s="3328"/>
    </row>
    <row r="391" spans="1:14">
      <c r="A391" s="3121" t="s">
        <v>4192</v>
      </c>
      <c r="B391" s="3329"/>
      <c r="C391" s="3096" t="s">
        <v>3218</v>
      </c>
      <c r="D391" s="3097" t="s">
        <v>3219</v>
      </c>
      <c r="E391" s="3097" t="s">
        <v>3891</v>
      </c>
      <c r="F391" s="3097" t="s">
        <v>3892</v>
      </c>
      <c r="G391" s="3097" t="s">
        <v>3892</v>
      </c>
      <c r="H391" s="3097">
        <v>45.64</v>
      </c>
      <c r="I391" s="3097">
        <v>420000.27</v>
      </c>
      <c r="J391" s="3075">
        <f t="shared" si="51"/>
        <v>9202</v>
      </c>
      <c r="K391" s="3328"/>
      <c r="L391" s="3328"/>
      <c r="M391" s="3328"/>
      <c r="N391" s="1405">
        <f t="shared" ref="N391" si="52">ROUND((I387+I388+I389+I390+I391)/10000,0)</f>
        <v>1349</v>
      </c>
    </row>
    <row r="392" spans="1:14">
      <c r="A392" s="3121" t="s">
        <v>4192</v>
      </c>
      <c r="B392" s="3329">
        <v>79</v>
      </c>
      <c r="C392" s="3096" t="s">
        <v>3209</v>
      </c>
      <c r="D392" s="3097" t="s">
        <v>3876</v>
      </c>
      <c r="E392" s="3097" t="s">
        <v>3224</v>
      </c>
      <c r="F392" s="3097" t="s">
        <v>3893</v>
      </c>
      <c r="G392" s="3097" t="s">
        <v>3894</v>
      </c>
      <c r="H392" s="3097">
        <v>135.21</v>
      </c>
      <c r="I392" s="3097">
        <v>7721526.71</v>
      </c>
      <c r="J392" s="3075">
        <f>ROUND(I392/H392,0)</f>
        <v>57108</v>
      </c>
      <c r="K392" s="3328"/>
      <c r="L392" s="3328"/>
      <c r="M392" s="3328"/>
    </row>
    <row r="393" spans="1:14" ht="27">
      <c r="A393" s="3121" t="s">
        <v>4192</v>
      </c>
      <c r="B393" s="3329"/>
      <c r="C393" s="3096" t="s">
        <v>4180</v>
      </c>
      <c r="D393" s="3097" t="s">
        <v>3876</v>
      </c>
      <c r="E393" s="3098" t="s">
        <v>3227</v>
      </c>
      <c r="F393" s="3097" t="s">
        <v>3893</v>
      </c>
      <c r="G393" s="3097" t="s">
        <v>3895</v>
      </c>
      <c r="H393" s="3097">
        <v>85.18</v>
      </c>
      <c r="I393" s="3097">
        <v>2542371.7200000002</v>
      </c>
      <c r="J393" s="3075">
        <f t="shared" si="51"/>
        <v>29847</v>
      </c>
      <c r="K393" s="3328"/>
      <c r="L393" s="3328"/>
      <c r="M393" s="3328"/>
    </row>
    <row r="394" spans="1:14">
      <c r="A394" s="3121" t="s">
        <v>4192</v>
      </c>
      <c r="B394" s="3329"/>
      <c r="C394" s="3096" t="s">
        <v>4180</v>
      </c>
      <c r="D394" s="3097" t="s">
        <v>3876</v>
      </c>
      <c r="E394" s="3097" t="s">
        <v>3229</v>
      </c>
      <c r="F394" s="3097" t="s">
        <v>3896</v>
      </c>
      <c r="G394" s="3097" t="s">
        <v>3896</v>
      </c>
      <c r="H394" s="3097">
        <v>84.199999999999989</v>
      </c>
      <c r="I394" s="3097">
        <v>2525405.5499999998</v>
      </c>
      <c r="J394" s="3075">
        <f t="shared" si="51"/>
        <v>29993</v>
      </c>
      <c r="K394" s="3328"/>
      <c r="L394" s="3328"/>
      <c r="M394" s="3328"/>
    </row>
    <row r="395" spans="1:14">
      <c r="A395" s="3121" t="s">
        <v>4192</v>
      </c>
      <c r="B395" s="3329"/>
      <c r="C395" s="3096" t="s">
        <v>3218</v>
      </c>
      <c r="D395" s="3097" t="s">
        <v>3219</v>
      </c>
      <c r="E395" s="3097" t="s">
        <v>3897</v>
      </c>
      <c r="F395" s="3097" t="s">
        <v>3898</v>
      </c>
      <c r="G395" s="3097" t="s">
        <v>3898</v>
      </c>
      <c r="H395" s="3097">
        <v>45.64</v>
      </c>
      <c r="I395" s="3097">
        <v>420000.27</v>
      </c>
      <c r="J395" s="3075">
        <f t="shared" si="51"/>
        <v>9202</v>
      </c>
      <c r="K395" s="3328"/>
      <c r="L395" s="3328"/>
      <c r="M395" s="3328"/>
    </row>
    <row r="396" spans="1:14">
      <c r="A396" s="3121" t="s">
        <v>4192</v>
      </c>
      <c r="B396" s="3329"/>
      <c r="C396" s="3096" t="s">
        <v>3218</v>
      </c>
      <c r="D396" s="3097" t="s">
        <v>3219</v>
      </c>
      <c r="E396" s="3097" t="s">
        <v>3899</v>
      </c>
      <c r="F396" s="3097" t="s">
        <v>3900</v>
      </c>
      <c r="G396" s="3097" t="s">
        <v>3900</v>
      </c>
      <c r="H396" s="3097">
        <v>45.64</v>
      </c>
      <c r="I396" s="3097">
        <v>420000.27</v>
      </c>
      <c r="J396" s="3075">
        <f t="shared" si="51"/>
        <v>9202</v>
      </c>
      <c r="K396" s="3328"/>
      <c r="L396" s="3328"/>
      <c r="M396" s="3328"/>
      <c r="N396" s="1405">
        <f t="shared" si="48"/>
        <v>1363</v>
      </c>
    </row>
    <row r="397" spans="1:14">
      <c r="A397" s="3121" t="s">
        <v>4192</v>
      </c>
      <c r="B397" s="3329">
        <v>80</v>
      </c>
      <c r="C397" s="3096" t="s">
        <v>3209</v>
      </c>
      <c r="D397" s="3097" t="s">
        <v>3876</v>
      </c>
      <c r="E397" s="3097" t="s">
        <v>3388</v>
      </c>
      <c r="F397" s="3097" t="s">
        <v>3901</v>
      </c>
      <c r="G397" s="3097" t="s">
        <v>3902</v>
      </c>
      <c r="H397" s="3097">
        <v>134.87</v>
      </c>
      <c r="I397" s="3097">
        <v>8522122.4000000004</v>
      </c>
      <c r="J397" s="3075">
        <f>ROUND(I397/H397,0)</f>
        <v>63188</v>
      </c>
      <c r="K397" s="3328"/>
      <c r="L397" s="3328"/>
      <c r="M397" s="3328"/>
    </row>
    <row r="398" spans="1:14" ht="27">
      <c r="A398" s="3121" t="s">
        <v>4192</v>
      </c>
      <c r="B398" s="3329"/>
      <c r="C398" s="3096" t="s">
        <v>4180</v>
      </c>
      <c r="D398" s="3097" t="s">
        <v>3876</v>
      </c>
      <c r="E398" s="3098" t="s">
        <v>3391</v>
      </c>
      <c r="F398" s="3097" t="s">
        <v>3901</v>
      </c>
      <c r="G398" s="3097" t="s">
        <v>3903</v>
      </c>
      <c r="H398" s="3097">
        <v>84.76</v>
      </c>
      <c r="I398" s="3097">
        <v>2530081.7599999998</v>
      </c>
      <c r="J398" s="3075">
        <f t="shared" si="51"/>
        <v>29850</v>
      </c>
      <c r="K398" s="3328"/>
      <c r="L398" s="3328"/>
      <c r="M398" s="3328"/>
    </row>
    <row r="399" spans="1:14">
      <c r="A399" s="3121" t="s">
        <v>4192</v>
      </c>
      <c r="B399" s="3329"/>
      <c r="C399" s="3096" t="s">
        <v>4180</v>
      </c>
      <c r="D399" s="3097" t="s">
        <v>3876</v>
      </c>
      <c r="E399" s="3097" t="s">
        <v>3393</v>
      </c>
      <c r="F399" s="3097" t="s">
        <v>3904</v>
      </c>
      <c r="G399" s="3097" t="s">
        <v>3904</v>
      </c>
      <c r="H399" s="3097">
        <v>83.47999999999999</v>
      </c>
      <c r="I399" s="3097">
        <v>2503793.94</v>
      </c>
      <c r="J399" s="3075">
        <f t="shared" si="51"/>
        <v>29993</v>
      </c>
      <c r="K399" s="3328"/>
      <c r="L399" s="3328"/>
      <c r="M399" s="3328"/>
    </row>
    <row r="400" spans="1:14">
      <c r="A400" s="3121" t="s">
        <v>4192</v>
      </c>
      <c r="B400" s="3329"/>
      <c r="C400" s="3096" t="s">
        <v>3218</v>
      </c>
      <c r="D400" s="3097" t="s">
        <v>3219</v>
      </c>
      <c r="E400" s="3097" t="s">
        <v>3905</v>
      </c>
      <c r="F400" s="3097" t="s">
        <v>3906</v>
      </c>
      <c r="G400" s="3097" t="s">
        <v>3906</v>
      </c>
      <c r="H400" s="3097">
        <v>45.64</v>
      </c>
      <c r="I400" s="3097">
        <v>420000.27</v>
      </c>
      <c r="J400" s="3075">
        <f t="shared" si="51"/>
        <v>9202</v>
      </c>
      <c r="K400" s="3328"/>
      <c r="L400" s="3328"/>
      <c r="M400" s="3328"/>
    </row>
    <row r="401" spans="1:14">
      <c r="A401" s="3121" t="s">
        <v>4192</v>
      </c>
      <c r="B401" s="3329"/>
      <c r="C401" s="3096" t="s">
        <v>3218</v>
      </c>
      <c r="D401" s="3097" t="s">
        <v>3219</v>
      </c>
      <c r="E401" s="3097" t="s">
        <v>3907</v>
      </c>
      <c r="F401" s="3097" t="s">
        <v>3908</v>
      </c>
      <c r="G401" s="3097" t="s">
        <v>3908</v>
      </c>
      <c r="H401" s="3097">
        <v>45.64</v>
      </c>
      <c r="I401" s="3097">
        <v>420000.27</v>
      </c>
      <c r="J401" s="3075">
        <f t="shared" si="51"/>
        <v>9202</v>
      </c>
      <c r="K401" s="3328"/>
      <c r="L401" s="3328"/>
      <c r="M401" s="3328"/>
      <c r="N401" s="1405">
        <f t="shared" ref="N401" si="53">ROUND((I397+I398+I399+I400+I401)/10000,0)</f>
        <v>1440</v>
      </c>
    </row>
    <row r="402" spans="1:14">
      <c r="A402" s="3121" t="s">
        <v>4192</v>
      </c>
      <c r="B402" s="3329">
        <v>81</v>
      </c>
      <c r="C402" s="3096" t="s">
        <v>3209</v>
      </c>
      <c r="D402" s="3097" t="s">
        <v>3876</v>
      </c>
      <c r="E402" s="3097" t="s">
        <v>3235</v>
      </c>
      <c r="F402" s="3097" t="s">
        <v>3909</v>
      </c>
      <c r="G402" s="3097" t="s">
        <v>3910</v>
      </c>
      <c r="H402" s="3097">
        <v>135.01999999999998</v>
      </c>
      <c r="I402" s="3097">
        <v>7788997.2999999998</v>
      </c>
      <c r="J402" s="3075">
        <f>ROUND(I402/H402,0)</f>
        <v>57688</v>
      </c>
      <c r="K402" s="3328"/>
      <c r="L402" s="3328"/>
      <c r="M402" s="3328"/>
    </row>
    <row r="403" spans="1:14" ht="27">
      <c r="A403" s="3121" t="s">
        <v>4192</v>
      </c>
      <c r="B403" s="3329"/>
      <c r="C403" s="3096" t="s">
        <v>4180</v>
      </c>
      <c r="D403" s="3097" t="s">
        <v>3876</v>
      </c>
      <c r="E403" s="3098" t="s">
        <v>3238</v>
      </c>
      <c r="F403" s="3097" t="s">
        <v>3909</v>
      </c>
      <c r="G403" s="3097" t="s">
        <v>3911</v>
      </c>
      <c r="H403" s="3097">
        <v>84.9</v>
      </c>
      <c r="I403" s="3097">
        <v>2534260.7599999998</v>
      </c>
      <c r="J403" s="3075">
        <f t="shared" si="51"/>
        <v>29850</v>
      </c>
      <c r="K403" s="3328"/>
      <c r="L403" s="3328"/>
      <c r="M403" s="3328"/>
    </row>
    <row r="404" spans="1:14">
      <c r="A404" s="3121" t="s">
        <v>4192</v>
      </c>
      <c r="B404" s="3329"/>
      <c r="C404" s="3096" t="s">
        <v>4180</v>
      </c>
      <c r="D404" s="3097" t="s">
        <v>3876</v>
      </c>
      <c r="E404" s="3097" t="s">
        <v>3240</v>
      </c>
      <c r="F404" s="3097" t="s">
        <v>3912</v>
      </c>
      <c r="G404" s="3097" t="s">
        <v>3912</v>
      </c>
      <c r="H404" s="3097">
        <v>84.199999999999989</v>
      </c>
      <c r="I404" s="3097">
        <v>2525405.5499999998</v>
      </c>
      <c r="J404" s="3075">
        <f t="shared" si="51"/>
        <v>29993</v>
      </c>
      <c r="K404" s="3328"/>
      <c r="L404" s="3328"/>
      <c r="M404" s="3328"/>
    </row>
    <row r="405" spans="1:14">
      <c r="A405" s="3121" t="s">
        <v>4192</v>
      </c>
      <c r="B405" s="3329"/>
      <c r="C405" s="3096" t="s">
        <v>3218</v>
      </c>
      <c r="D405" s="3097" t="s">
        <v>3219</v>
      </c>
      <c r="E405" s="3097" t="s">
        <v>3913</v>
      </c>
      <c r="F405" s="3097" t="s">
        <v>3914</v>
      </c>
      <c r="G405" s="3097" t="s">
        <v>3914</v>
      </c>
      <c r="H405" s="3097">
        <v>45.64</v>
      </c>
      <c r="I405" s="3097">
        <v>420000.27</v>
      </c>
      <c r="J405" s="3075">
        <f t="shared" si="51"/>
        <v>9202</v>
      </c>
      <c r="K405" s="3328"/>
      <c r="L405" s="3328"/>
      <c r="M405" s="3328"/>
    </row>
    <row r="406" spans="1:14">
      <c r="A406" s="3121" t="s">
        <v>4192</v>
      </c>
      <c r="B406" s="3329"/>
      <c r="C406" s="3096" t="s">
        <v>3218</v>
      </c>
      <c r="D406" s="3097" t="s">
        <v>3219</v>
      </c>
      <c r="E406" s="3097" t="s">
        <v>3915</v>
      </c>
      <c r="F406" s="3097" t="s">
        <v>3916</v>
      </c>
      <c r="G406" s="3097" t="s">
        <v>3916</v>
      </c>
      <c r="H406" s="3097">
        <v>45.64</v>
      </c>
      <c r="I406" s="3097">
        <v>420000.27</v>
      </c>
      <c r="J406" s="3075">
        <f t="shared" si="51"/>
        <v>9202</v>
      </c>
      <c r="K406" s="3328"/>
      <c r="L406" s="3328"/>
      <c r="M406" s="3328"/>
      <c r="N406" s="1405">
        <f t="shared" si="48"/>
        <v>1369</v>
      </c>
    </row>
    <row r="407" spans="1:14">
      <c r="A407" s="3121" t="s">
        <v>4192</v>
      </c>
      <c r="B407" s="3329">
        <v>82</v>
      </c>
      <c r="C407" s="3096" t="s">
        <v>3209</v>
      </c>
      <c r="D407" s="3097" t="s">
        <v>3876</v>
      </c>
      <c r="E407" s="3097" t="s">
        <v>3247</v>
      </c>
      <c r="F407" s="3097" t="s">
        <v>3917</v>
      </c>
      <c r="G407" s="3097" t="s">
        <v>3918</v>
      </c>
      <c r="H407" s="3097">
        <v>135.21</v>
      </c>
      <c r="I407" s="3097">
        <v>7919624.2300000004</v>
      </c>
      <c r="J407" s="3075">
        <f>ROUND(I407/H407,0)</f>
        <v>58573</v>
      </c>
      <c r="K407" s="3328"/>
      <c r="L407" s="3328"/>
      <c r="M407" s="3328"/>
    </row>
    <row r="408" spans="1:14" ht="24">
      <c r="A408" s="3121" t="s">
        <v>4192</v>
      </c>
      <c r="B408" s="3329"/>
      <c r="C408" s="3096" t="s">
        <v>4180</v>
      </c>
      <c r="D408" s="3097" t="s">
        <v>3876</v>
      </c>
      <c r="E408" s="3097" t="s">
        <v>3250</v>
      </c>
      <c r="F408" s="3097" t="s">
        <v>3917</v>
      </c>
      <c r="G408" s="3097" t="s">
        <v>3919</v>
      </c>
      <c r="H408" s="3097">
        <v>85.18</v>
      </c>
      <c r="I408" s="3097">
        <v>2542371.7200000002</v>
      </c>
      <c r="J408" s="3075">
        <f t="shared" si="51"/>
        <v>29847</v>
      </c>
      <c r="K408" s="3328"/>
      <c r="L408" s="3328"/>
      <c r="M408" s="3328"/>
    </row>
    <row r="409" spans="1:14">
      <c r="A409" s="3121" t="s">
        <v>4192</v>
      </c>
      <c r="B409" s="3329"/>
      <c r="C409" s="3096" t="s">
        <v>4180</v>
      </c>
      <c r="D409" s="3097" t="s">
        <v>3876</v>
      </c>
      <c r="E409" s="3097" t="s">
        <v>3252</v>
      </c>
      <c r="F409" s="3097" t="s">
        <v>3920</v>
      </c>
      <c r="G409" s="3097" t="s">
        <v>3920</v>
      </c>
      <c r="H409" s="3097">
        <v>84.199999999999989</v>
      </c>
      <c r="I409" s="3097">
        <v>2525405.5499999998</v>
      </c>
      <c r="J409" s="3075">
        <f t="shared" si="51"/>
        <v>29993</v>
      </c>
      <c r="K409" s="3328"/>
      <c r="L409" s="3328"/>
      <c r="M409" s="3328"/>
    </row>
    <row r="410" spans="1:14">
      <c r="A410" s="3121" t="s">
        <v>4192</v>
      </c>
      <c r="B410" s="3329"/>
      <c r="C410" s="3096" t="s">
        <v>3218</v>
      </c>
      <c r="D410" s="3097" t="s">
        <v>3219</v>
      </c>
      <c r="E410" s="3097" t="s">
        <v>3921</v>
      </c>
      <c r="F410" s="3097" t="s">
        <v>3922</v>
      </c>
      <c r="G410" s="3097" t="s">
        <v>3922</v>
      </c>
      <c r="H410" s="3097">
        <v>45.64</v>
      </c>
      <c r="I410" s="3097">
        <v>420000.27</v>
      </c>
      <c r="J410" s="3075">
        <f t="shared" si="51"/>
        <v>9202</v>
      </c>
      <c r="K410" s="3328"/>
      <c r="L410" s="3328"/>
      <c r="M410" s="3328"/>
    </row>
    <row r="411" spans="1:14">
      <c r="A411" s="3121" t="s">
        <v>4192</v>
      </c>
      <c r="B411" s="3329"/>
      <c r="C411" s="3096" t="s">
        <v>3218</v>
      </c>
      <c r="D411" s="3097" t="s">
        <v>3219</v>
      </c>
      <c r="E411" s="3097" t="s">
        <v>3923</v>
      </c>
      <c r="F411" s="3097" t="s">
        <v>3924</v>
      </c>
      <c r="G411" s="3097" t="s">
        <v>3924</v>
      </c>
      <c r="H411" s="3097">
        <v>45.64</v>
      </c>
      <c r="I411" s="3097">
        <v>420000.27</v>
      </c>
      <c r="J411" s="3075">
        <f t="shared" si="51"/>
        <v>9202</v>
      </c>
      <c r="K411" s="3328"/>
      <c r="L411" s="3328"/>
      <c r="M411" s="3328"/>
      <c r="N411" s="1405">
        <f t="shared" ref="N411" si="54">ROUND((I407+I408+I409+I410+I411)/10000,0)</f>
        <v>1383</v>
      </c>
    </row>
    <row r="412" spans="1:14">
      <c r="A412" s="3121" t="s">
        <v>4192</v>
      </c>
      <c r="B412" s="3329">
        <v>83</v>
      </c>
      <c r="C412" s="3096" t="s">
        <v>3209</v>
      </c>
      <c r="D412" s="3097" t="s">
        <v>3925</v>
      </c>
      <c r="E412" s="3097" t="s">
        <v>3235</v>
      </c>
      <c r="F412" s="3097" t="s">
        <v>3926</v>
      </c>
      <c r="G412" s="3097" t="s">
        <v>3927</v>
      </c>
      <c r="H412" s="3097">
        <v>135.36000000000001</v>
      </c>
      <c r="I412" s="3097">
        <v>8541090.1199999992</v>
      </c>
      <c r="J412" s="3075">
        <f>ROUND(I412/H412,0)</f>
        <v>63099</v>
      </c>
      <c r="K412" s="3328">
        <v>73</v>
      </c>
      <c r="L412" s="3328">
        <v>4</v>
      </c>
      <c r="M412" s="3328">
        <v>1</v>
      </c>
    </row>
    <row r="413" spans="1:14" ht="27">
      <c r="A413" s="3121" t="s">
        <v>4192</v>
      </c>
      <c r="B413" s="3329"/>
      <c r="C413" s="3096" t="s">
        <v>4180</v>
      </c>
      <c r="D413" s="3097" t="s">
        <v>3925</v>
      </c>
      <c r="E413" s="3098" t="s">
        <v>3238</v>
      </c>
      <c r="F413" s="3097" t="s">
        <v>3926</v>
      </c>
      <c r="G413" s="3097" t="s">
        <v>3928</v>
      </c>
      <c r="H413" s="3097">
        <v>85.070000000000007</v>
      </c>
      <c r="I413" s="3097">
        <v>2535734.23</v>
      </c>
      <c r="J413" s="3075">
        <f t="shared" si="51"/>
        <v>29808</v>
      </c>
      <c r="K413" s="3328"/>
      <c r="L413" s="3328"/>
      <c r="M413" s="3328"/>
    </row>
    <row r="414" spans="1:14">
      <c r="A414" s="3121" t="s">
        <v>4192</v>
      </c>
      <c r="B414" s="3329"/>
      <c r="C414" s="3096" t="s">
        <v>4180</v>
      </c>
      <c r="D414" s="3097" t="s">
        <v>3925</v>
      </c>
      <c r="E414" s="3097" t="s">
        <v>3240</v>
      </c>
      <c r="F414" s="3097" t="s">
        <v>3929</v>
      </c>
      <c r="G414" s="3097" t="s">
        <v>3929</v>
      </c>
      <c r="H414" s="3097">
        <v>83.929999999999993</v>
      </c>
      <c r="I414" s="3097">
        <v>2507997.1</v>
      </c>
      <c r="J414" s="3075">
        <f t="shared" si="51"/>
        <v>29882</v>
      </c>
      <c r="K414" s="3328"/>
      <c r="L414" s="3328"/>
      <c r="M414" s="3328"/>
    </row>
    <row r="415" spans="1:14">
      <c r="A415" s="3121" t="s">
        <v>4192</v>
      </c>
      <c r="B415" s="3329"/>
      <c r="C415" s="3096" t="s">
        <v>3218</v>
      </c>
      <c r="D415" s="3097" t="s">
        <v>3219</v>
      </c>
      <c r="E415" s="3097" t="s">
        <v>3930</v>
      </c>
      <c r="F415" s="3097" t="s">
        <v>3931</v>
      </c>
      <c r="G415" s="3097" t="s">
        <v>3931</v>
      </c>
      <c r="H415" s="3097">
        <v>45.64</v>
      </c>
      <c r="I415" s="3097">
        <v>420000.27</v>
      </c>
      <c r="J415" s="3075">
        <f t="shared" si="51"/>
        <v>9202</v>
      </c>
      <c r="K415" s="3328"/>
      <c r="L415" s="3328"/>
      <c r="M415" s="3328"/>
    </row>
    <row r="416" spans="1:14">
      <c r="A416" s="3121" t="s">
        <v>4192</v>
      </c>
      <c r="B416" s="3329"/>
      <c r="C416" s="3096" t="s">
        <v>3218</v>
      </c>
      <c r="D416" s="3097" t="s">
        <v>3219</v>
      </c>
      <c r="E416" s="3097" t="s">
        <v>3932</v>
      </c>
      <c r="F416" s="3097" t="s">
        <v>3933</v>
      </c>
      <c r="G416" s="3097" t="s">
        <v>3933</v>
      </c>
      <c r="H416" s="3097">
        <v>45.64</v>
      </c>
      <c r="I416" s="3097">
        <v>420000.27</v>
      </c>
      <c r="J416" s="3075">
        <f t="shared" si="51"/>
        <v>9202</v>
      </c>
      <c r="K416" s="3328"/>
      <c r="L416" s="3328"/>
      <c r="M416" s="3328"/>
      <c r="N416" s="1405">
        <f t="shared" si="48"/>
        <v>1442</v>
      </c>
    </row>
    <row r="417" spans="1:14">
      <c r="A417" s="3121" t="s">
        <v>4192</v>
      </c>
      <c r="B417" s="3329">
        <v>84</v>
      </c>
      <c r="C417" s="3096" t="s">
        <v>3209</v>
      </c>
      <c r="D417" s="3097" t="s">
        <v>3934</v>
      </c>
      <c r="E417" s="3097" t="s">
        <v>3211</v>
      </c>
      <c r="F417" s="3097" t="s">
        <v>3935</v>
      </c>
      <c r="G417" s="3097" t="s">
        <v>3936</v>
      </c>
      <c r="H417" s="3097">
        <v>134.87</v>
      </c>
      <c r="I417" s="3097">
        <v>7701689.3099999996</v>
      </c>
      <c r="J417" s="3075">
        <f>ROUND(I417/H417,0)</f>
        <v>57105</v>
      </c>
      <c r="K417" s="3328">
        <v>74</v>
      </c>
      <c r="L417" s="3328">
        <v>6</v>
      </c>
      <c r="M417" s="3328">
        <v>4</v>
      </c>
    </row>
    <row r="418" spans="1:14" ht="27">
      <c r="A418" s="3121" t="s">
        <v>4192</v>
      </c>
      <c r="B418" s="3329"/>
      <c r="C418" s="3096" t="s">
        <v>4180</v>
      </c>
      <c r="D418" s="3097" t="s">
        <v>3934</v>
      </c>
      <c r="E418" s="3098" t="s">
        <v>3214</v>
      </c>
      <c r="F418" s="3097" t="s">
        <v>3935</v>
      </c>
      <c r="G418" s="3097" t="s">
        <v>3937</v>
      </c>
      <c r="H418" s="3097">
        <v>84.82</v>
      </c>
      <c r="I418" s="3097">
        <v>2531552.14</v>
      </c>
      <c r="J418" s="3075">
        <f t="shared" si="51"/>
        <v>29846</v>
      </c>
      <c r="K418" s="3328"/>
      <c r="L418" s="3328"/>
      <c r="M418" s="3328"/>
    </row>
    <row r="419" spans="1:14">
      <c r="A419" s="3121" t="s">
        <v>4192</v>
      </c>
      <c r="B419" s="3329"/>
      <c r="C419" s="3096" t="s">
        <v>4180</v>
      </c>
      <c r="D419" s="3097" t="s">
        <v>3934</v>
      </c>
      <c r="E419" s="3097" t="s">
        <v>3216</v>
      </c>
      <c r="F419" s="3097" t="s">
        <v>3938</v>
      </c>
      <c r="G419" s="3097" t="s">
        <v>3938</v>
      </c>
      <c r="H419" s="3097">
        <v>84.169999999999987</v>
      </c>
      <c r="I419" s="3097">
        <v>2524808.77</v>
      </c>
      <c r="J419" s="3075">
        <f t="shared" si="51"/>
        <v>29997</v>
      </c>
      <c r="K419" s="3328"/>
      <c r="L419" s="3328"/>
      <c r="M419" s="3328"/>
    </row>
    <row r="420" spans="1:14">
      <c r="A420" s="3121" t="s">
        <v>4192</v>
      </c>
      <c r="B420" s="3329"/>
      <c r="C420" s="3096" t="s">
        <v>3218</v>
      </c>
      <c r="D420" s="3097" t="s">
        <v>3219</v>
      </c>
      <c r="E420" s="3097" t="s">
        <v>3939</v>
      </c>
      <c r="F420" s="3097" t="s">
        <v>3940</v>
      </c>
      <c r="G420" s="3097" t="s">
        <v>3940</v>
      </c>
      <c r="H420" s="3097">
        <v>45.64</v>
      </c>
      <c r="I420" s="3097">
        <v>420000.27</v>
      </c>
      <c r="J420" s="3075">
        <f t="shared" si="51"/>
        <v>9202</v>
      </c>
      <c r="K420" s="3328"/>
      <c r="L420" s="3328"/>
      <c r="M420" s="3328"/>
    </row>
    <row r="421" spans="1:14">
      <c r="A421" s="3121" t="s">
        <v>4192</v>
      </c>
      <c r="B421" s="3329"/>
      <c r="C421" s="3096" t="s">
        <v>3218</v>
      </c>
      <c r="D421" s="3097" t="s">
        <v>3219</v>
      </c>
      <c r="E421" s="3097" t="s">
        <v>3941</v>
      </c>
      <c r="F421" s="3097" t="s">
        <v>3942</v>
      </c>
      <c r="G421" s="3097" t="s">
        <v>3942</v>
      </c>
      <c r="H421" s="3097">
        <v>45.64</v>
      </c>
      <c r="I421" s="3097">
        <v>420000.27</v>
      </c>
      <c r="J421" s="3075">
        <f t="shared" si="51"/>
        <v>9202</v>
      </c>
      <c r="K421" s="3328"/>
      <c r="L421" s="3328"/>
      <c r="M421" s="3328"/>
      <c r="N421" s="1405">
        <f t="shared" ref="N421" si="55">ROUND((I417+I418+I419+I420+I421)/10000,0)</f>
        <v>1360</v>
      </c>
    </row>
    <row r="422" spans="1:14">
      <c r="A422" s="3121" t="s">
        <v>4192</v>
      </c>
      <c r="B422" s="3329">
        <v>85</v>
      </c>
      <c r="C422" s="3096" t="s">
        <v>3209</v>
      </c>
      <c r="D422" s="3097" t="s">
        <v>3934</v>
      </c>
      <c r="E422" s="3097" t="s">
        <v>3224</v>
      </c>
      <c r="F422" s="3097" t="s">
        <v>3943</v>
      </c>
      <c r="G422" s="3097" t="s">
        <v>3944</v>
      </c>
      <c r="H422" s="3097">
        <v>135.07</v>
      </c>
      <c r="I422" s="3097">
        <v>7831603.0800000001</v>
      </c>
      <c r="J422" s="3075">
        <f>ROUND(I422/H422,0)</f>
        <v>57982</v>
      </c>
      <c r="K422" s="3328"/>
      <c r="L422" s="3328"/>
      <c r="M422" s="3328"/>
    </row>
    <row r="423" spans="1:14" ht="27">
      <c r="A423" s="3121" t="s">
        <v>4192</v>
      </c>
      <c r="B423" s="3329"/>
      <c r="C423" s="3096" t="s">
        <v>4180</v>
      </c>
      <c r="D423" s="3097" t="s">
        <v>3934</v>
      </c>
      <c r="E423" s="3098" t="s">
        <v>3227</v>
      </c>
      <c r="F423" s="3097" t="s">
        <v>3943</v>
      </c>
      <c r="G423" s="3097" t="s">
        <v>3945</v>
      </c>
      <c r="H423" s="3097">
        <v>85.09</v>
      </c>
      <c r="I423" s="3097">
        <v>2539963.73</v>
      </c>
      <c r="J423" s="3075">
        <f t="shared" si="51"/>
        <v>29850</v>
      </c>
      <c r="K423" s="3328"/>
      <c r="L423" s="3328"/>
      <c r="M423" s="3328"/>
    </row>
    <row r="424" spans="1:14">
      <c r="A424" s="3121" t="s">
        <v>4192</v>
      </c>
      <c r="B424" s="3329"/>
      <c r="C424" s="3096" t="s">
        <v>4180</v>
      </c>
      <c r="D424" s="3097" t="s">
        <v>3934</v>
      </c>
      <c r="E424" s="3097" t="s">
        <v>3229</v>
      </c>
      <c r="F424" s="3097" t="s">
        <v>3946</v>
      </c>
      <c r="G424" s="3097" t="s">
        <v>3946</v>
      </c>
      <c r="H424" s="3097">
        <v>84.169999999999987</v>
      </c>
      <c r="I424" s="3097">
        <v>2524808.77</v>
      </c>
      <c r="J424" s="3075">
        <f t="shared" si="51"/>
        <v>29997</v>
      </c>
      <c r="K424" s="3328"/>
      <c r="L424" s="3328"/>
      <c r="M424" s="3328"/>
    </row>
    <row r="425" spans="1:14">
      <c r="A425" s="3121" t="s">
        <v>4192</v>
      </c>
      <c r="B425" s="3329"/>
      <c r="C425" s="3096" t="s">
        <v>3218</v>
      </c>
      <c r="D425" s="3097" t="s">
        <v>3219</v>
      </c>
      <c r="E425" s="3097" t="s">
        <v>3947</v>
      </c>
      <c r="F425" s="3097" t="s">
        <v>3948</v>
      </c>
      <c r="G425" s="3097" t="s">
        <v>3948</v>
      </c>
      <c r="H425" s="3097">
        <v>45.64</v>
      </c>
      <c r="I425" s="3097">
        <v>420000.27</v>
      </c>
      <c r="J425" s="3075">
        <f t="shared" si="51"/>
        <v>9202</v>
      </c>
      <c r="K425" s="3328"/>
      <c r="L425" s="3328"/>
      <c r="M425" s="3328"/>
    </row>
    <row r="426" spans="1:14">
      <c r="A426" s="3121" t="s">
        <v>4192</v>
      </c>
      <c r="B426" s="3329"/>
      <c r="C426" s="3096" t="s">
        <v>3218</v>
      </c>
      <c r="D426" s="3097" t="s">
        <v>3219</v>
      </c>
      <c r="E426" s="3097" t="s">
        <v>3949</v>
      </c>
      <c r="F426" s="3097" t="s">
        <v>3950</v>
      </c>
      <c r="G426" s="3097" t="s">
        <v>3950</v>
      </c>
      <c r="H426" s="3097">
        <v>45.64</v>
      </c>
      <c r="I426" s="3097">
        <v>420000.27</v>
      </c>
      <c r="J426" s="3075">
        <f t="shared" si="51"/>
        <v>9202</v>
      </c>
      <c r="K426" s="3328"/>
      <c r="L426" s="3328"/>
      <c r="M426" s="3328"/>
      <c r="N426" s="1405">
        <f t="shared" si="48"/>
        <v>1374</v>
      </c>
    </row>
    <row r="427" spans="1:14">
      <c r="A427" s="3121" t="s">
        <v>4192</v>
      </c>
      <c r="B427" s="3329">
        <v>86</v>
      </c>
      <c r="C427" s="3096" t="s">
        <v>3209</v>
      </c>
      <c r="D427" s="3097" t="s">
        <v>3934</v>
      </c>
      <c r="E427" s="3097" t="s">
        <v>3388</v>
      </c>
      <c r="F427" s="3097" t="s">
        <v>3951</v>
      </c>
      <c r="G427" s="3097" t="s">
        <v>3952</v>
      </c>
      <c r="H427" s="3097">
        <v>134.72000000000003</v>
      </c>
      <c r="I427" s="3097">
        <v>8513226.2400000002</v>
      </c>
      <c r="J427" s="3075">
        <f>ROUND(I427/H427,0)</f>
        <v>63192</v>
      </c>
      <c r="K427" s="3328"/>
      <c r="L427" s="3328"/>
      <c r="M427" s="3328"/>
    </row>
    <row r="428" spans="1:14" ht="27">
      <c r="A428" s="3121" t="s">
        <v>4192</v>
      </c>
      <c r="B428" s="3329"/>
      <c r="C428" s="3096" t="s">
        <v>4180</v>
      </c>
      <c r="D428" s="3097" t="s">
        <v>3934</v>
      </c>
      <c r="E428" s="3098" t="s">
        <v>3391</v>
      </c>
      <c r="F428" s="3097" t="s">
        <v>3951</v>
      </c>
      <c r="G428" s="3097" t="s">
        <v>3953</v>
      </c>
      <c r="H428" s="3097">
        <v>84.68</v>
      </c>
      <c r="I428" s="3097" t="s">
        <v>3954</v>
      </c>
      <c r="J428" s="3075">
        <f t="shared" si="51"/>
        <v>29850</v>
      </c>
      <c r="K428" s="3328"/>
      <c r="L428" s="3328"/>
      <c r="M428" s="3328"/>
    </row>
    <row r="429" spans="1:14">
      <c r="A429" s="3121" t="s">
        <v>4192</v>
      </c>
      <c r="B429" s="3329"/>
      <c r="C429" s="3096" t="s">
        <v>4180</v>
      </c>
      <c r="D429" s="3097" t="s">
        <v>3934</v>
      </c>
      <c r="E429" s="3097" t="s">
        <v>3393</v>
      </c>
      <c r="F429" s="3097" t="s">
        <v>3955</v>
      </c>
      <c r="G429" s="3097" t="s">
        <v>3955</v>
      </c>
      <c r="H429" s="3097">
        <v>83.45</v>
      </c>
      <c r="I429" s="3097">
        <v>2503200.41</v>
      </c>
      <c r="J429" s="3075">
        <f t="shared" si="51"/>
        <v>29996</v>
      </c>
      <c r="K429" s="3328"/>
      <c r="L429" s="3328"/>
      <c r="M429" s="3328"/>
    </row>
    <row r="430" spans="1:14">
      <c r="A430" s="3121" t="s">
        <v>4192</v>
      </c>
      <c r="B430" s="3329"/>
      <c r="C430" s="3096" t="s">
        <v>3218</v>
      </c>
      <c r="D430" s="3097" t="s">
        <v>3219</v>
      </c>
      <c r="E430" s="3097" t="s">
        <v>3956</v>
      </c>
      <c r="F430" s="3097" t="s">
        <v>3957</v>
      </c>
      <c r="G430" s="3097" t="s">
        <v>3957</v>
      </c>
      <c r="H430" s="3097">
        <v>45.64</v>
      </c>
      <c r="I430" s="3097">
        <v>420000.27</v>
      </c>
      <c r="J430" s="3075">
        <f t="shared" si="51"/>
        <v>9202</v>
      </c>
      <c r="K430" s="3328"/>
      <c r="L430" s="3328"/>
      <c r="M430" s="3328"/>
    </row>
    <row r="431" spans="1:14">
      <c r="A431" s="3121" t="s">
        <v>4192</v>
      </c>
      <c r="B431" s="3329"/>
      <c r="C431" s="3096" t="s">
        <v>3218</v>
      </c>
      <c r="D431" s="3097" t="s">
        <v>3219</v>
      </c>
      <c r="E431" s="3097" t="s">
        <v>3958</v>
      </c>
      <c r="F431" s="3097" t="s">
        <v>3959</v>
      </c>
      <c r="G431" s="3097" t="s">
        <v>3959</v>
      </c>
      <c r="H431" s="3097">
        <v>45.64</v>
      </c>
      <c r="I431" s="3097">
        <v>420000.27</v>
      </c>
      <c r="J431" s="3075">
        <f t="shared" si="51"/>
        <v>9202</v>
      </c>
      <c r="K431" s="3328"/>
      <c r="L431" s="3328"/>
      <c r="M431" s="3328"/>
      <c r="N431" s="1405">
        <f t="shared" ref="N431" si="56">ROUND((I427+I428+I429+I430+I431)/10000,0)</f>
        <v>1438</v>
      </c>
    </row>
    <row r="432" spans="1:14">
      <c r="A432" s="3121" t="s">
        <v>4192</v>
      </c>
      <c r="B432" s="3329">
        <v>87</v>
      </c>
      <c r="C432" s="3096" t="s">
        <v>3209</v>
      </c>
      <c r="D432" s="3097" t="s">
        <v>3934</v>
      </c>
      <c r="E432" s="3097" t="s">
        <v>3235</v>
      </c>
      <c r="F432" s="3097" t="s">
        <v>3960</v>
      </c>
      <c r="G432" s="3097" t="s">
        <v>3961</v>
      </c>
      <c r="H432" s="3097">
        <v>134.87</v>
      </c>
      <c r="I432" s="3097">
        <v>7899406.0300000003</v>
      </c>
      <c r="J432" s="3075">
        <f>ROUND(I432/H432,0)</f>
        <v>58571</v>
      </c>
      <c r="K432" s="3328"/>
      <c r="L432" s="3328"/>
      <c r="M432" s="3328"/>
    </row>
    <row r="433" spans="1:14" ht="27">
      <c r="A433" s="3121" t="s">
        <v>4192</v>
      </c>
      <c r="B433" s="3329"/>
      <c r="C433" s="3096" t="s">
        <v>4180</v>
      </c>
      <c r="D433" s="3097" t="s">
        <v>3934</v>
      </c>
      <c r="E433" s="3098" t="s">
        <v>3238</v>
      </c>
      <c r="F433" s="3097" t="s">
        <v>3960</v>
      </c>
      <c r="G433" s="3097" t="s">
        <v>3962</v>
      </c>
      <c r="H433" s="3097">
        <v>84.82</v>
      </c>
      <c r="I433" s="3097">
        <v>2531552.14</v>
      </c>
      <c r="J433" s="3075">
        <f t="shared" si="51"/>
        <v>29846</v>
      </c>
      <c r="K433" s="3328"/>
      <c r="L433" s="3328"/>
      <c r="M433" s="3328"/>
    </row>
    <row r="434" spans="1:14">
      <c r="A434" s="3121" t="s">
        <v>4192</v>
      </c>
      <c r="B434" s="3329"/>
      <c r="C434" s="3096" t="s">
        <v>4180</v>
      </c>
      <c r="D434" s="3097" t="s">
        <v>3934</v>
      </c>
      <c r="E434" s="3097" t="s">
        <v>3240</v>
      </c>
      <c r="F434" s="3097" t="s">
        <v>3963</v>
      </c>
      <c r="G434" s="3097" t="s">
        <v>3963</v>
      </c>
      <c r="H434" s="3097">
        <v>84.169999999999987</v>
      </c>
      <c r="I434" s="3097">
        <v>2524808.77</v>
      </c>
      <c r="J434" s="3075">
        <f t="shared" si="51"/>
        <v>29997</v>
      </c>
      <c r="K434" s="3328"/>
      <c r="L434" s="3328"/>
      <c r="M434" s="3328"/>
    </row>
    <row r="435" spans="1:14">
      <c r="A435" s="3121" t="s">
        <v>4192</v>
      </c>
      <c r="B435" s="3329"/>
      <c r="C435" s="3096" t="s">
        <v>3218</v>
      </c>
      <c r="D435" s="3097" t="s">
        <v>3219</v>
      </c>
      <c r="E435" s="3097" t="s">
        <v>3964</v>
      </c>
      <c r="F435" s="3097" t="s">
        <v>3965</v>
      </c>
      <c r="G435" s="3097" t="s">
        <v>3965</v>
      </c>
      <c r="H435" s="3097">
        <v>45.64</v>
      </c>
      <c r="I435" s="3097">
        <v>420000.27</v>
      </c>
      <c r="J435" s="3075">
        <f t="shared" si="51"/>
        <v>9202</v>
      </c>
      <c r="K435" s="3328"/>
      <c r="L435" s="3328"/>
      <c r="M435" s="3328"/>
    </row>
    <row r="436" spans="1:14">
      <c r="A436" s="3121" t="s">
        <v>4192</v>
      </c>
      <c r="B436" s="3329"/>
      <c r="C436" s="3096" t="s">
        <v>3218</v>
      </c>
      <c r="D436" s="3097" t="s">
        <v>3219</v>
      </c>
      <c r="E436" s="3097" t="s">
        <v>3966</v>
      </c>
      <c r="F436" s="3097" t="s">
        <v>3967</v>
      </c>
      <c r="G436" s="3097" t="s">
        <v>3967</v>
      </c>
      <c r="H436" s="3097">
        <v>45.64</v>
      </c>
      <c r="I436" s="3097">
        <v>420000.27</v>
      </c>
      <c r="J436" s="3075">
        <f t="shared" si="51"/>
        <v>9202</v>
      </c>
      <c r="K436" s="3328"/>
      <c r="L436" s="3328"/>
      <c r="M436" s="3328"/>
      <c r="N436" s="1405">
        <f t="shared" ref="N436:N496" si="57">ROUND((I432+I433+I434+I435+I436)/10000,0)</f>
        <v>1380</v>
      </c>
    </row>
    <row r="437" spans="1:14">
      <c r="A437" s="3121" t="s">
        <v>4192</v>
      </c>
      <c r="B437" s="3329">
        <v>88</v>
      </c>
      <c r="C437" s="3096" t="s">
        <v>3209</v>
      </c>
      <c r="D437" s="3097" t="s">
        <v>3968</v>
      </c>
      <c r="E437" s="3097" t="s">
        <v>3224</v>
      </c>
      <c r="F437" s="3097" t="s">
        <v>3969</v>
      </c>
      <c r="G437" s="3097" t="s">
        <v>3970</v>
      </c>
      <c r="H437" s="3097">
        <v>135.73000000000002</v>
      </c>
      <c r="I437" s="3097">
        <v>7739855.2999999998</v>
      </c>
      <c r="J437" s="3075">
        <f>ROUND(I437/H437,0)</f>
        <v>57024</v>
      </c>
      <c r="K437" s="3328">
        <v>75</v>
      </c>
      <c r="L437" s="3328">
        <v>4</v>
      </c>
      <c r="M437" s="3328">
        <v>2</v>
      </c>
    </row>
    <row r="438" spans="1:14" ht="27">
      <c r="A438" s="3121" t="s">
        <v>4192</v>
      </c>
      <c r="B438" s="3329"/>
      <c r="C438" s="3096" t="s">
        <v>4180</v>
      </c>
      <c r="D438" s="3097" t="s">
        <v>3968</v>
      </c>
      <c r="E438" s="3098" t="s">
        <v>3227</v>
      </c>
      <c r="F438" s="3097" t="s">
        <v>3969</v>
      </c>
      <c r="G438" s="3097" t="s">
        <v>3971</v>
      </c>
      <c r="H438" s="3097">
        <v>85.5</v>
      </c>
      <c r="I438" s="3097">
        <v>2548670.36</v>
      </c>
      <c r="J438" s="3075">
        <f t="shared" si="51"/>
        <v>29809</v>
      </c>
      <c r="K438" s="3328"/>
      <c r="L438" s="3328"/>
      <c r="M438" s="3328"/>
    </row>
    <row r="439" spans="1:14">
      <c r="A439" s="3121" t="s">
        <v>4192</v>
      </c>
      <c r="B439" s="3329"/>
      <c r="C439" s="3096" t="s">
        <v>4180</v>
      </c>
      <c r="D439" s="3097" t="s">
        <v>3968</v>
      </c>
      <c r="E439" s="3097" t="s">
        <v>3229</v>
      </c>
      <c r="F439" s="3097" t="s">
        <v>3972</v>
      </c>
      <c r="G439" s="3097" t="s">
        <v>3972</v>
      </c>
      <c r="H439" s="3097">
        <v>84.66</v>
      </c>
      <c r="I439" s="3097">
        <v>2529907.48</v>
      </c>
      <c r="J439" s="3075">
        <f t="shared" si="51"/>
        <v>29883</v>
      </c>
      <c r="K439" s="3328"/>
      <c r="L439" s="3328"/>
      <c r="M439" s="3328"/>
    </row>
    <row r="440" spans="1:14">
      <c r="A440" s="3121" t="s">
        <v>4192</v>
      </c>
      <c r="B440" s="3329"/>
      <c r="C440" s="3096" t="s">
        <v>3218</v>
      </c>
      <c r="D440" s="3097" t="s">
        <v>3219</v>
      </c>
      <c r="E440" s="3097" t="s">
        <v>3973</v>
      </c>
      <c r="F440" s="3097" t="s">
        <v>3974</v>
      </c>
      <c r="G440" s="3097" t="s">
        <v>3974</v>
      </c>
      <c r="H440" s="3097">
        <v>45.64</v>
      </c>
      <c r="I440" s="3097">
        <v>420000.27</v>
      </c>
      <c r="J440" s="3075">
        <f t="shared" si="51"/>
        <v>9202</v>
      </c>
      <c r="K440" s="3328"/>
      <c r="L440" s="3328"/>
      <c r="M440" s="3328"/>
    </row>
    <row r="441" spans="1:14">
      <c r="A441" s="3121" t="s">
        <v>4192</v>
      </c>
      <c r="B441" s="3329"/>
      <c r="C441" s="3096" t="s">
        <v>3218</v>
      </c>
      <c r="D441" s="3097" t="s">
        <v>3219</v>
      </c>
      <c r="E441" s="3097" t="s">
        <v>3975</v>
      </c>
      <c r="F441" s="3097" t="s">
        <v>3976</v>
      </c>
      <c r="G441" s="3097" t="s">
        <v>3976</v>
      </c>
      <c r="H441" s="3097">
        <v>45.64</v>
      </c>
      <c r="I441" s="3097">
        <v>420000.27</v>
      </c>
      <c r="J441" s="3075">
        <f t="shared" si="51"/>
        <v>9202</v>
      </c>
      <c r="K441" s="3328"/>
      <c r="L441" s="3328"/>
      <c r="M441" s="3328"/>
      <c r="N441" s="1405">
        <f t="shared" ref="N441" si="58">ROUND((I437+I438+I439+I440+I441)/10000,0)</f>
        <v>1366</v>
      </c>
    </row>
    <row r="442" spans="1:14">
      <c r="A442" s="3121" t="s">
        <v>4192</v>
      </c>
      <c r="B442" s="3329">
        <v>89</v>
      </c>
      <c r="C442" s="3096" t="s">
        <v>3209</v>
      </c>
      <c r="D442" s="3097" t="s">
        <v>3968</v>
      </c>
      <c r="E442" s="3097" t="s">
        <v>3247</v>
      </c>
      <c r="F442" s="3097" t="s">
        <v>3977</v>
      </c>
      <c r="G442" s="3097" t="s">
        <v>3978</v>
      </c>
      <c r="H442" s="3097">
        <v>135.73000000000002</v>
      </c>
      <c r="I442" s="3097">
        <v>7938444.5800000001</v>
      </c>
      <c r="J442" s="3075">
        <f>ROUND(I442/H442,0)</f>
        <v>58487</v>
      </c>
      <c r="K442" s="3328"/>
      <c r="L442" s="3328"/>
      <c r="M442" s="3328"/>
    </row>
    <row r="443" spans="1:14" ht="24">
      <c r="A443" s="3121" t="s">
        <v>4192</v>
      </c>
      <c r="B443" s="3329"/>
      <c r="C443" s="3096" t="s">
        <v>4180</v>
      </c>
      <c r="D443" s="3097" t="s">
        <v>3968</v>
      </c>
      <c r="E443" s="3097" t="s">
        <v>3250</v>
      </c>
      <c r="F443" s="3097" t="s">
        <v>3977</v>
      </c>
      <c r="G443" s="3097" t="s">
        <v>3979</v>
      </c>
      <c r="H443" s="3097">
        <v>85.5</v>
      </c>
      <c r="I443" s="3097">
        <v>2548670.36</v>
      </c>
      <c r="J443" s="3075">
        <f t="shared" ref="J443:J506" si="59">ROUND(I443/H443,0)</f>
        <v>29809</v>
      </c>
      <c r="K443" s="3328"/>
      <c r="L443" s="3328"/>
      <c r="M443" s="3328"/>
    </row>
    <row r="444" spans="1:14">
      <c r="A444" s="3121" t="s">
        <v>4192</v>
      </c>
      <c r="B444" s="3329"/>
      <c r="C444" s="3096" t="s">
        <v>4180</v>
      </c>
      <c r="D444" s="3097" t="s">
        <v>3968</v>
      </c>
      <c r="E444" s="3097" t="s">
        <v>3252</v>
      </c>
      <c r="F444" s="3097" t="s">
        <v>3980</v>
      </c>
      <c r="G444" s="3097" t="s">
        <v>3980</v>
      </c>
      <c r="H444" s="3097">
        <v>84.66</v>
      </c>
      <c r="I444" s="3097">
        <v>2529907.48</v>
      </c>
      <c r="J444" s="3075">
        <f t="shared" si="59"/>
        <v>29883</v>
      </c>
      <c r="K444" s="3328"/>
      <c r="L444" s="3328"/>
      <c r="M444" s="3328"/>
    </row>
    <row r="445" spans="1:14">
      <c r="A445" s="3121" t="s">
        <v>4192</v>
      </c>
      <c r="B445" s="3329"/>
      <c r="C445" s="3096" t="s">
        <v>3218</v>
      </c>
      <c r="D445" s="3097" t="s">
        <v>3219</v>
      </c>
      <c r="E445" s="3097" t="s">
        <v>3981</v>
      </c>
      <c r="F445" s="3097" t="s">
        <v>3982</v>
      </c>
      <c r="G445" s="3097" t="s">
        <v>3982</v>
      </c>
      <c r="H445" s="3097">
        <v>45.64</v>
      </c>
      <c r="I445" s="3097">
        <v>420000.27</v>
      </c>
      <c r="J445" s="3075">
        <f t="shared" si="59"/>
        <v>9202</v>
      </c>
      <c r="K445" s="3328"/>
      <c r="L445" s="3328"/>
      <c r="M445" s="3328"/>
    </row>
    <row r="446" spans="1:14">
      <c r="A446" s="3121" t="s">
        <v>4192</v>
      </c>
      <c r="B446" s="3329"/>
      <c r="C446" s="3096" t="s">
        <v>3218</v>
      </c>
      <c r="D446" s="3097" t="s">
        <v>3219</v>
      </c>
      <c r="E446" s="3097" t="s">
        <v>3983</v>
      </c>
      <c r="F446" s="3097" t="s">
        <v>3984</v>
      </c>
      <c r="G446" s="3097" t="s">
        <v>3984</v>
      </c>
      <c r="H446" s="3097">
        <v>45.64</v>
      </c>
      <c r="I446" s="3097">
        <v>420000.27</v>
      </c>
      <c r="J446" s="3075">
        <f t="shared" si="59"/>
        <v>9202</v>
      </c>
      <c r="K446" s="3328"/>
      <c r="L446" s="3328"/>
      <c r="M446" s="3328"/>
      <c r="N446" s="1405">
        <f t="shared" si="57"/>
        <v>1386</v>
      </c>
    </row>
    <row r="447" spans="1:14">
      <c r="A447" s="3121" t="s">
        <v>4192</v>
      </c>
      <c r="B447" s="3329">
        <v>90</v>
      </c>
      <c r="C447" s="3096" t="s">
        <v>3209</v>
      </c>
      <c r="D447" s="3097" t="s">
        <v>3985</v>
      </c>
      <c r="E447" s="3097" t="s">
        <v>3211</v>
      </c>
      <c r="F447" s="3097" t="s">
        <v>3986</v>
      </c>
      <c r="G447" s="3097" t="s">
        <v>3987</v>
      </c>
      <c r="H447" s="3097">
        <v>135.43</v>
      </c>
      <c r="I447" s="3097">
        <v>8546858.6400000006</v>
      </c>
      <c r="J447" s="3075">
        <f>ROUND(I447/H447,0)</f>
        <v>63109</v>
      </c>
      <c r="K447" s="3328">
        <v>76</v>
      </c>
      <c r="L447" s="3328">
        <v>4</v>
      </c>
      <c r="M447" s="3328">
        <v>4</v>
      </c>
    </row>
    <row r="448" spans="1:14" ht="27">
      <c r="A448" s="3121" t="s">
        <v>4192</v>
      </c>
      <c r="B448" s="3329"/>
      <c r="C448" s="3096" t="s">
        <v>4180</v>
      </c>
      <c r="D448" s="3097" t="s">
        <v>3985</v>
      </c>
      <c r="E448" s="3098" t="s">
        <v>3214</v>
      </c>
      <c r="F448" s="3097" t="s">
        <v>3986</v>
      </c>
      <c r="G448" s="3097" t="s">
        <v>3988</v>
      </c>
      <c r="H448" s="3097">
        <v>85.13</v>
      </c>
      <c r="I448" s="3097">
        <v>2537578.88</v>
      </c>
      <c r="J448" s="3075">
        <f t="shared" si="59"/>
        <v>29808</v>
      </c>
      <c r="K448" s="3328"/>
      <c r="L448" s="3328"/>
      <c r="M448" s="3328"/>
    </row>
    <row r="449" spans="1:14">
      <c r="A449" s="3121" t="s">
        <v>4192</v>
      </c>
      <c r="B449" s="3329"/>
      <c r="C449" s="3096" t="s">
        <v>4180</v>
      </c>
      <c r="D449" s="3097" t="s">
        <v>3985</v>
      </c>
      <c r="E449" s="3097" t="s">
        <v>3216</v>
      </c>
      <c r="F449" s="3097" t="s">
        <v>3989</v>
      </c>
      <c r="G449" s="3097" t="s">
        <v>3989</v>
      </c>
      <c r="H449" s="3097">
        <v>83.94</v>
      </c>
      <c r="I449" s="3097">
        <v>2508608.1800000002</v>
      </c>
      <c r="J449" s="3075">
        <f t="shared" si="59"/>
        <v>29886</v>
      </c>
      <c r="K449" s="3328"/>
      <c r="L449" s="3328"/>
      <c r="M449" s="3328"/>
    </row>
    <row r="450" spans="1:14">
      <c r="A450" s="3121" t="s">
        <v>4192</v>
      </c>
      <c r="B450" s="3329"/>
      <c r="C450" s="3096" t="s">
        <v>3218</v>
      </c>
      <c r="D450" s="3097" t="s">
        <v>3219</v>
      </c>
      <c r="E450" s="3097" t="s">
        <v>3990</v>
      </c>
      <c r="F450" s="3097" t="s">
        <v>3991</v>
      </c>
      <c r="G450" s="3097" t="s">
        <v>3991</v>
      </c>
      <c r="H450" s="3097">
        <v>45.64</v>
      </c>
      <c r="I450" s="3097">
        <v>420000.27</v>
      </c>
      <c r="J450" s="3075">
        <f t="shared" si="59"/>
        <v>9202</v>
      </c>
      <c r="K450" s="3328"/>
      <c r="L450" s="3328"/>
      <c r="M450" s="3328"/>
    </row>
    <row r="451" spans="1:14">
      <c r="A451" s="3121" t="s">
        <v>4192</v>
      </c>
      <c r="B451" s="3329"/>
      <c r="C451" s="3096" t="s">
        <v>3218</v>
      </c>
      <c r="D451" s="3097" t="s">
        <v>3219</v>
      </c>
      <c r="E451" s="3097" t="s">
        <v>3992</v>
      </c>
      <c r="F451" s="3097" t="s">
        <v>3993</v>
      </c>
      <c r="G451" s="3097" t="s">
        <v>3993</v>
      </c>
      <c r="H451" s="3097">
        <v>45.64</v>
      </c>
      <c r="I451" s="3097">
        <v>420000.27</v>
      </c>
      <c r="J451" s="3075">
        <f t="shared" si="59"/>
        <v>9202</v>
      </c>
      <c r="K451" s="3328"/>
      <c r="L451" s="3328"/>
      <c r="M451" s="3328"/>
      <c r="N451" s="1405">
        <f t="shared" ref="N451" si="60">ROUND((I447+I448+I449+I450+I451)/10000,0)</f>
        <v>1443</v>
      </c>
    </row>
    <row r="452" spans="1:14">
      <c r="A452" s="3121" t="s">
        <v>4192</v>
      </c>
      <c r="B452" s="3329">
        <v>91</v>
      </c>
      <c r="C452" s="3096" t="s">
        <v>3209</v>
      </c>
      <c r="D452" s="3097" t="s">
        <v>3985</v>
      </c>
      <c r="E452" s="3097" t="s">
        <v>3224</v>
      </c>
      <c r="F452" s="3097" t="s">
        <v>3994</v>
      </c>
      <c r="G452" s="3097" t="s">
        <v>3995</v>
      </c>
      <c r="H452" s="3097">
        <v>135.79000000000002</v>
      </c>
      <c r="I452" s="3097">
        <v>7743286.2400000002</v>
      </c>
      <c r="J452" s="3075">
        <f>ROUND(I452/H452,0)</f>
        <v>57024</v>
      </c>
      <c r="K452" s="3328"/>
      <c r="L452" s="3328"/>
      <c r="M452" s="3328"/>
    </row>
    <row r="453" spans="1:14" ht="27">
      <c r="A453" s="3121" t="s">
        <v>4192</v>
      </c>
      <c r="B453" s="3329"/>
      <c r="C453" s="3096" t="s">
        <v>4180</v>
      </c>
      <c r="D453" s="3097" t="s">
        <v>3985</v>
      </c>
      <c r="E453" s="3098" t="s">
        <v>3227</v>
      </c>
      <c r="F453" s="3097" t="s">
        <v>3994</v>
      </c>
      <c r="G453" s="3097" t="s">
        <v>3996</v>
      </c>
      <c r="H453" s="3097">
        <v>85.539999999999992</v>
      </c>
      <c r="I453" s="3097">
        <v>2550152.7000000002</v>
      </c>
      <c r="J453" s="3075">
        <f t="shared" si="59"/>
        <v>29812</v>
      </c>
      <c r="K453" s="3328"/>
      <c r="L453" s="3328"/>
      <c r="M453" s="3328"/>
    </row>
    <row r="454" spans="1:14">
      <c r="A454" s="3121" t="s">
        <v>4192</v>
      </c>
      <c r="B454" s="3329"/>
      <c r="C454" s="3096" t="s">
        <v>4180</v>
      </c>
      <c r="D454" s="3097" t="s">
        <v>3985</v>
      </c>
      <c r="E454" s="3097" t="s">
        <v>3229</v>
      </c>
      <c r="F454" s="3097" t="s">
        <v>3997</v>
      </c>
      <c r="G454" s="3097" t="s">
        <v>3997</v>
      </c>
      <c r="H454" s="3097">
        <v>84.669999999999987</v>
      </c>
      <c r="I454" s="3097">
        <v>2530206.31</v>
      </c>
      <c r="J454" s="3075">
        <f t="shared" si="59"/>
        <v>29883</v>
      </c>
      <c r="K454" s="3328"/>
      <c r="L454" s="3328"/>
      <c r="M454" s="3328"/>
    </row>
    <row r="455" spans="1:14">
      <c r="A455" s="3121" t="s">
        <v>4192</v>
      </c>
      <c r="B455" s="3329"/>
      <c r="C455" s="3096" t="s">
        <v>3218</v>
      </c>
      <c r="D455" s="3097" t="s">
        <v>3219</v>
      </c>
      <c r="E455" s="3097" t="s">
        <v>3998</v>
      </c>
      <c r="F455" s="3097" t="s">
        <v>3999</v>
      </c>
      <c r="G455" s="3097" t="s">
        <v>3999</v>
      </c>
      <c r="H455" s="3097">
        <v>45.64</v>
      </c>
      <c r="I455" s="3097">
        <v>420000.27</v>
      </c>
      <c r="J455" s="3075">
        <f t="shared" si="59"/>
        <v>9202</v>
      </c>
      <c r="K455" s="3328"/>
      <c r="L455" s="3328"/>
      <c r="M455" s="3328"/>
    </row>
    <row r="456" spans="1:14">
      <c r="A456" s="3121" t="s">
        <v>4192</v>
      </c>
      <c r="B456" s="3329"/>
      <c r="C456" s="3096" t="s">
        <v>3218</v>
      </c>
      <c r="D456" s="3097" t="s">
        <v>3219</v>
      </c>
      <c r="E456" s="3097" t="s">
        <v>4000</v>
      </c>
      <c r="F456" s="3097" t="s">
        <v>4001</v>
      </c>
      <c r="G456" s="3097" t="s">
        <v>4001</v>
      </c>
      <c r="H456" s="3097">
        <v>45.64</v>
      </c>
      <c r="I456" s="3097">
        <v>420000.27</v>
      </c>
      <c r="J456" s="3075">
        <f t="shared" si="59"/>
        <v>9202</v>
      </c>
      <c r="K456" s="3328"/>
      <c r="L456" s="3328"/>
      <c r="M456" s="3328"/>
      <c r="N456" s="1405">
        <f t="shared" si="57"/>
        <v>1366</v>
      </c>
    </row>
    <row r="457" spans="1:14">
      <c r="A457" s="3121" t="s">
        <v>4192</v>
      </c>
      <c r="B457" s="3329">
        <v>92</v>
      </c>
      <c r="C457" s="3096" t="s">
        <v>3209</v>
      </c>
      <c r="D457" s="3097" t="s">
        <v>3985</v>
      </c>
      <c r="E457" s="3097" t="s">
        <v>3235</v>
      </c>
      <c r="F457" s="3097" t="s">
        <v>4002</v>
      </c>
      <c r="G457" s="3097" t="s">
        <v>4003</v>
      </c>
      <c r="H457" s="3097">
        <v>135.43</v>
      </c>
      <c r="I457" s="3097">
        <v>8546858.6400000006</v>
      </c>
      <c r="J457" s="3075">
        <f>ROUND(I457/H457,0)</f>
        <v>63109</v>
      </c>
      <c r="K457" s="3328"/>
      <c r="L457" s="3328"/>
      <c r="M457" s="3328"/>
    </row>
    <row r="458" spans="1:14" ht="27">
      <c r="A458" s="3121" t="s">
        <v>4192</v>
      </c>
      <c r="B458" s="3329"/>
      <c r="C458" s="3096" t="s">
        <v>4180</v>
      </c>
      <c r="D458" s="3097" t="s">
        <v>3985</v>
      </c>
      <c r="E458" s="3098" t="s">
        <v>3238</v>
      </c>
      <c r="F458" s="3097" t="s">
        <v>4002</v>
      </c>
      <c r="G458" s="3097" t="s">
        <v>4004</v>
      </c>
      <c r="H458" s="3097">
        <v>85.13</v>
      </c>
      <c r="I458" s="3097">
        <v>2537578.88</v>
      </c>
      <c r="J458" s="3075">
        <f t="shared" si="59"/>
        <v>29808</v>
      </c>
      <c r="K458" s="3328"/>
      <c r="L458" s="3328"/>
      <c r="M458" s="3328"/>
    </row>
    <row r="459" spans="1:14">
      <c r="A459" s="3121" t="s">
        <v>4192</v>
      </c>
      <c r="B459" s="3329"/>
      <c r="C459" s="3096" t="s">
        <v>4180</v>
      </c>
      <c r="D459" s="3097" t="s">
        <v>3985</v>
      </c>
      <c r="E459" s="3097" t="s">
        <v>3240</v>
      </c>
      <c r="F459" s="3097" t="s">
        <v>4005</v>
      </c>
      <c r="G459" s="3097" t="s">
        <v>4005</v>
      </c>
      <c r="H459" s="3097">
        <v>83.94</v>
      </c>
      <c r="I459" s="3097">
        <v>2508608.1800000002</v>
      </c>
      <c r="J459" s="3075">
        <f t="shared" si="59"/>
        <v>29886</v>
      </c>
      <c r="K459" s="3328"/>
      <c r="L459" s="3328"/>
      <c r="M459" s="3328"/>
    </row>
    <row r="460" spans="1:14">
      <c r="A460" s="3121" t="s">
        <v>4192</v>
      </c>
      <c r="B460" s="3329"/>
      <c r="C460" s="3096" t="s">
        <v>3218</v>
      </c>
      <c r="D460" s="3097" t="s">
        <v>3219</v>
      </c>
      <c r="E460" s="3097" t="s">
        <v>4006</v>
      </c>
      <c r="F460" s="3097" t="s">
        <v>4007</v>
      </c>
      <c r="G460" s="3097" t="s">
        <v>4007</v>
      </c>
      <c r="H460" s="3097">
        <v>45.64</v>
      </c>
      <c r="I460" s="3097">
        <v>420000.27</v>
      </c>
      <c r="J460" s="3075">
        <f t="shared" si="59"/>
        <v>9202</v>
      </c>
      <c r="K460" s="3328"/>
      <c r="L460" s="3328"/>
      <c r="M460" s="3328"/>
    </row>
    <row r="461" spans="1:14">
      <c r="A461" s="3121" t="s">
        <v>4192</v>
      </c>
      <c r="B461" s="3329"/>
      <c r="C461" s="3096" t="s">
        <v>3218</v>
      </c>
      <c r="D461" s="3097" t="s">
        <v>3219</v>
      </c>
      <c r="E461" s="3097" t="s">
        <v>4008</v>
      </c>
      <c r="F461" s="3097" t="s">
        <v>4009</v>
      </c>
      <c r="G461" s="3097" t="s">
        <v>4009</v>
      </c>
      <c r="H461" s="3097">
        <v>45.64</v>
      </c>
      <c r="I461" s="3097">
        <v>420000.27</v>
      </c>
      <c r="J461" s="3075">
        <f t="shared" si="59"/>
        <v>9202</v>
      </c>
      <c r="K461" s="3328"/>
      <c r="L461" s="3328"/>
      <c r="M461" s="3328"/>
      <c r="N461" s="1405">
        <f t="shared" ref="N461" si="61">ROUND((I457+I458+I459+I460+I461)/10000,0)</f>
        <v>1443</v>
      </c>
    </row>
    <row r="462" spans="1:14">
      <c r="A462" s="3121" t="s">
        <v>4192</v>
      </c>
      <c r="B462" s="3329">
        <v>93</v>
      </c>
      <c r="C462" s="3096" t="s">
        <v>3209</v>
      </c>
      <c r="D462" s="3097" t="s">
        <v>3985</v>
      </c>
      <c r="E462" s="3097" t="s">
        <v>3247</v>
      </c>
      <c r="F462" s="3097" t="s">
        <v>4010</v>
      </c>
      <c r="G462" s="3097" t="s">
        <v>4011</v>
      </c>
      <c r="H462" s="3097">
        <v>135.79000000000002</v>
      </c>
      <c r="I462" s="3097">
        <v>7941974.1699999999</v>
      </c>
      <c r="J462" s="3075">
        <f>ROUND(I462/H462,0)</f>
        <v>58487</v>
      </c>
      <c r="K462" s="3328"/>
      <c r="L462" s="3328"/>
      <c r="M462" s="3328"/>
    </row>
    <row r="463" spans="1:14" ht="24">
      <c r="A463" s="3121" t="s">
        <v>4192</v>
      </c>
      <c r="B463" s="3329"/>
      <c r="C463" s="3096" t="s">
        <v>4180</v>
      </c>
      <c r="D463" s="3097" t="s">
        <v>3985</v>
      </c>
      <c r="E463" s="3097" t="s">
        <v>3250</v>
      </c>
      <c r="F463" s="3097" t="s">
        <v>4010</v>
      </c>
      <c r="G463" s="3097" t="s">
        <v>4012</v>
      </c>
      <c r="H463" s="3097">
        <v>85.539999999999992</v>
      </c>
      <c r="I463" s="3097">
        <v>2550152.7000000002</v>
      </c>
      <c r="J463" s="3075">
        <f t="shared" si="59"/>
        <v>29812</v>
      </c>
      <c r="K463" s="3328"/>
      <c r="L463" s="3328"/>
      <c r="M463" s="3328"/>
    </row>
    <row r="464" spans="1:14">
      <c r="A464" s="3121" t="s">
        <v>4192</v>
      </c>
      <c r="B464" s="3329"/>
      <c r="C464" s="3096" t="s">
        <v>4180</v>
      </c>
      <c r="D464" s="3097" t="s">
        <v>3985</v>
      </c>
      <c r="E464" s="3097" t="s">
        <v>3252</v>
      </c>
      <c r="F464" s="3097" t="s">
        <v>4013</v>
      </c>
      <c r="G464" s="3097" t="s">
        <v>4013</v>
      </c>
      <c r="H464" s="3097">
        <v>84.669999999999987</v>
      </c>
      <c r="I464" s="3097">
        <v>2530206.31</v>
      </c>
      <c r="J464" s="3075">
        <f t="shared" si="59"/>
        <v>29883</v>
      </c>
      <c r="K464" s="3328"/>
      <c r="L464" s="3328"/>
      <c r="M464" s="3328"/>
    </row>
    <row r="465" spans="1:14">
      <c r="A465" s="3121" t="s">
        <v>4192</v>
      </c>
      <c r="B465" s="3329"/>
      <c r="C465" s="3096" t="s">
        <v>3218</v>
      </c>
      <c r="D465" s="3097" t="s">
        <v>3219</v>
      </c>
      <c r="E465" s="3097" t="s">
        <v>4014</v>
      </c>
      <c r="F465" s="3097" t="s">
        <v>4015</v>
      </c>
      <c r="G465" s="3097" t="s">
        <v>4015</v>
      </c>
      <c r="H465" s="3097">
        <v>45.64</v>
      </c>
      <c r="I465" s="3097">
        <v>420000.27</v>
      </c>
      <c r="J465" s="3075">
        <f t="shared" si="59"/>
        <v>9202</v>
      </c>
      <c r="K465" s="3328"/>
      <c r="L465" s="3328"/>
      <c r="M465" s="3328"/>
    </row>
    <row r="466" spans="1:14">
      <c r="A466" s="3121" t="s">
        <v>4192</v>
      </c>
      <c r="B466" s="3329"/>
      <c r="C466" s="3096" t="s">
        <v>3218</v>
      </c>
      <c r="D466" s="3097" t="s">
        <v>3219</v>
      </c>
      <c r="E466" s="3097" t="s">
        <v>4016</v>
      </c>
      <c r="F466" s="3097" t="s">
        <v>4017</v>
      </c>
      <c r="G466" s="3097" t="s">
        <v>4017</v>
      </c>
      <c r="H466" s="3097">
        <v>45.64</v>
      </c>
      <c r="I466" s="3097">
        <v>420000.27</v>
      </c>
      <c r="J466" s="3075">
        <f t="shared" si="59"/>
        <v>9202</v>
      </c>
      <c r="K466" s="3328"/>
      <c r="L466" s="3328"/>
      <c r="M466" s="3328"/>
      <c r="N466" s="1405">
        <f t="shared" si="57"/>
        <v>1386</v>
      </c>
    </row>
    <row r="467" spans="1:14" s="3103" customFormat="1">
      <c r="A467" s="3099" t="s">
        <v>4193</v>
      </c>
      <c r="B467" s="3329">
        <v>94</v>
      </c>
      <c r="C467" s="3100" t="s">
        <v>3209</v>
      </c>
      <c r="D467" s="3101" t="s">
        <v>4018</v>
      </c>
      <c r="E467" s="3101" t="s">
        <v>3426</v>
      </c>
      <c r="F467" s="3101" t="s">
        <v>4019</v>
      </c>
      <c r="G467" s="3101" t="s">
        <v>4020</v>
      </c>
      <c r="H467" s="3101">
        <v>134.81</v>
      </c>
      <c r="I467" s="3101">
        <v>8518897.3399999999</v>
      </c>
      <c r="J467" s="3102">
        <f>ROUND(I467/H467,0)</f>
        <v>63192</v>
      </c>
      <c r="K467" s="3328">
        <v>79</v>
      </c>
      <c r="L467" s="3328">
        <v>6</v>
      </c>
      <c r="M467" s="3328">
        <v>5</v>
      </c>
    </row>
    <row r="468" spans="1:14" ht="27">
      <c r="A468" s="3099" t="s">
        <v>4193</v>
      </c>
      <c r="B468" s="3329"/>
      <c r="C468" s="3096" t="s">
        <v>4180</v>
      </c>
      <c r="D468" s="3097" t="s">
        <v>4018</v>
      </c>
      <c r="E468" s="3098" t="s">
        <v>3429</v>
      </c>
      <c r="F468" s="3097" t="s">
        <v>4019</v>
      </c>
      <c r="G468" s="3097" t="s">
        <v>4021</v>
      </c>
      <c r="H468" s="3097">
        <v>84.72</v>
      </c>
      <c r="I468" s="3097">
        <v>2528852.1800000002</v>
      </c>
      <c r="J468" s="3075">
        <f t="shared" si="59"/>
        <v>29850</v>
      </c>
      <c r="K468" s="3328"/>
      <c r="L468" s="3328"/>
      <c r="M468" s="3328"/>
    </row>
    <row r="469" spans="1:14">
      <c r="A469" s="3099" t="s">
        <v>4193</v>
      </c>
      <c r="B469" s="3329"/>
      <c r="C469" s="3096" t="s">
        <v>4180</v>
      </c>
      <c r="D469" s="3097" t="s">
        <v>4018</v>
      </c>
      <c r="E469" s="3097" t="s">
        <v>3431</v>
      </c>
      <c r="F469" s="3097" t="s">
        <v>4022</v>
      </c>
      <c r="G469" s="3097" t="s">
        <v>4022</v>
      </c>
      <c r="H469" s="3097">
        <v>83.47</v>
      </c>
      <c r="I469" s="3097">
        <v>2503497.35</v>
      </c>
      <c r="J469" s="3075">
        <f t="shared" si="59"/>
        <v>29993</v>
      </c>
      <c r="K469" s="3328"/>
      <c r="L469" s="3328"/>
      <c r="M469" s="3328"/>
    </row>
    <row r="470" spans="1:14">
      <c r="A470" s="3099" t="s">
        <v>4193</v>
      </c>
      <c r="B470" s="3329"/>
      <c r="C470" s="3096" t="s">
        <v>3218</v>
      </c>
      <c r="D470" s="3097" t="s">
        <v>3219</v>
      </c>
      <c r="E470" s="3097" t="s">
        <v>4023</v>
      </c>
      <c r="F470" s="3097" t="s">
        <v>4024</v>
      </c>
      <c r="G470" s="3097" t="s">
        <v>4024</v>
      </c>
      <c r="H470" s="3097">
        <v>45.64</v>
      </c>
      <c r="I470" s="3097">
        <v>420000.27</v>
      </c>
      <c r="J470" s="3075">
        <f t="shared" si="59"/>
        <v>9202</v>
      </c>
      <c r="K470" s="3328"/>
      <c r="L470" s="3328"/>
      <c r="M470" s="3328"/>
    </row>
    <row r="471" spans="1:14">
      <c r="A471" s="3099" t="s">
        <v>4193</v>
      </c>
      <c r="B471" s="3329"/>
      <c r="C471" s="3096" t="s">
        <v>3218</v>
      </c>
      <c r="D471" s="3097" t="s">
        <v>3219</v>
      </c>
      <c r="E471" s="3097" t="s">
        <v>4025</v>
      </c>
      <c r="F471" s="3097" t="s">
        <v>4026</v>
      </c>
      <c r="G471" s="3097" t="s">
        <v>4026</v>
      </c>
      <c r="H471" s="3097">
        <v>45.64</v>
      </c>
      <c r="I471" s="3097">
        <v>420000.27</v>
      </c>
      <c r="J471" s="3075">
        <f t="shared" si="59"/>
        <v>9202</v>
      </c>
      <c r="K471" s="3328"/>
      <c r="L471" s="3328"/>
      <c r="M471" s="3328"/>
      <c r="N471" s="1405">
        <f t="shared" ref="N471" si="62">ROUND((I467+I468+I469+I470+I471)/10000,0)</f>
        <v>1439</v>
      </c>
    </row>
    <row r="472" spans="1:14">
      <c r="A472" s="3099" t="s">
        <v>4193</v>
      </c>
      <c r="B472" s="3329">
        <v>95</v>
      </c>
      <c r="C472" s="3096" t="s">
        <v>3209</v>
      </c>
      <c r="D472" s="3097" t="s">
        <v>4018</v>
      </c>
      <c r="E472" s="3097" t="s">
        <v>3211</v>
      </c>
      <c r="F472" s="3097" t="s">
        <v>4027</v>
      </c>
      <c r="G472" s="3097" t="s">
        <v>4028</v>
      </c>
      <c r="H472" s="3097">
        <v>134.95999999999998</v>
      </c>
      <c r="I472" s="3097">
        <v>7587755.4699999997</v>
      </c>
      <c r="J472" s="3075">
        <f>ROUND(I472/H472,0)</f>
        <v>56222</v>
      </c>
      <c r="K472" s="3328"/>
      <c r="L472" s="3328"/>
      <c r="M472" s="3328"/>
    </row>
    <row r="473" spans="1:14" ht="27">
      <c r="A473" s="3099" t="s">
        <v>4193</v>
      </c>
      <c r="B473" s="3329"/>
      <c r="C473" s="3096" t="s">
        <v>4180</v>
      </c>
      <c r="D473" s="3097" t="s">
        <v>4018</v>
      </c>
      <c r="E473" s="3098" t="s">
        <v>3214</v>
      </c>
      <c r="F473" s="3097" t="s">
        <v>4027</v>
      </c>
      <c r="G473" s="3097" t="s">
        <v>4029</v>
      </c>
      <c r="H473" s="3097">
        <v>84.86</v>
      </c>
      <c r="I473" s="3097">
        <v>2533029.42</v>
      </c>
      <c r="J473" s="3075">
        <f t="shared" si="59"/>
        <v>29850</v>
      </c>
      <c r="K473" s="3328"/>
      <c r="L473" s="3328"/>
      <c r="M473" s="3328"/>
    </row>
    <row r="474" spans="1:14">
      <c r="A474" s="3099" t="s">
        <v>4193</v>
      </c>
      <c r="B474" s="3329"/>
      <c r="C474" s="3096" t="s">
        <v>4180</v>
      </c>
      <c r="D474" s="3097" t="s">
        <v>4018</v>
      </c>
      <c r="E474" s="3097" t="s">
        <v>3216</v>
      </c>
      <c r="F474" s="3097" t="s">
        <v>4030</v>
      </c>
      <c r="G474" s="3097" t="s">
        <v>4030</v>
      </c>
      <c r="H474" s="3097">
        <v>84.19</v>
      </c>
      <c r="I474" s="3097">
        <v>2525106.46</v>
      </c>
      <c r="J474" s="3075">
        <f t="shared" si="59"/>
        <v>29993</v>
      </c>
      <c r="K474" s="3328"/>
      <c r="L474" s="3328"/>
      <c r="M474" s="3328"/>
    </row>
    <row r="475" spans="1:14">
      <c r="A475" s="3099" t="s">
        <v>4193</v>
      </c>
      <c r="B475" s="3329"/>
      <c r="C475" s="3096" t="s">
        <v>3218</v>
      </c>
      <c r="D475" s="3097" t="s">
        <v>3219</v>
      </c>
      <c r="E475" s="3097" t="s">
        <v>4031</v>
      </c>
      <c r="F475" s="3097" t="s">
        <v>4032</v>
      </c>
      <c r="G475" s="3097" t="s">
        <v>4032</v>
      </c>
      <c r="H475" s="3097">
        <v>45.64</v>
      </c>
      <c r="I475" s="3097">
        <v>420000.27</v>
      </c>
      <c r="J475" s="3075">
        <f t="shared" si="59"/>
        <v>9202</v>
      </c>
      <c r="K475" s="3328"/>
      <c r="L475" s="3328"/>
      <c r="M475" s="3328"/>
    </row>
    <row r="476" spans="1:14">
      <c r="A476" s="3099" t="s">
        <v>4193</v>
      </c>
      <c r="B476" s="3329"/>
      <c r="C476" s="3096" t="s">
        <v>3218</v>
      </c>
      <c r="D476" s="3097" t="s">
        <v>3219</v>
      </c>
      <c r="E476" s="3097" t="s">
        <v>4033</v>
      </c>
      <c r="F476" s="3097" t="s">
        <v>4034</v>
      </c>
      <c r="G476" s="3097" t="s">
        <v>4034</v>
      </c>
      <c r="H476" s="3097">
        <v>45.64</v>
      </c>
      <c r="I476" s="3097">
        <v>420000.27</v>
      </c>
      <c r="J476" s="3075">
        <f t="shared" si="59"/>
        <v>9202</v>
      </c>
      <c r="K476" s="3328"/>
      <c r="L476" s="3328"/>
      <c r="M476" s="3328"/>
      <c r="N476" s="1405">
        <f t="shared" si="57"/>
        <v>1349</v>
      </c>
    </row>
    <row r="477" spans="1:14">
      <c r="A477" s="3099" t="s">
        <v>4193</v>
      </c>
      <c r="B477" s="3329">
        <v>96</v>
      </c>
      <c r="C477" s="3096" t="s">
        <v>3209</v>
      </c>
      <c r="D477" s="3097" t="s">
        <v>4018</v>
      </c>
      <c r="E477" s="3097" t="s">
        <v>3224</v>
      </c>
      <c r="F477" s="3097" t="s">
        <v>4035</v>
      </c>
      <c r="G477" s="3097" t="s">
        <v>4036</v>
      </c>
      <c r="H477" s="3097">
        <v>135.15</v>
      </c>
      <c r="I477" s="3097">
        <v>7717508.29</v>
      </c>
      <c r="J477" s="3075">
        <f>ROUND(I477/H477,0)</f>
        <v>57103</v>
      </c>
      <c r="K477" s="3328"/>
      <c r="L477" s="3328"/>
      <c r="M477" s="3328"/>
    </row>
    <row r="478" spans="1:14" ht="27">
      <c r="A478" s="3099" t="s">
        <v>4193</v>
      </c>
      <c r="B478" s="3329"/>
      <c r="C478" s="3096" t="s">
        <v>4180</v>
      </c>
      <c r="D478" s="3097" t="s">
        <v>4018</v>
      </c>
      <c r="E478" s="3098" t="s">
        <v>3227</v>
      </c>
      <c r="F478" s="3097" t="s">
        <v>4035</v>
      </c>
      <c r="G478" s="3097" t="s">
        <v>4037</v>
      </c>
      <c r="H478" s="3097">
        <v>85.14</v>
      </c>
      <c r="I478" s="3097">
        <v>2541445.1800000002</v>
      </c>
      <c r="J478" s="3075">
        <f t="shared" si="59"/>
        <v>29850</v>
      </c>
      <c r="K478" s="3328"/>
      <c r="L478" s="3328"/>
      <c r="M478" s="3328"/>
    </row>
    <row r="479" spans="1:14">
      <c r="A479" s="3099" t="s">
        <v>4193</v>
      </c>
      <c r="B479" s="3329"/>
      <c r="C479" s="3096" t="s">
        <v>4180</v>
      </c>
      <c r="D479" s="3097" t="s">
        <v>4018</v>
      </c>
      <c r="E479" s="3097" t="s">
        <v>3229</v>
      </c>
      <c r="F479" s="3097" t="s">
        <v>4038</v>
      </c>
      <c r="G479" s="3097" t="s">
        <v>4038</v>
      </c>
      <c r="H479" s="3097">
        <v>84.19</v>
      </c>
      <c r="I479" s="3097">
        <v>2525106.46</v>
      </c>
      <c r="J479" s="3075">
        <f t="shared" si="59"/>
        <v>29993</v>
      </c>
      <c r="K479" s="3328"/>
      <c r="L479" s="3328"/>
      <c r="M479" s="3328"/>
    </row>
    <row r="480" spans="1:14">
      <c r="A480" s="3099" t="s">
        <v>4193</v>
      </c>
      <c r="B480" s="3329"/>
      <c r="C480" s="3096" t="s">
        <v>3218</v>
      </c>
      <c r="D480" s="3097" t="s">
        <v>3219</v>
      </c>
      <c r="E480" s="3097" t="s">
        <v>4039</v>
      </c>
      <c r="F480" s="3097" t="s">
        <v>4040</v>
      </c>
      <c r="G480" s="3097" t="s">
        <v>4040</v>
      </c>
      <c r="H480" s="3097">
        <v>45.64</v>
      </c>
      <c r="I480" s="3097">
        <v>420000.27</v>
      </c>
      <c r="J480" s="3075">
        <f t="shared" si="59"/>
        <v>9202</v>
      </c>
      <c r="K480" s="3328"/>
      <c r="L480" s="3328"/>
      <c r="M480" s="3328"/>
    </row>
    <row r="481" spans="1:14">
      <c r="A481" s="3099" t="s">
        <v>4193</v>
      </c>
      <c r="B481" s="3329"/>
      <c r="C481" s="3096" t="s">
        <v>3218</v>
      </c>
      <c r="D481" s="3097" t="s">
        <v>3219</v>
      </c>
      <c r="E481" s="3097" t="s">
        <v>4041</v>
      </c>
      <c r="F481" s="3097" t="s">
        <v>4042</v>
      </c>
      <c r="G481" s="3097" t="s">
        <v>4042</v>
      </c>
      <c r="H481" s="3097">
        <v>45.64</v>
      </c>
      <c r="I481" s="3097">
        <v>420000.27</v>
      </c>
      <c r="J481" s="3075">
        <f t="shared" si="59"/>
        <v>9202</v>
      </c>
      <c r="K481" s="3328"/>
      <c r="L481" s="3328"/>
      <c r="M481" s="3328"/>
      <c r="N481" s="1405">
        <f t="shared" ref="N481" si="63">ROUND((I477+I478+I479+I480+I481)/10000,0)</f>
        <v>1362</v>
      </c>
    </row>
    <row r="482" spans="1:14">
      <c r="A482" s="3099" t="s">
        <v>4193</v>
      </c>
      <c r="B482" s="3329">
        <v>97</v>
      </c>
      <c r="C482" s="3096" t="s">
        <v>3209</v>
      </c>
      <c r="D482" s="3097" t="s">
        <v>4018</v>
      </c>
      <c r="E482" s="3097" t="s">
        <v>3235</v>
      </c>
      <c r="F482" s="3097" t="s">
        <v>4043</v>
      </c>
      <c r="G482" s="3097" t="s">
        <v>4044</v>
      </c>
      <c r="H482" s="3097">
        <v>134.95999999999998</v>
      </c>
      <c r="I482" s="3097">
        <v>7785473.96</v>
      </c>
      <c r="J482" s="3075">
        <f>ROUND(I482/H482,0)</f>
        <v>57687</v>
      </c>
      <c r="K482" s="3328"/>
      <c r="L482" s="3328"/>
      <c r="M482" s="3328"/>
    </row>
    <row r="483" spans="1:14" ht="27">
      <c r="A483" s="3099" t="s">
        <v>4193</v>
      </c>
      <c r="B483" s="3329"/>
      <c r="C483" s="3096" t="s">
        <v>4180</v>
      </c>
      <c r="D483" s="3097" t="s">
        <v>4018</v>
      </c>
      <c r="E483" s="3098" t="s">
        <v>3238</v>
      </c>
      <c r="F483" s="3097" t="s">
        <v>4043</v>
      </c>
      <c r="G483" s="3097" t="s">
        <v>4045</v>
      </c>
      <c r="H483" s="3097">
        <v>84.86</v>
      </c>
      <c r="I483" s="3097">
        <v>2533029.42</v>
      </c>
      <c r="J483" s="3075">
        <f t="shared" si="59"/>
        <v>29850</v>
      </c>
      <c r="K483" s="3328"/>
      <c r="L483" s="3328"/>
      <c r="M483" s="3328"/>
    </row>
    <row r="484" spans="1:14">
      <c r="A484" s="3099" t="s">
        <v>4193</v>
      </c>
      <c r="B484" s="3329"/>
      <c r="C484" s="3096" t="s">
        <v>4180</v>
      </c>
      <c r="D484" s="3097" t="s">
        <v>4018</v>
      </c>
      <c r="E484" s="3097" t="s">
        <v>3240</v>
      </c>
      <c r="F484" s="3097" t="s">
        <v>4046</v>
      </c>
      <c r="G484" s="3097" t="s">
        <v>4046</v>
      </c>
      <c r="H484" s="3097">
        <v>84.19</v>
      </c>
      <c r="I484" s="3097">
        <v>2525106.46</v>
      </c>
      <c r="J484" s="3075">
        <f t="shared" si="59"/>
        <v>29993</v>
      </c>
      <c r="K484" s="3328"/>
      <c r="L484" s="3328"/>
      <c r="M484" s="3328"/>
    </row>
    <row r="485" spans="1:14">
      <c r="A485" s="3099" t="s">
        <v>4193</v>
      </c>
      <c r="B485" s="3329"/>
      <c r="C485" s="3096" t="s">
        <v>3218</v>
      </c>
      <c r="D485" s="3097" t="s">
        <v>3219</v>
      </c>
      <c r="E485" s="3097" t="s">
        <v>4047</v>
      </c>
      <c r="F485" s="3097" t="s">
        <v>4048</v>
      </c>
      <c r="G485" s="3097" t="s">
        <v>4048</v>
      </c>
      <c r="H485" s="3097">
        <v>45.64</v>
      </c>
      <c r="I485" s="3097">
        <v>420000.27</v>
      </c>
      <c r="J485" s="3075">
        <f t="shared" si="59"/>
        <v>9202</v>
      </c>
      <c r="K485" s="3328"/>
      <c r="L485" s="3328"/>
      <c r="M485" s="3328"/>
    </row>
    <row r="486" spans="1:14">
      <c r="A486" s="3099" t="s">
        <v>4193</v>
      </c>
      <c r="B486" s="3329"/>
      <c r="C486" s="3096" t="s">
        <v>3218</v>
      </c>
      <c r="D486" s="3097" t="s">
        <v>3219</v>
      </c>
      <c r="E486" s="3097" t="s">
        <v>4049</v>
      </c>
      <c r="F486" s="3097" t="s">
        <v>4050</v>
      </c>
      <c r="G486" s="3097" t="s">
        <v>4050</v>
      </c>
      <c r="H486" s="3097">
        <v>45.64</v>
      </c>
      <c r="I486" s="3097">
        <v>420000.27</v>
      </c>
      <c r="J486" s="3075">
        <f t="shared" si="59"/>
        <v>9202</v>
      </c>
      <c r="K486" s="3328"/>
      <c r="L486" s="3328"/>
      <c r="M486" s="3328"/>
      <c r="N486" s="1405">
        <f t="shared" si="57"/>
        <v>1368</v>
      </c>
    </row>
    <row r="487" spans="1:14">
      <c r="A487" s="3099" t="s">
        <v>4193</v>
      </c>
      <c r="B487" s="3329">
        <v>98</v>
      </c>
      <c r="C487" s="3096" t="s">
        <v>3209</v>
      </c>
      <c r="D487" s="3097" t="s">
        <v>4018</v>
      </c>
      <c r="E487" s="3097" t="s">
        <v>3247</v>
      </c>
      <c r="F487" s="3097" t="s">
        <v>4051</v>
      </c>
      <c r="G487" s="3097" t="s">
        <v>4052</v>
      </c>
      <c r="H487" s="3097">
        <v>135.15</v>
      </c>
      <c r="I487" s="3097">
        <v>7915507.0999999996</v>
      </c>
      <c r="J487" s="3075">
        <f>ROUND(I487/H487,0)</f>
        <v>58568</v>
      </c>
      <c r="K487" s="3328"/>
      <c r="L487" s="3328"/>
      <c r="M487" s="3328"/>
    </row>
    <row r="488" spans="1:14" ht="24">
      <c r="A488" s="3099" t="s">
        <v>4193</v>
      </c>
      <c r="B488" s="3329"/>
      <c r="C488" s="3096" t="s">
        <v>4180</v>
      </c>
      <c r="D488" s="3097" t="s">
        <v>4018</v>
      </c>
      <c r="E488" s="3097" t="s">
        <v>3250</v>
      </c>
      <c r="F488" s="3097" t="s">
        <v>4051</v>
      </c>
      <c r="G488" s="3097" t="s">
        <v>4053</v>
      </c>
      <c r="H488" s="3097">
        <v>85.14</v>
      </c>
      <c r="I488" s="3097">
        <v>2541445.1800000002</v>
      </c>
      <c r="J488" s="3075">
        <f t="shared" si="59"/>
        <v>29850</v>
      </c>
      <c r="K488" s="3328"/>
      <c r="L488" s="3328"/>
      <c r="M488" s="3328"/>
    </row>
    <row r="489" spans="1:14">
      <c r="A489" s="3099" t="s">
        <v>4193</v>
      </c>
      <c r="B489" s="3329"/>
      <c r="C489" s="3096" t="s">
        <v>4180</v>
      </c>
      <c r="D489" s="3097" t="s">
        <v>4018</v>
      </c>
      <c r="E489" s="3097" t="s">
        <v>3252</v>
      </c>
      <c r="F489" s="3097" t="s">
        <v>4054</v>
      </c>
      <c r="G489" s="3097" t="s">
        <v>4054</v>
      </c>
      <c r="H489" s="3097">
        <v>84.19</v>
      </c>
      <c r="I489" s="3097">
        <v>2525106.46</v>
      </c>
      <c r="J489" s="3075">
        <f t="shared" si="59"/>
        <v>29993</v>
      </c>
      <c r="K489" s="3328"/>
      <c r="L489" s="3328"/>
      <c r="M489" s="3328"/>
    </row>
    <row r="490" spans="1:14">
      <c r="A490" s="3099" t="s">
        <v>4193</v>
      </c>
      <c r="B490" s="3329"/>
      <c r="C490" s="3096" t="s">
        <v>3218</v>
      </c>
      <c r="D490" s="3097" t="s">
        <v>3219</v>
      </c>
      <c r="E490" s="3097" t="s">
        <v>4055</v>
      </c>
      <c r="F490" s="3097" t="s">
        <v>4056</v>
      </c>
      <c r="G490" s="3097" t="s">
        <v>4056</v>
      </c>
      <c r="H490" s="3097">
        <v>45.64</v>
      </c>
      <c r="I490" s="3097">
        <v>420000.27</v>
      </c>
      <c r="J490" s="3075">
        <f t="shared" si="59"/>
        <v>9202</v>
      </c>
      <c r="K490" s="3328"/>
      <c r="L490" s="3328"/>
      <c r="M490" s="3328"/>
    </row>
    <row r="491" spans="1:14">
      <c r="A491" s="3099" t="s">
        <v>4193</v>
      </c>
      <c r="B491" s="3329"/>
      <c r="C491" s="3096" t="s">
        <v>3218</v>
      </c>
      <c r="D491" s="3097" t="s">
        <v>3219</v>
      </c>
      <c r="E491" s="3097" t="s">
        <v>4057</v>
      </c>
      <c r="F491" s="3097" t="s">
        <v>4058</v>
      </c>
      <c r="G491" s="3097" t="s">
        <v>4058</v>
      </c>
      <c r="H491" s="3097">
        <v>45.64</v>
      </c>
      <c r="I491" s="3097">
        <v>420000.27</v>
      </c>
      <c r="J491" s="3075">
        <f t="shared" si="59"/>
        <v>9202</v>
      </c>
      <c r="K491" s="3328"/>
      <c r="L491" s="3328"/>
      <c r="M491" s="3328"/>
      <c r="N491" s="1405">
        <f t="shared" ref="N491" si="64">ROUND((I487+I488+I489+I490+I491)/10000,0)</f>
        <v>1382</v>
      </c>
    </row>
    <row r="492" spans="1:14">
      <c r="A492" s="3099" t="s">
        <v>4193</v>
      </c>
      <c r="B492" s="3329">
        <v>99</v>
      </c>
      <c r="C492" s="3096" t="s">
        <v>3209</v>
      </c>
      <c r="D492" s="3097" t="s">
        <v>4059</v>
      </c>
      <c r="E492" s="3097" t="s">
        <v>3211</v>
      </c>
      <c r="F492" s="3097" t="s">
        <v>4060</v>
      </c>
      <c r="G492" s="3097" t="s">
        <v>4061</v>
      </c>
      <c r="H492" s="3097">
        <v>134.95999999999998</v>
      </c>
      <c r="I492" s="3097">
        <v>7587756.21</v>
      </c>
      <c r="J492" s="3075">
        <f>ROUND(I492/H492,0)</f>
        <v>56222</v>
      </c>
      <c r="K492" s="3328">
        <v>80</v>
      </c>
      <c r="L492" s="3328">
        <v>6</v>
      </c>
      <c r="M492" s="3328">
        <v>5</v>
      </c>
    </row>
    <row r="493" spans="1:14" ht="27">
      <c r="A493" s="3099" t="s">
        <v>4193</v>
      </c>
      <c r="B493" s="3329"/>
      <c r="C493" s="3096" t="s">
        <v>4180</v>
      </c>
      <c r="D493" s="3097" t="s">
        <v>4059</v>
      </c>
      <c r="E493" s="3098" t="s">
        <v>3214</v>
      </c>
      <c r="F493" s="3097" t="s">
        <v>4060</v>
      </c>
      <c r="G493" s="3097" t="s">
        <v>4062</v>
      </c>
      <c r="H493" s="3097">
        <v>84.86</v>
      </c>
      <c r="I493" s="3097">
        <v>2533029.42</v>
      </c>
      <c r="J493" s="3075">
        <f t="shared" si="59"/>
        <v>29850</v>
      </c>
      <c r="K493" s="3328"/>
      <c r="L493" s="3328"/>
      <c r="M493" s="3328"/>
    </row>
    <row r="494" spans="1:14">
      <c r="A494" s="3099" t="s">
        <v>4193</v>
      </c>
      <c r="B494" s="3329"/>
      <c r="C494" s="3096" t="s">
        <v>4180</v>
      </c>
      <c r="D494" s="3097" t="s">
        <v>4059</v>
      </c>
      <c r="E494" s="3097" t="s">
        <v>3216</v>
      </c>
      <c r="F494" s="3097" t="s">
        <v>4063</v>
      </c>
      <c r="G494" s="3097" t="s">
        <v>4063</v>
      </c>
      <c r="H494" s="3097">
        <v>84.19</v>
      </c>
      <c r="I494" s="3097">
        <v>2525106.46</v>
      </c>
      <c r="J494" s="3075">
        <f t="shared" si="59"/>
        <v>29993</v>
      </c>
      <c r="K494" s="3328"/>
      <c r="L494" s="3328"/>
      <c r="M494" s="3328"/>
    </row>
    <row r="495" spans="1:14">
      <c r="A495" s="3099" t="s">
        <v>4193</v>
      </c>
      <c r="B495" s="3329"/>
      <c r="C495" s="3096" t="s">
        <v>3218</v>
      </c>
      <c r="D495" s="3097" t="s">
        <v>3219</v>
      </c>
      <c r="E495" s="3097" t="s">
        <v>4064</v>
      </c>
      <c r="F495" s="3097" t="s">
        <v>4065</v>
      </c>
      <c r="G495" s="3097" t="s">
        <v>4065</v>
      </c>
      <c r="H495" s="3097">
        <v>45.64</v>
      </c>
      <c r="I495" s="3097">
        <v>420000.27</v>
      </c>
      <c r="J495" s="3075">
        <f t="shared" si="59"/>
        <v>9202</v>
      </c>
      <c r="K495" s="3328"/>
      <c r="L495" s="3328"/>
      <c r="M495" s="3328"/>
    </row>
    <row r="496" spans="1:14">
      <c r="A496" s="3099" t="s">
        <v>4193</v>
      </c>
      <c r="B496" s="3329"/>
      <c r="C496" s="3096" t="s">
        <v>3218</v>
      </c>
      <c r="D496" s="3097" t="s">
        <v>3219</v>
      </c>
      <c r="E496" s="3097" t="s">
        <v>4066</v>
      </c>
      <c r="F496" s="3097" t="s">
        <v>4067</v>
      </c>
      <c r="G496" s="3097" t="s">
        <v>4067</v>
      </c>
      <c r="H496" s="3097">
        <v>45.64</v>
      </c>
      <c r="I496" s="3097">
        <v>420000.27</v>
      </c>
      <c r="J496" s="3075">
        <f t="shared" si="59"/>
        <v>9202</v>
      </c>
      <c r="K496" s="3328"/>
      <c r="L496" s="3328"/>
      <c r="M496" s="3328"/>
      <c r="N496" s="1405">
        <f t="shared" si="57"/>
        <v>1349</v>
      </c>
    </row>
    <row r="497" spans="1:14">
      <c r="A497" s="3099" t="s">
        <v>4193</v>
      </c>
      <c r="B497" s="3329">
        <v>100</v>
      </c>
      <c r="C497" s="3096" t="s">
        <v>3209</v>
      </c>
      <c r="D497" s="3097" t="s">
        <v>4059</v>
      </c>
      <c r="E497" s="3097" t="s">
        <v>3224</v>
      </c>
      <c r="F497" s="3097" t="s">
        <v>4068</v>
      </c>
      <c r="G497" s="3097" t="s">
        <v>4069</v>
      </c>
      <c r="H497" s="3097">
        <v>135.15</v>
      </c>
      <c r="I497" s="3097">
        <v>7717508.29</v>
      </c>
      <c r="J497" s="3075">
        <f>ROUND(I497/H497,0)</f>
        <v>57103</v>
      </c>
      <c r="K497" s="3328"/>
      <c r="L497" s="3328"/>
      <c r="M497" s="3328"/>
    </row>
    <row r="498" spans="1:14" ht="27">
      <c r="A498" s="3099" t="s">
        <v>4193</v>
      </c>
      <c r="B498" s="3329"/>
      <c r="C498" s="3096" t="s">
        <v>4180</v>
      </c>
      <c r="D498" s="3097" t="s">
        <v>4059</v>
      </c>
      <c r="E498" s="3098" t="s">
        <v>3227</v>
      </c>
      <c r="F498" s="3097" t="s">
        <v>4068</v>
      </c>
      <c r="G498" s="3097" t="s">
        <v>4070</v>
      </c>
      <c r="H498" s="3097">
        <v>85.14</v>
      </c>
      <c r="I498" s="3097">
        <v>2541445.1800000002</v>
      </c>
      <c r="J498" s="3075">
        <f t="shared" si="59"/>
        <v>29850</v>
      </c>
      <c r="K498" s="3328"/>
      <c r="L498" s="3328"/>
      <c r="M498" s="3328"/>
    </row>
    <row r="499" spans="1:14">
      <c r="A499" s="3099" t="s">
        <v>4193</v>
      </c>
      <c r="B499" s="3329"/>
      <c r="C499" s="3096" t="s">
        <v>4180</v>
      </c>
      <c r="D499" s="3097" t="s">
        <v>4059</v>
      </c>
      <c r="E499" s="3097" t="s">
        <v>3229</v>
      </c>
      <c r="F499" s="3097" t="s">
        <v>4071</v>
      </c>
      <c r="G499" s="3097" t="s">
        <v>4071</v>
      </c>
      <c r="H499" s="3097">
        <v>84.19</v>
      </c>
      <c r="I499" s="3097">
        <v>2525106.46</v>
      </c>
      <c r="J499" s="3075">
        <f t="shared" si="59"/>
        <v>29993</v>
      </c>
      <c r="K499" s="3328"/>
      <c r="L499" s="3328"/>
      <c r="M499" s="3328"/>
    </row>
    <row r="500" spans="1:14">
      <c r="A500" s="3099" t="s">
        <v>4193</v>
      </c>
      <c r="B500" s="3329"/>
      <c r="C500" s="3096" t="s">
        <v>3218</v>
      </c>
      <c r="D500" s="3097" t="s">
        <v>3219</v>
      </c>
      <c r="E500" s="3097" t="s">
        <v>4072</v>
      </c>
      <c r="F500" s="3097" t="s">
        <v>4073</v>
      </c>
      <c r="G500" s="3097" t="s">
        <v>4073</v>
      </c>
      <c r="H500" s="3097">
        <v>45.64</v>
      </c>
      <c r="I500" s="3097">
        <v>420000.27</v>
      </c>
      <c r="J500" s="3075">
        <f t="shared" si="59"/>
        <v>9202</v>
      </c>
      <c r="K500" s="3328"/>
      <c r="L500" s="3328"/>
      <c r="M500" s="3328"/>
    </row>
    <row r="501" spans="1:14">
      <c r="A501" s="3099" t="s">
        <v>4193</v>
      </c>
      <c r="B501" s="3329"/>
      <c r="C501" s="3096" t="s">
        <v>3218</v>
      </c>
      <c r="D501" s="3097" t="s">
        <v>3219</v>
      </c>
      <c r="E501" s="3097" t="s">
        <v>4074</v>
      </c>
      <c r="F501" s="3097" t="s">
        <v>4075</v>
      </c>
      <c r="G501" s="3097" t="s">
        <v>4075</v>
      </c>
      <c r="H501" s="3097">
        <v>45.64</v>
      </c>
      <c r="I501" s="3097">
        <v>420000.27</v>
      </c>
      <c r="J501" s="3075">
        <f t="shared" si="59"/>
        <v>9202</v>
      </c>
      <c r="K501" s="3328"/>
      <c r="L501" s="3328"/>
      <c r="M501" s="3328"/>
      <c r="N501" s="1405">
        <f t="shared" ref="N501" si="65">ROUND((I497+I498+I499+I500+I501)/10000,0)</f>
        <v>1362</v>
      </c>
    </row>
    <row r="502" spans="1:14">
      <c r="A502" s="3099" t="s">
        <v>4193</v>
      </c>
      <c r="B502" s="3329">
        <v>101</v>
      </c>
      <c r="C502" s="3096" t="s">
        <v>3209</v>
      </c>
      <c r="D502" s="3097" t="s">
        <v>4059</v>
      </c>
      <c r="E502" s="3097" t="s">
        <v>3388</v>
      </c>
      <c r="F502" s="3097" t="s">
        <v>4076</v>
      </c>
      <c r="G502" s="3097" t="s">
        <v>4077</v>
      </c>
      <c r="H502" s="3097">
        <v>134.81</v>
      </c>
      <c r="I502" s="3097">
        <v>8518897.3399999999</v>
      </c>
      <c r="J502" s="3075">
        <f>ROUND(I502/H502,0)</f>
        <v>63192</v>
      </c>
      <c r="K502" s="3328"/>
      <c r="L502" s="3328"/>
      <c r="M502" s="3328"/>
    </row>
    <row r="503" spans="1:14" ht="27">
      <c r="A503" s="3099" t="s">
        <v>4193</v>
      </c>
      <c r="B503" s="3329"/>
      <c r="C503" s="3096" t="s">
        <v>4180</v>
      </c>
      <c r="D503" s="3097" t="s">
        <v>4059</v>
      </c>
      <c r="E503" s="3098" t="s">
        <v>3391</v>
      </c>
      <c r="F503" s="3097" t="s">
        <v>4076</v>
      </c>
      <c r="G503" s="3097" t="s">
        <v>4078</v>
      </c>
      <c r="H503" s="3097">
        <v>84.72</v>
      </c>
      <c r="I503" s="3097">
        <v>2528852.1800000002</v>
      </c>
      <c r="J503" s="3075">
        <f t="shared" si="59"/>
        <v>29850</v>
      </c>
      <c r="K503" s="3328"/>
      <c r="L503" s="3328"/>
      <c r="M503" s="3328"/>
    </row>
    <row r="504" spans="1:14">
      <c r="A504" s="3099" t="s">
        <v>4193</v>
      </c>
      <c r="B504" s="3329"/>
      <c r="C504" s="3096" t="s">
        <v>4180</v>
      </c>
      <c r="D504" s="3097" t="s">
        <v>4059</v>
      </c>
      <c r="E504" s="3097" t="s">
        <v>3393</v>
      </c>
      <c r="F504" s="3097" t="s">
        <v>4079</v>
      </c>
      <c r="G504" s="3097" t="s">
        <v>4079</v>
      </c>
      <c r="H504" s="3097">
        <v>83.47</v>
      </c>
      <c r="I504" s="3097">
        <v>2503497.35</v>
      </c>
      <c r="J504" s="3075">
        <f t="shared" si="59"/>
        <v>29993</v>
      </c>
      <c r="K504" s="3328"/>
      <c r="L504" s="3328"/>
      <c r="M504" s="3328"/>
    </row>
    <row r="505" spans="1:14">
      <c r="A505" s="3099" t="s">
        <v>4193</v>
      </c>
      <c r="B505" s="3329"/>
      <c r="C505" s="3096" t="s">
        <v>3218</v>
      </c>
      <c r="D505" s="3097" t="s">
        <v>3219</v>
      </c>
      <c r="E505" s="3097" t="s">
        <v>4080</v>
      </c>
      <c r="F505" s="3097" t="s">
        <v>4081</v>
      </c>
      <c r="G505" s="3097" t="s">
        <v>4081</v>
      </c>
      <c r="H505" s="3097">
        <v>45.64</v>
      </c>
      <c r="I505" s="3097">
        <v>420000.27</v>
      </c>
      <c r="J505" s="3075">
        <f t="shared" si="59"/>
        <v>9202</v>
      </c>
      <c r="K505" s="3328"/>
      <c r="L505" s="3328"/>
      <c r="M505" s="3328"/>
    </row>
    <row r="506" spans="1:14">
      <c r="A506" s="3099" t="s">
        <v>4193</v>
      </c>
      <c r="B506" s="3329"/>
      <c r="C506" s="3096" t="s">
        <v>3218</v>
      </c>
      <c r="D506" s="3097" t="s">
        <v>3219</v>
      </c>
      <c r="E506" s="3097" t="s">
        <v>4082</v>
      </c>
      <c r="F506" s="3097" t="s">
        <v>4083</v>
      </c>
      <c r="G506" s="3097" t="s">
        <v>4083</v>
      </c>
      <c r="H506" s="3097">
        <v>45.64</v>
      </c>
      <c r="I506" s="3097">
        <v>420000.27</v>
      </c>
      <c r="J506" s="3075">
        <f t="shared" si="59"/>
        <v>9202</v>
      </c>
      <c r="K506" s="3328"/>
      <c r="L506" s="3328"/>
      <c r="M506" s="3328"/>
      <c r="N506" s="1405">
        <f t="shared" ref="N506:N556" si="66">ROUND((I502+I503+I504+I505+I506)/10000,0)</f>
        <v>1439</v>
      </c>
    </row>
    <row r="507" spans="1:14">
      <c r="A507" s="3099" t="s">
        <v>4193</v>
      </c>
      <c r="B507" s="3329">
        <v>102</v>
      </c>
      <c r="C507" s="3096" t="s">
        <v>3209</v>
      </c>
      <c r="D507" s="3097" t="s">
        <v>4059</v>
      </c>
      <c r="E507" s="3097" t="s">
        <v>3235</v>
      </c>
      <c r="F507" s="3097" t="s">
        <v>4084</v>
      </c>
      <c r="G507" s="3097" t="s">
        <v>4085</v>
      </c>
      <c r="H507" s="3097">
        <v>134.95999999999998</v>
      </c>
      <c r="I507" s="3097">
        <v>7785473.96</v>
      </c>
      <c r="J507" s="3075">
        <f>ROUND(I507/H507,0)</f>
        <v>57687</v>
      </c>
      <c r="K507" s="3328"/>
      <c r="L507" s="3328"/>
      <c r="M507" s="3328"/>
    </row>
    <row r="508" spans="1:14" ht="27">
      <c r="A508" s="3099" t="s">
        <v>4193</v>
      </c>
      <c r="B508" s="3329"/>
      <c r="C508" s="3096" t="s">
        <v>4180</v>
      </c>
      <c r="D508" s="3097" t="s">
        <v>4059</v>
      </c>
      <c r="E508" s="3098" t="s">
        <v>3238</v>
      </c>
      <c r="F508" s="3097" t="s">
        <v>4084</v>
      </c>
      <c r="G508" s="3097" t="s">
        <v>4086</v>
      </c>
      <c r="H508" s="3097">
        <v>84.86</v>
      </c>
      <c r="I508" s="3097">
        <v>2533029.42</v>
      </c>
      <c r="J508" s="3075">
        <f t="shared" ref="J508:J561" si="67">ROUND(I508/H508,0)</f>
        <v>29850</v>
      </c>
      <c r="K508" s="3328"/>
      <c r="L508" s="3328"/>
      <c r="M508" s="3328"/>
    </row>
    <row r="509" spans="1:14">
      <c r="A509" s="3099" t="s">
        <v>4193</v>
      </c>
      <c r="B509" s="3329"/>
      <c r="C509" s="3096" t="s">
        <v>4180</v>
      </c>
      <c r="D509" s="3097" t="s">
        <v>4059</v>
      </c>
      <c r="E509" s="3097" t="s">
        <v>3240</v>
      </c>
      <c r="F509" s="3097" t="s">
        <v>4087</v>
      </c>
      <c r="G509" s="3097" t="s">
        <v>4087</v>
      </c>
      <c r="H509" s="3097">
        <v>84.19</v>
      </c>
      <c r="I509" s="3097">
        <v>2525106.46</v>
      </c>
      <c r="J509" s="3075">
        <f t="shared" si="67"/>
        <v>29993</v>
      </c>
      <c r="K509" s="3328"/>
      <c r="L509" s="3328"/>
      <c r="M509" s="3328"/>
    </row>
    <row r="510" spans="1:14">
      <c r="A510" s="3099" t="s">
        <v>4193</v>
      </c>
      <c r="B510" s="3329"/>
      <c r="C510" s="3096" t="s">
        <v>3218</v>
      </c>
      <c r="D510" s="3097" t="s">
        <v>3219</v>
      </c>
      <c r="E510" s="3097" t="s">
        <v>4088</v>
      </c>
      <c r="F510" s="3097" t="s">
        <v>4089</v>
      </c>
      <c r="G510" s="3097" t="s">
        <v>4089</v>
      </c>
      <c r="H510" s="3097">
        <v>45.64</v>
      </c>
      <c r="I510" s="3097">
        <v>420000.27</v>
      </c>
      <c r="J510" s="3075">
        <f t="shared" si="67"/>
        <v>9202</v>
      </c>
      <c r="K510" s="3328"/>
      <c r="L510" s="3328"/>
      <c r="M510" s="3328"/>
    </row>
    <row r="511" spans="1:14">
      <c r="A511" s="3099" t="s">
        <v>4193</v>
      </c>
      <c r="B511" s="3329"/>
      <c r="C511" s="3096" t="s">
        <v>3218</v>
      </c>
      <c r="D511" s="3097" t="s">
        <v>3219</v>
      </c>
      <c r="E511" s="3097" t="s">
        <v>4090</v>
      </c>
      <c r="F511" s="3097" t="s">
        <v>4091</v>
      </c>
      <c r="G511" s="3097" t="s">
        <v>4091</v>
      </c>
      <c r="H511" s="3097">
        <v>45.64</v>
      </c>
      <c r="I511" s="3097">
        <v>420000.27</v>
      </c>
      <c r="J511" s="3075">
        <f t="shared" si="67"/>
        <v>9202</v>
      </c>
      <c r="K511" s="3328"/>
      <c r="L511" s="3328"/>
      <c r="M511" s="3328"/>
      <c r="N511" s="1405">
        <f t="shared" ref="N511" si="68">ROUND((I507+I508+I509+I510+I511)/10000,0)</f>
        <v>1368</v>
      </c>
    </row>
    <row r="512" spans="1:14">
      <c r="A512" s="3099" t="s">
        <v>4193</v>
      </c>
      <c r="B512" s="3329">
        <v>103</v>
      </c>
      <c r="C512" s="3096" t="s">
        <v>3209</v>
      </c>
      <c r="D512" s="3097" t="s">
        <v>4059</v>
      </c>
      <c r="E512" s="3097" t="s">
        <v>3247</v>
      </c>
      <c r="F512" s="3097" t="s">
        <v>4092</v>
      </c>
      <c r="G512" s="3097" t="s">
        <v>4093</v>
      </c>
      <c r="H512" s="3097">
        <v>135.15</v>
      </c>
      <c r="I512" s="3097">
        <v>7940992.3300000001</v>
      </c>
      <c r="J512" s="3075">
        <f>ROUND(I512/H512,0)</f>
        <v>58757</v>
      </c>
      <c r="K512" s="3328"/>
      <c r="L512" s="3328"/>
      <c r="M512" s="3328"/>
    </row>
    <row r="513" spans="1:14" ht="24">
      <c r="A513" s="3099" t="s">
        <v>4193</v>
      </c>
      <c r="B513" s="3329"/>
      <c r="C513" s="3096" t="s">
        <v>4180</v>
      </c>
      <c r="D513" s="3097" t="s">
        <v>4059</v>
      </c>
      <c r="E513" s="3097" t="s">
        <v>3250</v>
      </c>
      <c r="F513" s="3097" t="s">
        <v>4092</v>
      </c>
      <c r="G513" s="3097" t="s">
        <v>4094</v>
      </c>
      <c r="H513" s="3097">
        <v>85.14</v>
      </c>
      <c r="I513" s="3097">
        <v>2541445.1800000002</v>
      </c>
      <c r="J513" s="3075">
        <f t="shared" si="67"/>
        <v>29850</v>
      </c>
      <c r="K513" s="3328"/>
      <c r="L513" s="3328"/>
      <c r="M513" s="3328"/>
    </row>
    <row r="514" spans="1:14">
      <c r="A514" s="3099" t="s">
        <v>4193</v>
      </c>
      <c r="B514" s="3329"/>
      <c r="C514" s="3096" t="s">
        <v>4180</v>
      </c>
      <c r="D514" s="3097" t="s">
        <v>4059</v>
      </c>
      <c r="E514" s="3097" t="s">
        <v>3252</v>
      </c>
      <c r="F514" s="3097" t="s">
        <v>4095</v>
      </c>
      <c r="G514" s="3097" t="s">
        <v>4095</v>
      </c>
      <c r="H514" s="3097">
        <v>84.19</v>
      </c>
      <c r="I514" s="3097">
        <v>2525106.46</v>
      </c>
      <c r="J514" s="3075">
        <f t="shared" si="67"/>
        <v>29993</v>
      </c>
      <c r="K514" s="3328"/>
      <c r="L514" s="3328"/>
      <c r="M514" s="3328"/>
    </row>
    <row r="515" spans="1:14">
      <c r="A515" s="3099" t="s">
        <v>4193</v>
      </c>
      <c r="B515" s="3329"/>
      <c r="C515" s="3096" t="s">
        <v>3218</v>
      </c>
      <c r="D515" s="3097" t="s">
        <v>3219</v>
      </c>
      <c r="E515" s="3097" t="s">
        <v>4096</v>
      </c>
      <c r="F515" s="3097" t="s">
        <v>4097</v>
      </c>
      <c r="G515" s="3097" t="s">
        <v>4097</v>
      </c>
      <c r="H515" s="3097">
        <v>45.64</v>
      </c>
      <c r="I515" s="3097">
        <v>420000.27</v>
      </c>
      <c r="J515" s="3075">
        <f t="shared" si="67"/>
        <v>9202</v>
      </c>
      <c r="K515" s="3328"/>
      <c r="L515" s="3328"/>
      <c r="M515" s="3328"/>
    </row>
    <row r="516" spans="1:14">
      <c r="A516" s="3099" t="s">
        <v>4193</v>
      </c>
      <c r="B516" s="3329"/>
      <c r="C516" s="3096" t="s">
        <v>3218</v>
      </c>
      <c r="D516" s="3097" t="s">
        <v>3219</v>
      </c>
      <c r="E516" s="3097" t="s">
        <v>4098</v>
      </c>
      <c r="F516" s="3097" t="s">
        <v>4099</v>
      </c>
      <c r="G516" s="3097" t="s">
        <v>4099</v>
      </c>
      <c r="H516" s="3097">
        <v>45.64</v>
      </c>
      <c r="I516" s="3097">
        <v>420000.27</v>
      </c>
      <c r="J516" s="3075">
        <f t="shared" si="67"/>
        <v>9202</v>
      </c>
      <c r="K516" s="3328"/>
      <c r="L516" s="3328"/>
      <c r="M516" s="3328"/>
      <c r="N516" s="1405">
        <f t="shared" si="66"/>
        <v>1385</v>
      </c>
    </row>
    <row r="517" spans="1:14">
      <c r="A517" s="3099" t="s">
        <v>4193</v>
      </c>
      <c r="B517" s="3329">
        <v>104</v>
      </c>
      <c r="C517" s="3096" t="s">
        <v>3209</v>
      </c>
      <c r="D517" s="3097" t="s">
        <v>4100</v>
      </c>
      <c r="E517" s="3097" t="s">
        <v>3211</v>
      </c>
      <c r="F517" s="3097" t="s">
        <v>4101</v>
      </c>
      <c r="G517" s="3097" t="s">
        <v>4102</v>
      </c>
      <c r="H517" s="3097">
        <v>135.36000000000001</v>
      </c>
      <c r="I517" s="3097">
        <v>8541090.1199999992</v>
      </c>
      <c r="J517" s="3075">
        <f>ROUND(I517/H517,0)</f>
        <v>63099</v>
      </c>
      <c r="K517" s="3328">
        <v>81</v>
      </c>
      <c r="L517" s="3328">
        <v>4</v>
      </c>
      <c r="M517" s="3328">
        <v>2</v>
      </c>
    </row>
    <row r="518" spans="1:14" ht="27">
      <c r="A518" s="3099" t="s">
        <v>4193</v>
      </c>
      <c r="B518" s="3329"/>
      <c r="C518" s="3096" t="s">
        <v>4180</v>
      </c>
      <c r="D518" s="3097" t="s">
        <v>4100</v>
      </c>
      <c r="E518" s="3098" t="s">
        <v>3214</v>
      </c>
      <c r="F518" s="3097" t="s">
        <v>4101</v>
      </c>
      <c r="G518" s="3097" t="s">
        <v>4103</v>
      </c>
      <c r="H518" s="3097">
        <v>85.070000000000007</v>
      </c>
      <c r="I518" s="3097">
        <v>2535734.23</v>
      </c>
      <c r="J518" s="3075">
        <f t="shared" si="67"/>
        <v>29808</v>
      </c>
      <c r="K518" s="3328"/>
      <c r="L518" s="3328"/>
      <c r="M518" s="3328"/>
    </row>
    <row r="519" spans="1:14">
      <c r="A519" s="3099" t="s">
        <v>4193</v>
      </c>
      <c r="B519" s="3329"/>
      <c r="C519" s="3096" t="s">
        <v>4180</v>
      </c>
      <c r="D519" s="3097" t="s">
        <v>4100</v>
      </c>
      <c r="E519" s="3097" t="s">
        <v>3216</v>
      </c>
      <c r="F519" s="3097" t="s">
        <v>4104</v>
      </c>
      <c r="G519" s="3097" t="s">
        <v>4104</v>
      </c>
      <c r="H519" s="3097">
        <v>83.929999999999993</v>
      </c>
      <c r="I519" s="3097">
        <v>2507997.1</v>
      </c>
      <c r="J519" s="3075">
        <f t="shared" si="67"/>
        <v>29882</v>
      </c>
      <c r="K519" s="3328"/>
      <c r="L519" s="3328"/>
      <c r="M519" s="3328"/>
    </row>
    <row r="520" spans="1:14">
      <c r="A520" s="3099" t="s">
        <v>4193</v>
      </c>
      <c r="B520" s="3329"/>
      <c r="C520" s="3096" t="s">
        <v>3218</v>
      </c>
      <c r="D520" s="3097" t="s">
        <v>3219</v>
      </c>
      <c r="E520" s="3097" t="s">
        <v>4105</v>
      </c>
      <c r="F520" s="3097" t="s">
        <v>4106</v>
      </c>
      <c r="G520" s="3097" t="s">
        <v>4106</v>
      </c>
      <c r="H520" s="3097">
        <v>45.64</v>
      </c>
      <c r="I520" s="3097">
        <v>420000.27</v>
      </c>
      <c r="J520" s="3075">
        <f t="shared" si="67"/>
        <v>9202</v>
      </c>
      <c r="K520" s="3328"/>
      <c r="L520" s="3328"/>
      <c r="M520" s="3328"/>
    </row>
    <row r="521" spans="1:14">
      <c r="A521" s="3099" t="s">
        <v>4193</v>
      </c>
      <c r="B521" s="3329"/>
      <c r="C521" s="3096" t="s">
        <v>3218</v>
      </c>
      <c r="D521" s="3097" t="s">
        <v>3219</v>
      </c>
      <c r="E521" s="3097" t="s">
        <v>4107</v>
      </c>
      <c r="F521" s="3097" t="s">
        <v>4108</v>
      </c>
      <c r="G521" s="3097" t="s">
        <v>4108</v>
      </c>
      <c r="H521" s="3097">
        <v>45.64</v>
      </c>
      <c r="I521" s="3097">
        <v>420000.27</v>
      </c>
      <c r="J521" s="3075">
        <f t="shared" si="67"/>
        <v>9202</v>
      </c>
      <c r="K521" s="3328"/>
      <c r="L521" s="3328"/>
      <c r="M521" s="3328"/>
      <c r="N521" s="1405">
        <f t="shared" ref="N521" si="69">ROUND((I517+I518+I519+I520+I521)/10000,0)</f>
        <v>1442</v>
      </c>
    </row>
    <row r="522" spans="1:14">
      <c r="A522" s="3099" t="s">
        <v>4193</v>
      </c>
      <c r="B522" s="3329">
        <v>105</v>
      </c>
      <c r="C522" s="3096" t="s">
        <v>3209</v>
      </c>
      <c r="D522" s="3097" t="s">
        <v>4100</v>
      </c>
      <c r="E522" s="3097" t="s">
        <v>3224</v>
      </c>
      <c r="F522" s="3097" t="s">
        <v>4109</v>
      </c>
      <c r="G522" s="3097" t="s">
        <v>4110</v>
      </c>
      <c r="H522" s="3097">
        <v>135.70000000000002</v>
      </c>
      <c r="I522" s="3097">
        <v>7857283.7599999998</v>
      </c>
      <c r="J522" s="3075">
        <f>ROUND(I522/H522,0)</f>
        <v>57902</v>
      </c>
      <c r="K522" s="3328"/>
      <c r="L522" s="3328"/>
      <c r="M522" s="3328"/>
    </row>
    <row r="523" spans="1:14" ht="27">
      <c r="A523" s="3099" t="s">
        <v>4193</v>
      </c>
      <c r="B523" s="3329"/>
      <c r="C523" s="3096" t="s">
        <v>4180</v>
      </c>
      <c r="D523" s="3097" t="s">
        <v>4100</v>
      </c>
      <c r="E523" s="3098" t="s">
        <v>3227</v>
      </c>
      <c r="F523" s="3097" t="s">
        <v>4109</v>
      </c>
      <c r="G523" s="3097" t="s">
        <v>4111</v>
      </c>
      <c r="H523" s="3097">
        <v>85.49</v>
      </c>
      <c r="I523" s="3097">
        <v>2548361.15</v>
      </c>
      <c r="J523" s="3075">
        <f t="shared" si="67"/>
        <v>29809</v>
      </c>
      <c r="K523" s="3328"/>
      <c r="L523" s="3328"/>
      <c r="M523" s="3328"/>
    </row>
    <row r="524" spans="1:14">
      <c r="A524" s="3099" t="s">
        <v>4193</v>
      </c>
      <c r="B524" s="3329"/>
      <c r="C524" s="3096" t="s">
        <v>4180</v>
      </c>
      <c r="D524" s="3097" t="s">
        <v>4100</v>
      </c>
      <c r="E524" s="3097" t="s">
        <v>3229</v>
      </c>
      <c r="F524" s="3097" t="s">
        <v>4112</v>
      </c>
      <c r="G524" s="3097" t="s">
        <v>4112</v>
      </c>
      <c r="H524" s="3097">
        <v>84.66</v>
      </c>
      <c r="I524" s="3097">
        <v>2529608.63</v>
      </c>
      <c r="J524" s="3075">
        <f t="shared" si="67"/>
        <v>29880</v>
      </c>
      <c r="K524" s="3328"/>
      <c r="L524" s="3328"/>
      <c r="M524" s="3328"/>
    </row>
    <row r="525" spans="1:14">
      <c r="A525" s="3099" t="s">
        <v>4193</v>
      </c>
      <c r="B525" s="3329"/>
      <c r="C525" s="3096" t="s">
        <v>3218</v>
      </c>
      <c r="D525" s="3097" t="s">
        <v>3219</v>
      </c>
      <c r="E525" s="3097" t="s">
        <v>4113</v>
      </c>
      <c r="F525" s="3097" t="s">
        <v>4114</v>
      </c>
      <c r="G525" s="3097" t="s">
        <v>4114</v>
      </c>
      <c r="H525" s="3097">
        <v>45.64</v>
      </c>
      <c r="I525" s="3097">
        <v>420000.27</v>
      </c>
      <c r="J525" s="3075">
        <f t="shared" si="67"/>
        <v>9202</v>
      </c>
      <c r="K525" s="3328"/>
      <c r="L525" s="3328"/>
      <c r="M525" s="3328"/>
    </row>
    <row r="526" spans="1:14">
      <c r="A526" s="3099" t="s">
        <v>4193</v>
      </c>
      <c r="B526" s="3329"/>
      <c r="C526" s="3096" t="s">
        <v>3218</v>
      </c>
      <c r="D526" s="3097" t="s">
        <v>3219</v>
      </c>
      <c r="E526" s="3097" t="s">
        <v>4115</v>
      </c>
      <c r="F526" s="3097" t="s">
        <v>4116</v>
      </c>
      <c r="G526" s="3097" t="s">
        <v>4116</v>
      </c>
      <c r="H526" s="3097">
        <v>45.64</v>
      </c>
      <c r="I526" s="3097">
        <v>420000.27</v>
      </c>
      <c r="J526" s="3075">
        <f t="shared" si="67"/>
        <v>9202</v>
      </c>
      <c r="K526" s="3328"/>
      <c r="L526" s="3328"/>
      <c r="M526" s="3328"/>
      <c r="N526" s="1405">
        <f t="shared" si="66"/>
        <v>1378</v>
      </c>
    </row>
    <row r="527" spans="1:14">
      <c r="A527" s="3099" t="s">
        <v>4193</v>
      </c>
      <c r="B527" s="3329">
        <v>106</v>
      </c>
      <c r="C527" s="3096" t="s">
        <v>3209</v>
      </c>
      <c r="D527" s="3097" t="s">
        <v>4117</v>
      </c>
      <c r="E527" s="3097" t="s">
        <v>3224</v>
      </c>
      <c r="F527" s="3097" t="s">
        <v>4118</v>
      </c>
      <c r="G527" s="3097" t="s">
        <v>4119</v>
      </c>
      <c r="H527" s="3097">
        <v>135.68</v>
      </c>
      <c r="I527" s="3097">
        <v>7737013.6100000003</v>
      </c>
      <c r="J527" s="3075">
        <f>ROUND(I527/H527,0)</f>
        <v>57024</v>
      </c>
      <c r="K527" s="3328">
        <v>82</v>
      </c>
      <c r="L527" s="3328">
        <v>4</v>
      </c>
      <c r="M527" s="3328">
        <v>2</v>
      </c>
    </row>
    <row r="528" spans="1:14" ht="27">
      <c r="A528" s="3099" t="s">
        <v>4193</v>
      </c>
      <c r="B528" s="3329"/>
      <c r="C528" s="3096" t="s">
        <v>4180</v>
      </c>
      <c r="D528" s="3097" t="s">
        <v>4117</v>
      </c>
      <c r="E528" s="3098" t="s">
        <v>3227</v>
      </c>
      <c r="F528" s="3097" t="s">
        <v>4118</v>
      </c>
      <c r="G528" s="3097" t="s">
        <v>4120</v>
      </c>
      <c r="H528" s="3097">
        <v>85.47</v>
      </c>
      <c r="I528" s="3097">
        <v>2547743.61</v>
      </c>
      <c r="J528" s="3075">
        <f t="shared" si="67"/>
        <v>29809</v>
      </c>
      <c r="K528" s="3328"/>
      <c r="L528" s="3328"/>
      <c r="M528" s="3328"/>
    </row>
    <row r="529" spans="1:14">
      <c r="A529" s="3099" t="s">
        <v>4193</v>
      </c>
      <c r="B529" s="3329"/>
      <c r="C529" s="3096" t="s">
        <v>4180</v>
      </c>
      <c r="D529" s="3097" t="s">
        <v>4117</v>
      </c>
      <c r="E529" s="3097" t="s">
        <v>3229</v>
      </c>
      <c r="F529" s="3097" t="s">
        <v>4121</v>
      </c>
      <c r="G529" s="3097" t="s">
        <v>4121</v>
      </c>
      <c r="H529" s="3097">
        <v>84.65</v>
      </c>
      <c r="I529" s="3097">
        <v>2529608.65</v>
      </c>
      <c r="J529" s="3075">
        <f t="shared" si="67"/>
        <v>29883</v>
      </c>
      <c r="K529" s="3328"/>
      <c r="L529" s="3328"/>
      <c r="M529" s="3328"/>
    </row>
    <row r="530" spans="1:14">
      <c r="A530" s="3099" t="s">
        <v>4193</v>
      </c>
      <c r="B530" s="3329"/>
      <c r="C530" s="3096" t="s">
        <v>3218</v>
      </c>
      <c r="D530" s="3097" t="s">
        <v>3219</v>
      </c>
      <c r="E530" s="3097" t="s">
        <v>4122</v>
      </c>
      <c r="F530" s="3097" t="s">
        <v>4123</v>
      </c>
      <c r="G530" s="3097" t="s">
        <v>4123</v>
      </c>
      <c r="H530" s="3097">
        <v>45.64</v>
      </c>
      <c r="I530" s="3097">
        <v>420000.27</v>
      </c>
      <c r="J530" s="3075">
        <f t="shared" si="67"/>
        <v>9202</v>
      </c>
      <c r="K530" s="3328"/>
      <c r="L530" s="3328"/>
      <c r="M530" s="3328"/>
    </row>
    <row r="531" spans="1:14">
      <c r="A531" s="3099" t="s">
        <v>4193</v>
      </c>
      <c r="B531" s="3329"/>
      <c r="C531" s="3096" t="s">
        <v>3218</v>
      </c>
      <c r="D531" s="3097" t="s">
        <v>3219</v>
      </c>
      <c r="E531" s="3097" t="s">
        <v>4124</v>
      </c>
      <c r="F531" s="3097" t="s">
        <v>4125</v>
      </c>
      <c r="G531" s="3097" t="s">
        <v>4125</v>
      </c>
      <c r="H531" s="3097">
        <v>45.64</v>
      </c>
      <c r="I531" s="3097">
        <v>420000.27</v>
      </c>
      <c r="J531" s="3075">
        <f t="shared" si="67"/>
        <v>9202</v>
      </c>
      <c r="K531" s="3328"/>
      <c r="L531" s="3328"/>
      <c r="M531" s="3328"/>
      <c r="N531" s="1405">
        <f t="shared" ref="N531" si="70">ROUND((I527+I528+I529+I530+I531)/10000,0)</f>
        <v>1365</v>
      </c>
    </row>
    <row r="532" spans="1:14">
      <c r="A532" s="3099" t="s">
        <v>4193</v>
      </c>
      <c r="B532" s="3329">
        <v>107</v>
      </c>
      <c r="C532" s="3096" t="s">
        <v>3209</v>
      </c>
      <c r="D532" s="3097" t="s">
        <v>4117</v>
      </c>
      <c r="E532" s="3097" t="s">
        <v>3235</v>
      </c>
      <c r="F532" s="3097" t="s">
        <v>4126</v>
      </c>
      <c r="G532" s="3097" t="s">
        <v>4127</v>
      </c>
      <c r="H532" s="3097">
        <v>135.33000000000001</v>
      </c>
      <c r="I532" s="3097">
        <v>8539818.4199999999</v>
      </c>
      <c r="J532" s="3075">
        <f>ROUND(I532/H532,0)</f>
        <v>63104</v>
      </c>
      <c r="K532" s="3328"/>
      <c r="L532" s="3328"/>
      <c r="M532" s="3328"/>
    </row>
    <row r="533" spans="1:14" ht="27">
      <c r="A533" s="3099" t="s">
        <v>4193</v>
      </c>
      <c r="B533" s="3329"/>
      <c r="C533" s="3096" t="s">
        <v>4180</v>
      </c>
      <c r="D533" s="3097" t="s">
        <v>4117</v>
      </c>
      <c r="E533" s="3098" t="s">
        <v>3238</v>
      </c>
      <c r="F533" s="3097" t="s">
        <v>4126</v>
      </c>
      <c r="G533" s="3097" t="s">
        <v>4128</v>
      </c>
      <c r="H533" s="3097">
        <v>85.06</v>
      </c>
      <c r="I533" s="3097">
        <v>2535120.58</v>
      </c>
      <c r="J533" s="3075">
        <f t="shared" si="67"/>
        <v>29804</v>
      </c>
      <c r="K533" s="3328"/>
      <c r="L533" s="3328"/>
      <c r="M533" s="3328"/>
    </row>
    <row r="534" spans="1:14">
      <c r="A534" s="3099" t="s">
        <v>4193</v>
      </c>
      <c r="B534" s="3329"/>
      <c r="C534" s="3096" t="s">
        <v>4180</v>
      </c>
      <c r="D534" s="3097" t="s">
        <v>4117</v>
      </c>
      <c r="E534" s="3097" t="s">
        <v>3240</v>
      </c>
      <c r="F534" s="3097" t="s">
        <v>4129</v>
      </c>
      <c r="G534" s="3097" t="s">
        <v>4129</v>
      </c>
      <c r="H534" s="3097">
        <v>83.92</v>
      </c>
      <c r="I534" s="3097">
        <v>2507997.0299999998</v>
      </c>
      <c r="J534" s="3075">
        <f t="shared" si="67"/>
        <v>29886</v>
      </c>
      <c r="K534" s="3328"/>
      <c r="L534" s="3328"/>
      <c r="M534" s="3328"/>
    </row>
    <row r="535" spans="1:14">
      <c r="A535" s="3099" t="s">
        <v>4193</v>
      </c>
      <c r="B535" s="3329"/>
      <c r="C535" s="3096" t="s">
        <v>3218</v>
      </c>
      <c r="D535" s="3097" t="s">
        <v>3219</v>
      </c>
      <c r="E535" s="3097" t="s">
        <v>4130</v>
      </c>
      <c r="F535" s="3097" t="s">
        <v>4131</v>
      </c>
      <c r="G535" s="3097" t="s">
        <v>4131</v>
      </c>
      <c r="H535" s="3097">
        <v>45.64</v>
      </c>
      <c r="I535" s="3097">
        <v>420000.27</v>
      </c>
      <c r="J535" s="3075">
        <f t="shared" si="67"/>
        <v>9202</v>
      </c>
      <c r="K535" s="3328"/>
      <c r="L535" s="3328"/>
      <c r="M535" s="3328"/>
    </row>
    <row r="536" spans="1:14">
      <c r="A536" s="3099" t="s">
        <v>4193</v>
      </c>
      <c r="B536" s="3329"/>
      <c r="C536" s="3096" t="s">
        <v>3218</v>
      </c>
      <c r="D536" s="3097" t="s">
        <v>3219</v>
      </c>
      <c r="E536" s="3097" t="s">
        <v>4132</v>
      </c>
      <c r="F536" s="3097" t="s">
        <v>4133</v>
      </c>
      <c r="G536" s="3097" t="s">
        <v>4133</v>
      </c>
      <c r="H536" s="3097">
        <v>45.64</v>
      </c>
      <c r="I536" s="3097">
        <v>420000.27</v>
      </c>
      <c r="J536" s="3075">
        <f t="shared" si="67"/>
        <v>9202</v>
      </c>
      <c r="K536" s="3328"/>
      <c r="L536" s="3328"/>
      <c r="M536" s="3328"/>
      <c r="N536" s="1405">
        <f t="shared" si="66"/>
        <v>1442</v>
      </c>
    </row>
    <row r="537" spans="1:14">
      <c r="A537" s="3099" t="s">
        <v>4193</v>
      </c>
      <c r="B537" s="3329">
        <v>108</v>
      </c>
      <c r="C537" s="3096" t="s">
        <v>3209</v>
      </c>
      <c r="D537" s="3097" t="s">
        <v>4134</v>
      </c>
      <c r="E537" s="3097" t="s">
        <v>3426</v>
      </c>
      <c r="F537" s="3097" t="s">
        <v>4135</v>
      </c>
      <c r="G537" s="3097" t="s">
        <v>4136</v>
      </c>
      <c r="H537" s="3097">
        <v>134.76</v>
      </c>
      <c r="I537" s="3097">
        <v>8515084.1600000001</v>
      </c>
      <c r="J537" s="3075">
        <f>ROUND(I537/H537,0)</f>
        <v>63187</v>
      </c>
      <c r="K537" s="3328">
        <v>83</v>
      </c>
      <c r="L537" s="3328">
        <v>6</v>
      </c>
      <c r="M537" s="3328">
        <v>5</v>
      </c>
    </row>
    <row r="538" spans="1:14" ht="27">
      <c r="A538" s="3099" t="s">
        <v>4193</v>
      </c>
      <c r="B538" s="3329"/>
      <c r="C538" s="3096" t="s">
        <v>4180</v>
      </c>
      <c r="D538" s="3097" t="s">
        <v>4134</v>
      </c>
      <c r="E538" s="3098" t="s">
        <v>3429</v>
      </c>
      <c r="F538" s="3097" t="s">
        <v>4135</v>
      </c>
      <c r="G538" s="3097" t="s">
        <v>4137</v>
      </c>
      <c r="H538" s="3097">
        <v>84.69</v>
      </c>
      <c r="I538" s="3097">
        <v>2527930.44</v>
      </c>
      <c r="J538" s="3075">
        <f t="shared" si="67"/>
        <v>29849</v>
      </c>
      <c r="K538" s="3328"/>
      <c r="L538" s="3328"/>
      <c r="M538" s="3328"/>
    </row>
    <row r="539" spans="1:14">
      <c r="A539" s="3099" t="s">
        <v>4193</v>
      </c>
      <c r="B539" s="3329"/>
      <c r="C539" s="3096" t="s">
        <v>4180</v>
      </c>
      <c r="D539" s="3097" t="s">
        <v>4134</v>
      </c>
      <c r="E539" s="3097" t="s">
        <v>3431</v>
      </c>
      <c r="F539" s="3097" t="s">
        <v>4138</v>
      </c>
      <c r="G539" s="3097" t="s">
        <v>4138</v>
      </c>
      <c r="H539" s="3097">
        <v>83.46</v>
      </c>
      <c r="I539" s="3097">
        <v>2503200.7599999998</v>
      </c>
      <c r="J539" s="3075">
        <f t="shared" si="67"/>
        <v>29993</v>
      </c>
      <c r="K539" s="3328"/>
      <c r="L539" s="3328"/>
      <c r="M539" s="3328"/>
    </row>
    <row r="540" spans="1:14">
      <c r="A540" s="3099" t="s">
        <v>4193</v>
      </c>
      <c r="B540" s="3329"/>
      <c r="C540" s="3096" t="s">
        <v>3218</v>
      </c>
      <c r="D540" s="3097" t="s">
        <v>3219</v>
      </c>
      <c r="E540" s="3097" t="s">
        <v>4139</v>
      </c>
      <c r="F540" s="3097" t="s">
        <v>4140</v>
      </c>
      <c r="G540" s="3097" t="s">
        <v>4140</v>
      </c>
      <c r="H540" s="3097">
        <v>45.64</v>
      </c>
      <c r="I540" s="3097">
        <v>420000.27</v>
      </c>
      <c r="J540" s="3075">
        <f t="shared" si="67"/>
        <v>9202</v>
      </c>
      <c r="K540" s="3328"/>
      <c r="L540" s="3328"/>
      <c r="M540" s="3328"/>
    </row>
    <row r="541" spans="1:14">
      <c r="A541" s="3099" t="s">
        <v>4193</v>
      </c>
      <c r="B541" s="3329"/>
      <c r="C541" s="3096" t="s">
        <v>3218</v>
      </c>
      <c r="D541" s="3097" t="s">
        <v>3219</v>
      </c>
      <c r="E541" s="3097" t="s">
        <v>4141</v>
      </c>
      <c r="F541" s="3097" t="s">
        <v>4142</v>
      </c>
      <c r="G541" s="3097" t="s">
        <v>4142</v>
      </c>
      <c r="H541" s="3097">
        <v>45.64</v>
      </c>
      <c r="I541" s="3097">
        <v>420000.27</v>
      </c>
      <c r="J541" s="3075">
        <f t="shared" si="67"/>
        <v>9202</v>
      </c>
      <c r="K541" s="3328"/>
      <c r="L541" s="3328"/>
      <c r="M541" s="3328"/>
      <c r="N541" s="1405">
        <f t="shared" ref="N541" si="71">ROUND((I537+I538+I539+I540+I541)/10000,0)</f>
        <v>1439</v>
      </c>
    </row>
    <row r="542" spans="1:14">
      <c r="A542" s="3099" t="s">
        <v>4193</v>
      </c>
      <c r="B542" s="3329">
        <v>109</v>
      </c>
      <c r="C542" s="3096" t="s">
        <v>3209</v>
      </c>
      <c r="D542" s="3097" t="s">
        <v>4134</v>
      </c>
      <c r="E542" s="3097" t="s">
        <v>3224</v>
      </c>
      <c r="F542" s="3097" t="s">
        <v>4143</v>
      </c>
      <c r="G542" s="3097" t="s">
        <v>4144</v>
      </c>
      <c r="H542" s="3097">
        <v>135.10000000000002</v>
      </c>
      <c r="I542" s="3097">
        <v>7715154.3499999996</v>
      </c>
      <c r="J542" s="3075">
        <f>ROUND(I542/H542,0)</f>
        <v>57107</v>
      </c>
      <c r="K542" s="3328"/>
      <c r="L542" s="3328"/>
      <c r="M542" s="3328"/>
    </row>
    <row r="543" spans="1:14" ht="27">
      <c r="A543" s="3099" t="s">
        <v>4193</v>
      </c>
      <c r="B543" s="3329"/>
      <c r="C543" s="3096" t="s">
        <v>4180</v>
      </c>
      <c r="D543" s="3097" t="s">
        <v>4134</v>
      </c>
      <c r="E543" s="3098" t="s">
        <v>3227</v>
      </c>
      <c r="F543" s="3097" t="s">
        <v>4143</v>
      </c>
      <c r="G543" s="3097" t="s">
        <v>4145</v>
      </c>
      <c r="H543" s="3097">
        <v>85.11</v>
      </c>
      <c r="I543" s="3097">
        <v>2540272.21</v>
      </c>
      <c r="J543" s="3075">
        <f t="shared" si="67"/>
        <v>29847</v>
      </c>
      <c r="K543" s="3328"/>
      <c r="L543" s="3328"/>
      <c r="M543" s="3328"/>
    </row>
    <row r="544" spans="1:14">
      <c r="A544" s="3099" t="s">
        <v>4193</v>
      </c>
      <c r="B544" s="3329"/>
      <c r="C544" s="3096" t="s">
        <v>4180</v>
      </c>
      <c r="D544" s="3097" t="s">
        <v>4134</v>
      </c>
      <c r="E544" s="3097" t="s">
        <v>3229</v>
      </c>
      <c r="F544" s="3097" t="s">
        <v>4146</v>
      </c>
      <c r="G544" s="3097" t="s">
        <v>4146</v>
      </c>
      <c r="H544" s="3097">
        <v>84.18</v>
      </c>
      <c r="I544" s="3097">
        <v>2524807.66</v>
      </c>
      <c r="J544" s="3075">
        <f t="shared" si="67"/>
        <v>29993</v>
      </c>
      <c r="K544" s="3328"/>
      <c r="L544" s="3328"/>
      <c r="M544" s="3328"/>
    </row>
    <row r="545" spans="1:14">
      <c r="A545" s="3099" t="s">
        <v>4193</v>
      </c>
      <c r="B545" s="3329"/>
      <c r="C545" s="3096" t="s">
        <v>3218</v>
      </c>
      <c r="D545" s="3097" t="s">
        <v>3219</v>
      </c>
      <c r="E545" s="3097" t="s">
        <v>4147</v>
      </c>
      <c r="F545" s="3097" t="s">
        <v>4148</v>
      </c>
      <c r="G545" s="3097" t="s">
        <v>4148</v>
      </c>
      <c r="H545" s="3097">
        <v>45.64</v>
      </c>
      <c r="I545" s="3097">
        <v>420000.27</v>
      </c>
      <c r="J545" s="3075">
        <f t="shared" si="67"/>
        <v>9202</v>
      </c>
      <c r="K545" s="3328"/>
      <c r="L545" s="3328"/>
      <c r="M545" s="3328"/>
    </row>
    <row r="546" spans="1:14">
      <c r="A546" s="3099" t="s">
        <v>4193</v>
      </c>
      <c r="B546" s="3329"/>
      <c r="C546" s="3096" t="s">
        <v>3218</v>
      </c>
      <c r="D546" s="3097" t="s">
        <v>3219</v>
      </c>
      <c r="E546" s="3097" t="s">
        <v>4149</v>
      </c>
      <c r="F546" s="3097" t="s">
        <v>4150</v>
      </c>
      <c r="G546" s="3097" t="s">
        <v>4150</v>
      </c>
      <c r="H546" s="3097">
        <v>45.64</v>
      </c>
      <c r="I546" s="3097">
        <v>420000.27</v>
      </c>
      <c r="J546" s="3075">
        <f t="shared" si="67"/>
        <v>9202</v>
      </c>
      <c r="K546" s="3328"/>
      <c r="L546" s="3328"/>
      <c r="M546" s="3328"/>
      <c r="N546" s="1405">
        <f t="shared" si="66"/>
        <v>1362</v>
      </c>
    </row>
    <row r="547" spans="1:14">
      <c r="A547" s="3099" t="s">
        <v>4193</v>
      </c>
      <c r="B547" s="3329">
        <v>110</v>
      </c>
      <c r="C547" s="3096" t="s">
        <v>3209</v>
      </c>
      <c r="D547" s="3097" t="s">
        <v>4134</v>
      </c>
      <c r="E547" s="3097" t="s">
        <v>3388</v>
      </c>
      <c r="F547" s="3097" t="s">
        <v>4151</v>
      </c>
      <c r="G547" s="3097" t="s">
        <v>4152</v>
      </c>
      <c r="H547" s="3097">
        <v>134.76</v>
      </c>
      <c r="I547" s="3097">
        <v>8515084.1600000001</v>
      </c>
      <c r="J547" s="3075">
        <f>ROUND(I547/H547,0)</f>
        <v>63187</v>
      </c>
      <c r="K547" s="3328"/>
      <c r="L547" s="3328"/>
      <c r="M547" s="3328"/>
    </row>
    <row r="548" spans="1:14" ht="27">
      <c r="A548" s="3099" t="s">
        <v>4193</v>
      </c>
      <c r="B548" s="3329"/>
      <c r="C548" s="3096" t="s">
        <v>4180</v>
      </c>
      <c r="D548" s="3097" t="s">
        <v>4134</v>
      </c>
      <c r="E548" s="3098" t="s">
        <v>3391</v>
      </c>
      <c r="F548" s="3097" t="s">
        <v>4151</v>
      </c>
      <c r="G548" s="3097" t="s">
        <v>4153</v>
      </c>
      <c r="H548" s="3097">
        <v>84.69</v>
      </c>
      <c r="I548" s="3097">
        <v>2527930.44</v>
      </c>
      <c r="J548" s="3075">
        <f t="shared" si="67"/>
        <v>29849</v>
      </c>
      <c r="K548" s="3328"/>
      <c r="L548" s="3328"/>
      <c r="M548" s="3328"/>
    </row>
    <row r="549" spans="1:14">
      <c r="A549" s="3099" t="s">
        <v>4193</v>
      </c>
      <c r="B549" s="3329"/>
      <c r="C549" s="3096" t="s">
        <v>4180</v>
      </c>
      <c r="D549" s="3097" t="s">
        <v>4134</v>
      </c>
      <c r="E549" s="3097" t="s">
        <v>3393</v>
      </c>
      <c r="F549" s="3097" t="s">
        <v>4154</v>
      </c>
      <c r="G549" s="3097" t="s">
        <v>4154</v>
      </c>
      <c r="H549" s="3097">
        <v>83.46</v>
      </c>
      <c r="I549" s="3097">
        <v>2503200.7599999998</v>
      </c>
      <c r="J549" s="3075">
        <f t="shared" si="67"/>
        <v>29993</v>
      </c>
      <c r="K549" s="3328"/>
      <c r="L549" s="3328"/>
      <c r="M549" s="3328"/>
    </row>
    <row r="550" spans="1:14">
      <c r="A550" s="3099" t="s">
        <v>4193</v>
      </c>
      <c r="B550" s="3329"/>
      <c r="C550" s="3096" t="s">
        <v>3218</v>
      </c>
      <c r="D550" s="3097" t="s">
        <v>3219</v>
      </c>
      <c r="E550" s="3097" t="s">
        <v>4155</v>
      </c>
      <c r="F550" s="3097" t="s">
        <v>4156</v>
      </c>
      <c r="G550" s="3097" t="s">
        <v>4156</v>
      </c>
      <c r="H550" s="3097">
        <v>45.64</v>
      </c>
      <c r="I550" s="3097">
        <v>420000.27</v>
      </c>
      <c r="J550" s="3075">
        <f t="shared" si="67"/>
        <v>9202</v>
      </c>
      <c r="K550" s="3328"/>
      <c r="L550" s="3328"/>
      <c r="M550" s="3328"/>
    </row>
    <row r="551" spans="1:14">
      <c r="A551" s="3099" t="s">
        <v>4193</v>
      </c>
      <c r="B551" s="3329"/>
      <c r="C551" s="3096" t="s">
        <v>3218</v>
      </c>
      <c r="D551" s="3097" t="s">
        <v>3219</v>
      </c>
      <c r="E551" s="3097" t="s">
        <v>4157</v>
      </c>
      <c r="F551" s="3097" t="s">
        <v>4158</v>
      </c>
      <c r="G551" s="3097" t="s">
        <v>4158</v>
      </c>
      <c r="H551" s="3097">
        <v>45.64</v>
      </c>
      <c r="I551" s="3097">
        <v>420000.27</v>
      </c>
      <c r="J551" s="3075">
        <f t="shared" si="67"/>
        <v>9202</v>
      </c>
      <c r="K551" s="3328"/>
      <c r="L551" s="3328"/>
      <c r="M551" s="3328"/>
      <c r="N551" s="1405">
        <f t="shared" ref="N551" si="72">ROUND((I547+I548+I549+I550+I551)/10000,0)</f>
        <v>1439</v>
      </c>
    </row>
    <row r="552" spans="1:14">
      <c r="A552" s="3099" t="s">
        <v>4193</v>
      </c>
      <c r="B552" s="3329">
        <v>111</v>
      </c>
      <c r="C552" s="3096" t="s">
        <v>3209</v>
      </c>
      <c r="D552" s="3097" t="s">
        <v>4134</v>
      </c>
      <c r="E552" s="3097" t="s">
        <v>3235</v>
      </c>
      <c r="F552" s="3097" t="s">
        <v>4159</v>
      </c>
      <c r="G552" s="3097" t="s">
        <v>4160</v>
      </c>
      <c r="H552" s="3097">
        <v>134.91</v>
      </c>
      <c r="I552" s="3097">
        <v>7782538.3300000001</v>
      </c>
      <c r="J552" s="3075">
        <f>ROUND(I552/H552,0)</f>
        <v>57687</v>
      </c>
      <c r="K552" s="3328"/>
      <c r="L552" s="3328"/>
      <c r="M552" s="3328"/>
    </row>
    <row r="553" spans="1:14" ht="27">
      <c r="A553" s="3099" t="s">
        <v>4193</v>
      </c>
      <c r="B553" s="3329"/>
      <c r="C553" s="3096" t="s">
        <v>4180</v>
      </c>
      <c r="D553" s="3097" t="s">
        <v>4134</v>
      </c>
      <c r="E553" s="3098" t="s">
        <v>3238</v>
      </c>
      <c r="F553" s="3097" t="s">
        <v>4159</v>
      </c>
      <c r="G553" s="3097" t="s">
        <v>4161</v>
      </c>
      <c r="H553" s="3097">
        <v>84.83</v>
      </c>
      <c r="I553" s="3097">
        <v>2532167.02</v>
      </c>
      <c r="J553" s="3075">
        <f t="shared" si="67"/>
        <v>29850</v>
      </c>
      <c r="K553" s="3328"/>
      <c r="L553" s="3328"/>
      <c r="M553" s="3328"/>
    </row>
    <row r="554" spans="1:14">
      <c r="A554" s="3099" t="s">
        <v>4193</v>
      </c>
      <c r="B554" s="3329"/>
      <c r="C554" s="3096" t="s">
        <v>4180</v>
      </c>
      <c r="D554" s="3097" t="s">
        <v>4134</v>
      </c>
      <c r="E554" s="3097" t="s">
        <v>3240</v>
      </c>
      <c r="F554" s="3097" t="s">
        <v>4162</v>
      </c>
      <c r="G554" s="3097" t="s">
        <v>4162</v>
      </c>
      <c r="H554" s="3097">
        <v>84.18</v>
      </c>
      <c r="I554" s="3097">
        <v>2524807.66</v>
      </c>
      <c r="J554" s="3075">
        <f t="shared" si="67"/>
        <v>29993</v>
      </c>
      <c r="K554" s="3328"/>
      <c r="L554" s="3328"/>
      <c r="M554" s="3328"/>
    </row>
    <row r="555" spans="1:14">
      <c r="A555" s="3099" t="s">
        <v>4193</v>
      </c>
      <c r="B555" s="3329"/>
      <c r="C555" s="3096" t="s">
        <v>3218</v>
      </c>
      <c r="D555" s="3097" t="s">
        <v>3219</v>
      </c>
      <c r="E555" s="3097" t="s">
        <v>4163</v>
      </c>
      <c r="F555" s="3097" t="s">
        <v>4164</v>
      </c>
      <c r="G555" s="3097" t="s">
        <v>4164</v>
      </c>
      <c r="H555" s="3097">
        <v>45.64</v>
      </c>
      <c r="I555" s="3097">
        <v>420000.27</v>
      </c>
      <c r="J555" s="3075">
        <f t="shared" si="67"/>
        <v>9202</v>
      </c>
      <c r="K555" s="3328"/>
      <c r="L555" s="3328"/>
      <c r="M555" s="3328"/>
    </row>
    <row r="556" spans="1:14">
      <c r="A556" s="3099" t="s">
        <v>4193</v>
      </c>
      <c r="B556" s="3329"/>
      <c r="C556" s="3096" t="s">
        <v>3218</v>
      </c>
      <c r="D556" s="3097" t="s">
        <v>3219</v>
      </c>
      <c r="E556" s="3097" t="s">
        <v>4165</v>
      </c>
      <c r="F556" s="3097" t="s">
        <v>4166</v>
      </c>
      <c r="G556" s="3097" t="s">
        <v>4166</v>
      </c>
      <c r="H556" s="3097">
        <v>45.64</v>
      </c>
      <c r="I556" s="3097">
        <v>420000.27</v>
      </c>
      <c r="J556" s="3075">
        <f t="shared" si="67"/>
        <v>9202</v>
      </c>
      <c r="K556" s="3328"/>
      <c r="L556" s="3328"/>
      <c r="M556" s="3328"/>
      <c r="N556" s="1405">
        <f t="shared" si="66"/>
        <v>1368</v>
      </c>
    </row>
    <row r="557" spans="1:14">
      <c r="A557" s="3099" t="s">
        <v>4193</v>
      </c>
      <c r="B557" s="3329">
        <v>112</v>
      </c>
      <c r="C557" s="3096" t="s">
        <v>3209</v>
      </c>
      <c r="D557" s="3097" t="s">
        <v>4134</v>
      </c>
      <c r="E557" s="3097" t="s">
        <v>3247</v>
      </c>
      <c r="F557" s="3097" t="s">
        <v>4167</v>
      </c>
      <c r="G557" s="3097" t="s">
        <v>4168</v>
      </c>
      <c r="H557" s="3097">
        <v>135.10000000000002</v>
      </c>
      <c r="I557" s="3097">
        <v>7715154.3499999996</v>
      </c>
      <c r="J557" s="3075">
        <f>ROUND(I557/H557,0)</f>
        <v>57107</v>
      </c>
      <c r="K557" s="3328"/>
      <c r="L557" s="3328"/>
      <c r="M557" s="3328"/>
    </row>
    <row r="558" spans="1:14" ht="24">
      <c r="A558" s="3099" t="s">
        <v>4193</v>
      </c>
      <c r="B558" s="3329"/>
      <c r="C558" s="3096" t="s">
        <v>4180</v>
      </c>
      <c r="D558" s="3097" t="s">
        <v>4134</v>
      </c>
      <c r="E558" s="3097" t="s">
        <v>3250</v>
      </c>
      <c r="F558" s="3097" t="s">
        <v>4167</v>
      </c>
      <c r="G558" s="3097" t="s">
        <v>4169</v>
      </c>
      <c r="H558" s="3097">
        <v>85.11</v>
      </c>
      <c r="I558" s="3097">
        <v>2540272.21</v>
      </c>
      <c r="J558" s="3075">
        <f t="shared" si="67"/>
        <v>29847</v>
      </c>
      <c r="K558" s="3328"/>
      <c r="L558" s="3328"/>
      <c r="M558" s="3328"/>
    </row>
    <row r="559" spans="1:14">
      <c r="A559" s="3099" t="s">
        <v>4193</v>
      </c>
      <c r="B559" s="3329"/>
      <c r="C559" s="3096" t="s">
        <v>4180</v>
      </c>
      <c r="D559" s="3097" t="s">
        <v>4134</v>
      </c>
      <c r="E559" s="3097" t="s">
        <v>3252</v>
      </c>
      <c r="F559" s="3097" t="s">
        <v>4170</v>
      </c>
      <c r="G559" s="3097" t="s">
        <v>4170</v>
      </c>
      <c r="H559" s="3097">
        <v>84.18</v>
      </c>
      <c r="I559" s="3097">
        <v>2524807.66</v>
      </c>
      <c r="J559" s="3075">
        <f t="shared" si="67"/>
        <v>29993</v>
      </c>
      <c r="K559" s="3328"/>
      <c r="L559" s="3328"/>
      <c r="M559" s="3328"/>
    </row>
    <row r="560" spans="1:14">
      <c r="A560" s="3099" t="s">
        <v>4193</v>
      </c>
      <c r="B560" s="3329"/>
      <c r="C560" s="3096" t="s">
        <v>3218</v>
      </c>
      <c r="D560" s="3097" t="s">
        <v>3219</v>
      </c>
      <c r="E560" s="3097">
        <v>821</v>
      </c>
      <c r="F560" s="3097" t="s">
        <v>4171</v>
      </c>
      <c r="G560" s="3097" t="s">
        <v>4171</v>
      </c>
      <c r="H560" s="3097">
        <v>45.64</v>
      </c>
      <c r="I560" s="3097">
        <v>420000.27</v>
      </c>
      <c r="J560" s="3075">
        <f t="shared" si="67"/>
        <v>9202</v>
      </c>
      <c r="K560" s="3328"/>
      <c r="L560" s="3328"/>
      <c r="M560" s="3328"/>
    </row>
    <row r="561" spans="1:14">
      <c r="A561" s="3099" t="s">
        <v>4193</v>
      </c>
      <c r="B561" s="3329"/>
      <c r="C561" s="3096" t="s">
        <v>3218</v>
      </c>
      <c r="D561" s="3097" t="s">
        <v>3219</v>
      </c>
      <c r="E561" s="3097" t="s">
        <v>4172</v>
      </c>
      <c r="F561" s="3097" t="s">
        <v>4173</v>
      </c>
      <c r="G561" s="3097" t="s">
        <v>4173</v>
      </c>
      <c r="H561" s="3097">
        <v>45.64</v>
      </c>
      <c r="I561" s="3097">
        <v>420000.27</v>
      </c>
      <c r="J561" s="3075">
        <f t="shared" si="67"/>
        <v>9202</v>
      </c>
      <c r="K561" s="3328"/>
      <c r="L561" s="3328"/>
      <c r="M561" s="3328"/>
      <c r="N561" s="1405">
        <f t="shared" ref="N561" si="73">ROUND((I557+I558+I559+I560+I561)/10000,0)</f>
        <v>1362</v>
      </c>
    </row>
    <row r="562" spans="1:14">
      <c r="A562" s="3189" t="s">
        <v>4502</v>
      </c>
      <c r="B562" s="3104"/>
      <c r="C562" s="3187" t="s">
        <v>3209</v>
      </c>
      <c r="D562" s="3188" t="s">
        <v>4490</v>
      </c>
      <c r="F562" s="3188"/>
      <c r="G562" s="3188" t="s">
        <v>4491</v>
      </c>
      <c r="H562" s="3097">
        <v>178.86</v>
      </c>
      <c r="L562" s="1405">
        <f>SUM(L2:L561)</f>
        <v>255</v>
      </c>
      <c r="M562" s="1405">
        <f>SUM(M2:M561)</f>
        <v>112</v>
      </c>
    </row>
    <row r="563" spans="1:14">
      <c r="A563" s="3189" t="s">
        <v>4502</v>
      </c>
      <c r="B563" s="3104"/>
      <c r="C563" s="3187" t="s">
        <v>4501</v>
      </c>
      <c r="D563" s="3188" t="s">
        <v>4490</v>
      </c>
      <c r="F563" s="3188"/>
      <c r="G563" s="3188" t="s">
        <v>4492</v>
      </c>
      <c r="H563" s="3097">
        <v>114.96</v>
      </c>
    </row>
    <row r="564" spans="1:14">
      <c r="A564" s="3189" t="s">
        <v>4502</v>
      </c>
      <c r="B564" s="3104"/>
      <c r="C564" s="3187" t="s">
        <v>4180</v>
      </c>
      <c r="D564" s="3188" t="s">
        <v>4490</v>
      </c>
      <c r="F564" s="3188"/>
      <c r="G564" s="3188" t="s">
        <v>4493</v>
      </c>
      <c r="H564" s="3097">
        <v>115.03</v>
      </c>
    </row>
    <row r="565" spans="1:14">
      <c r="A565" s="3189" t="s">
        <v>4502</v>
      </c>
      <c r="B565" s="3104"/>
      <c r="C565" s="3187" t="s">
        <v>3209</v>
      </c>
      <c r="D565" s="3188" t="s">
        <v>4494</v>
      </c>
      <c r="F565" s="3188"/>
      <c r="G565" s="3188" t="s">
        <v>4495</v>
      </c>
      <c r="H565" s="3097">
        <v>178.63</v>
      </c>
    </row>
    <row r="566" spans="1:14">
      <c r="A566" s="3189" t="s">
        <v>4502</v>
      </c>
      <c r="B566" s="3104"/>
      <c r="C566" s="3187" t="s">
        <v>4501</v>
      </c>
      <c r="D566" s="3188" t="s">
        <v>4494</v>
      </c>
      <c r="F566" s="3188"/>
      <c r="G566" s="3188" t="s">
        <v>4496</v>
      </c>
      <c r="H566" s="3097">
        <v>114.71</v>
      </c>
    </row>
    <row r="567" spans="1:14">
      <c r="A567" s="3189" t="s">
        <v>4502</v>
      </c>
      <c r="B567" s="3104"/>
      <c r="C567" s="3187" t="s">
        <v>4180</v>
      </c>
      <c r="D567" s="3188" t="s">
        <v>4494</v>
      </c>
      <c r="F567" s="3188"/>
      <c r="G567" s="3188" t="s">
        <v>4497</v>
      </c>
      <c r="H567" s="3097">
        <v>114.23</v>
      </c>
    </row>
    <row r="568" spans="1:14">
      <c r="A568" s="3189" t="s">
        <v>4502</v>
      </c>
      <c r="B568" s="3104"/>
      <c r="C568" s="3187" t="s">
        <v>3209</v>
      </c>
      <c r="D568" s="3188" t="s">
        <v>4494</v>
      </c>
      <c r="F568" s="3188"/>
      <c r="G568" s="3188" t="s">
        <v>4498</v>
      </c>
      <c r="H568" s="3097">
        <v>178.63</v>
      </c>
    </row>
    <row r="569" spans="1:14">
      <c r="A569" s="3189" t="s">
        <v>4502</v>
      </c>
      <c r="B569" s="3104"/>
      <c r="C569" s="3187" t="s">
        <v>4501</v>
      </c>
      <c r="D569" s="3188" t="s">
        <v>4494</v>
      </c>
      <c r="F569" s="3188"/>
      <c r="G569" s="3188" t="s">
        <v>4499</v>
      </c>
      <c r="H569" s="3097">
        <v>114.71</v>
      </c>
    </row>
    <row r="570" spans="1:14">
      <c r="A570" s="3189" t="s">
        <v>4502</v>
      </c>
      <c r="B570" s="3104"/>
      <c r="C570" s="3187" t="s">
        <v>4180</v>
      </c>
      <c r="D570" s="3188" t="s">
        <v>4494</v>
      </c>
      <c r="F570" s="3188"/>
      <c r="G570" s="3188" t="s">
        <v>4500</v>
      </c>
      <c r="H570" s="3097">
        <v>114.23</v>
      </c>
    </row>
    <row r="571" spans="1:14">
      <c r="B571" s="3104"/>
      <c r="H571" s="1405">
        <f>SUM(H2:H570)</f>
        <v>45590.629999999932</v>
      </c>
    </row>
    <row r="572" spans="1:14">
      <c r="B572" s="3104"/>
    </row>
    <row r="573" spans="1:14">
      <c r="B573" s="3104"/>
      <c r="I573" s="1405">
        <f>H562+H565+H568</f>
        <v>536.12</v>
      </c>
    </row>
    <row r="574" spans="1:14">
      <c r="B574" s="3104"/>
      <c r="I574" s="1405">
        <f>H563+H564+H566+H567+H569+H570</f>
        <v>687.87</v>
      </c>
    </row>
    <row r="575" spans="1:14">
      <c r="B575" s="3104"/>
    </row>
  </sheetData>
  <autoFilter ref="A1:R571" xr:uid="{00000000-0009-0000-0000-00000F000000}"/>
  <mergeCells count="253">
    <mergeCell ref="B17:B21"/>
    <mergeCell ref="K17:K21"/>
    <mergeCell ref="L17:L21"/>
    <mergeCell ref="M17:M21"/>
    <mergeCell ref="B22:B26"/>
    <mergeCell ref="K22:K26"/>
    <mergeCell ref="L22:L26"/>
    <mergeCell ref="M22:M26"/>
    <mergeCell ref="B2:B6"/>
    <mergeCell ref="K2:K16"/>
    <mergeCell ref="L2:L16"/>
    <mergeCell ref="M2:M16"/>
    <mergeCell ref="B7:B11"/>
    <mergeCell ref="B12:B16"/>
    <mergeCell ref="B42:B46"/>
    <mergeCell ref="K42:K46"/>
    <mergeCell ref="L42:L46"/>
    <mergeCell ref="M42:M46"/>
    <mergeCell ref="B47:B51"/>
    <mergeCell ref="K47:K51"/>
    <mergeCell ref="L47:L51"/>
    <mergeCell ref="M47:M51"/>
    <mergeCell ref="B27:B31"/>
    <mergeCell ref="K27:K41"/>
    <mergeCell ref="L27:L41"/>
    <mergeCell ref="M27:M41"/>
    <mergeCell ref="B32:B36"/>
    <mergeCell ref="B37:B41"/>
    <mergeCell ref="B67:B71"/>
    <mergeCell ref="K67:K81"/>
    <mergeCell ref="L67:L81"/>
    <mergeCell ref="M67:M81"/>
    <mergeCell ref="B72:B76"/>
    <mergeCell ref="B77:B81"/>
    <mergeCell ref="B52:B56"/>
    <mergeCell ref="K52:K61"/>
    <mergeCell ref="L52:L61"/>
    <mergeCell ref="M52:M61"/>
    <mergeCell ref="B57:B61"/>
    <mergeCell ref="B62:B66"/>
    <mergeCell ref="K62:K66"/>
    <mergeCell ref="L62:L66"/>
    <mergeCell ref="M62:M66"/>
    <mergeCell ref="B82:B86"/>
    <mergeCell ref="K82:K91"/>
    <mergeCell ref="L82:L91"/>
    <mergeCell ref="M82:M91"/>
    <mergeCell ref="B87:B91"/>
    <mergeCell ref="B92:B96"/>
    <mergeCell ref="K92:K96"/>
    <mergeCell ref="L92:L96"/>
    <mergeCell ref="M92:M96"/>
    <mergeCell ref="B97:B101"/>
    <mergeCell ref="K97:K106"/>
    <mergeCell ref="L97:L106"/>
    <mergeCell ref="M97:M106"/>
    <mergeCell ref="B102:B106"/>
    <mergeCell ref="B107:B111"/>
    <mergeCell ref="K107:K111"/>
    <mergeCell ref="L107:L111"/>
    <mergeCell ref="M107:M111"/>
    <mergeCell ref="B112:B116"/>
    <mergeCell ref="K112:K116"/>
    <mergeCell ref="L112:L116"/>
    <mergeCell ref="M112:M116"/>
    <mergeCell ref="B117:B121"/>
    <mergeCell ref="K117:K126"/>
    <mergeCell ref="L117:L126"/>
    <mergeCell ref="M117:M126"/>
    <mergeCell ref="B122:B126"/>
    <mergeCell ref="B127:B131"/>
    <mergeCell ref="K127:K136"/>
    <mergeCell ref="L127:L136"/>
    <mergeCell ref="M127:M136"/>
    <mergeCell ref="B132:B136"/>
    <mergeCell ref="B137:B141"/>
    <mergeCell ref="K137:K141"/>
    <mergeCell ref="L137:L141"/>
    <mergeCell ref="M137:M141"/>
    <mergeCell ref="B142:B146"/>
    <mergeCell ref="K142:K151"/>
    <mergeCell ref="L142:L151"/>
    <mergeCell ref="M142:M151"/>
    <mergeCell ref="B147:B151"/>
    <mergeCell ref="B152:B156"/>
    <mergeCell ref="K152:K161"/>
    <mergeCell ref="L152:L161"/>
    <mergeCell ref="M152:M161"/>
    <mergeCell ref="B157:B161"/>
    <mergeCell ref="B162:B166"/>
    <mergeCell ref="K162:K171"/>
    <mergeCell ref="L162:L171"/>
    <mergeCell ref="M162:M171"/>
    <mergeCell ref="B167:B171"/>
    <mergeCell ref="B172:B176"/>
    <mergeCell ref="K172:K176"/>
    <mergeCell ref="L172:L176"/>
    <mergeCell ref="M172:M176"/>
    <mergeCell ref="B192:B196"/>
    <mergeCell ref="K192:K211"/>
    <mergeCell ref="L192:L211"/>
    <mergeCell ref="M192:M211"/>
    <mergeCell ref="B197:B201"/>
    <mergeCell ref="B202:B206"/>
    <mergeCell ref="B207:B211"/>
    <mergeCell ref="B177:B181"/>
    <mergeCell ref="K177:K191"/>
    <mergeCell ref="L177:L191"/>
    <mergeCell ref="M177:M191"/>
    <mergeCell ref="B182:B186"/>
    <mergeCell ref="B187:B191"/>
    <mergeCell ref="B227:B231"/>
    <mergeCell ref="K227:K231"/>
    <mergeCell ref="L227:L231"/>
    <mergeCell ref="M227:M231"/>
    <mergeCell ref="B232:B236"/>
    <mergeCell ref="K232:K236"/>
    <mergeCell ref="L232:L236"/>
    <mergeCell ref="M232:M236"/>
    <mergeCell ref="B212:B216"/>
    <mergeCell ref="K212:K226"/>
    <mergeCell ref="L212:L226"/>
    <mergeCell ref="M212:M226"/>
    <mergeCell ref="B217:B221"/>
    <mergeCell ref="B222:B226"/>
    <mergeCell ref="B257:B261"/>
    <mergeCell ref="K257:K261"/>
    <mergeCell ref="L257:L261"/>
    <mergeCell ref="M257:M261"/>
    <mergeCell ref="B237:B241"/>
    <mergeCell ref="K237:K246"/>
    <mergeCell ref="L237:L246"/>
    <mergeCell ref="M237:M246"/>
    <mergeCell ref="B242:B246"/>
    <mergeCell ref="B247:B251"/>
    <mergeCell ref="K247:K256"/>
    <mergeCell ref="L247:L256"/>
    <mergeCell ref="M247:M256"/>
    <mergeCell ref="B252:B256"/>
    <mergeCell ref="B262:B266"/>
    <mergeCell ref="K262:K271"/>
    <mergeCell ref="L262:L271"/>
    <mergeCell ref="M262:M271"/>
    <mergeCell ref="B267:B271"/>
    <mergeCell ref="B272:B276"/>
    <mergeCell ref="K272:K276"/>
    <mergeCell ref="L272:L276"/>
    <mergeCell ref="M272:M276"/>
    <mergeCell ref="B277:B281"/>
    <mergeCell ref="K277:K281"/>
    <mergeCell ref="L277:L281"/>
    <mergeCell ref="M277:M281"/>
    <mergeCell ref="B282:B286"/>
    <mergeCell ref="K282:K291"/>
    <mergeCell ref="L282:L291"/>
    <mergeCell ref="M282:M291"/>
    <mergeCell ref="B287:B291"/>
    <mergeCell ref="B292:B296"/>
    <mergeCell ref="K292:K321"/>
    <mergeCell ref="L292:L321"/>
    <mergeCell ref="M292:M321"/>
    <mergeCell ref="B297:B301"/>
    <mergeCell ref="B302:B306"/>
    <mergeCell ref="B307:B311"/>
    <mergeCell ref="B312:B316"/>
    <mergeCell ref="B317:B321"/>
    <mergeCell ref="B322:B326"/>
    <mergeCell ref="K322:K351"/>
    <mergeCell ref="L322:L351"/>
    <mergeCell ref="M322:M351"/>
    <mergeCell ref="B327:B331"/>
    <mergeCell ref="B332:B336"/>
    <mergeCell ref="B337:B341"/>
    <mergeCell ref="B342:B346"/>
    <mergeCell ref="B347:B351"/>
    <mergeCell ref="B352:B356"/>
    <mergeCell ref="K352:K361"/>
    <mergeCell ref="L352:L361"/>
    <mergeCell ref="M352:M361"/>
    <mergeCell ref="B357:B361"/>
    <mergeCell ref="B362:B366"/>
    <mergeCell ref="K362:K381"/>
    <mergeCell ref="L362:L381"/>
    <mergeCell ref="M362:M381"/>
    <mergeCell ref="B367:B371"/>
    <mergeCell ref="B372:B376"/>
    <mergeCell ref="B377:B381"/>
    <mergeCell ref="B382:B386"/>
    <mergeCell ref="K382:K411"/>
    <mergeCell ref="L382:L411"/>
    <mergeCell ref="M382:M411"/>
    <mergeCell ref="B387:B391"/>
    <mergeCell ref="B392:B396"/>
    <mergeCell ref="B397:B401"/>
    <mergeCell ref="B402:B406"/>
    <mergeCell ref="B407:B411"/>
    <mergeCell ref="B412:B416"/>
    <mergeCell ref="K412:K416"/>
    <mergeCell ref="L412:L416"/>
    <mergeCell ref="M412:M416"/>
    <mergeCell ref="B417:B421"/>
    <mergeCell ref="K417:K436"/>
    <mergeCell ref="L417:L436"/>
    <mergeCell ref="M417:M436"/>
    <mergeCell ref="B422:B426"/>
    <mergeCell ref="B447:B451"/>
    <mergeCell ref="K447:K466"/>
    <mergeCell ref="L447:L466"/>
    <mergeCell ref="M447:M466"/>
    <mergeCell ref="B452:B456"/>
    <mergeCell ref="B457:B461"/>
    <mergeCell ref="B462:B466"/>
    <mergeCell ref="B427:B431"/>
    <mergeCell ref="B432:B436"/>
    <mergeCell ref="B437:B441"/>
    <mergeCell ref="K437:K446"/>
    <mergeCell ref="L437:L446"/>
    <mergeCell ref="M437:M446"/>
    <mergeCell ref="B442:B446"/>
    <mergeCell ref="B492:B496"/>
    <mergeCell ref="K492:K516"/>
    <mergeCell ref="L492:L516"/>
    <mergeCell ref="M492:M516"/>
    <mergeCell ref="B497:B501"/>
    <mergeCell ref="B502:B506"/>
    <mergeCell ref="B507:B511"/>
    <mergeCell ref="B512:B516"/>
    <mergeCell ref="B467:B471"/>
    <mergeCell ref="K467:K491"/>
    <mergeCell ref="L467:L491"/>
    <mergeCell ref="M467:M491"/>
    <mergeCell ref="B472:B476"/>
    <mergeCell ref="B477:B481"/>
    <mergeCell ref="B482:B486"/>
    <mergeCell ref="B487:B491"/>
    <mergeCell ref="B537:B541"/>
    <mergeCell ref="K537:K561"/>
    <mergeCell ref="L537:L561"/>
    <mergeCell ref="M537:M561"/>
    <mergeCell ref="B542:B546"/>
    <mergeCell ref="B547:B551"/>
    <mergeCell ref="B552:B556"/>
    <mergeCell ref="B557:B561"/>
    <mergeCell ref="B517:B521"/>
    <mergeCell ref="K517:K526"/>
    <mergeCell ref="L517:L526"/>
    <mergeCell ref="M517:M526"/>
    <mergeCell ref="B522:B526"/>
    <mergeCell ref="B527:B531"/>
    <mergeCell ref="K527:K536"/>
    <mergeCell ref="L527:L536"/>
    <mergeCell ref="M527:M536"/>
    <mergeCell ref="B532:B536"/>
  </mergeCells>
  <phoneticPr fontId="140" type="noConversion"/>
  <conditionalFormatting sqref="K1">
    <cfRule type="duplicateValues" dxfId="215" priority="2"/>
  </conditionalFormatting>
  <conditionalFormatting sqref="K1:K1048576">
    <cfRule type="duplicateValues" dxfId="214"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590"/>
  <sheetViews>
    <sheetView topLeftCell="J1" workbookViewId="0">
      <selection activeCell="O21" sqref="O21"/>
    </sheetView>
  </sheetViews>
  <sheetFormatPr defaultRowHeight="13.5"/>
  <cols>
    <col min="1" max="1" width="9" style="1405"/>
    <col min="2" max="2" width="0" style="1405" hidden="1" customWidth="1"/>
    <col min="3" max="4" width="9" style="1405"/>
    <col min="5" max="5" width="17" style="1405" customWidth="1"/>
    <col min="6" max="6" width="9" style="1405"/>
    <col min="7" max="7" width="10.25" style="1405" bestFit="1" customWidth="1"/>
    <col min="8" max="8" width="12.75" style="1405" bestFit="1" customWidth="1"/>
    <col min="9" max="11" width="9" style="1405"/>
    <col min="12" max="12" width="13.5" style="1405" customWidth="1"/>
    <col min="13" max="13" width="11" style="1405" customWidth="1"/>
    <col min="14" max="19" width="12.625" style="1405" customWidth="1"/>
    <col min="20" max="20" width="35.875" style="1405" customWidth="1"/>
    <col min="21" max="21" width="15.125" style="1405" customWidth="1"/>
    <col min="22" max="23" width="9" style="1405"/>
    <col min="24" max="24" width="16" style="1405" customWidth="1"/>
    <col min="25" max="27" width="10.625" style="1405" customWidth="1"/>
    <col min="28" max="16384" width="9" style="1405"/>
  </cols>
  <sheetData>
    <row r="1" spans="1:36" ht="24">
      <c r="A1" s="3091" t="s">
        <v>4449</v>
      </c>
      <c r="B1" s="3091" t="s">
        <v>4189</v>
      </c>
      <c r="C1" s="1226" t="s">
        <v>3208</v>
      </c>
      <c r="D1" s="3092" t="s">
        <v>3198</v>
      </c>
      <c r="E1" s="3092" t="s">
        <v>4450</v>
      </c>
      <c r="F1" s="3092" t="s">
        <v>3202</v>
      </c>
      <c r="G1" s="3092" t="s">
        <v>4451</v>
      </c>
      <c r="H1" s="3092" t="s">
        <v>4452</v>
      </c>
      <c r="I1" s="3092" t="s">
        <v>4194</v>
      </c>
      <c r="J1" s="3092" t="s">
        <v>4195</v>
      </c>
      <c r="K1" s="3092" t="s">
        <v>4513</v>
      </c>
      <c r="L1" s="3092" t="s">
        <v>4471</v>
      </c>
      <c r="M1" s="3092" t="s">
        <v>4472</v>
      </c>
      <c r="N1" s="3092" t="s">
        <v>4469</v>
      </c>
      <c r="O1" s="3092" t="s">
        <v>4470</v>
      </c>
      <c r="P1" s="3180" t="s">
        <v>4467</v>
      </c>
      <c r="Q1" s="3180" t="s">
        <v>4468</v>
      </c>
      <c r="R1" s="3092" t="s">
        <v>4462</v>
      </c>
      <c r="S1" s="3214"/>
    </row>
    <row r="2" spans="1:36">
      <c r="A2" s="3157" t="s">
        <v>4191</v>
      </c>
      <c r="B2" s="3329">
        <v>1</v>
      </c>
      <c r="C2" s="3096" t="s">
        <v>3209</v>
      </c>
      <c r="D2" s="3097" t="s">
        <v>3387</v>
      </c>
      <c r="E2" s="3097" t="s">
        <v>3390</v>
      </c>
      <c r="F2" s="3097">
        <v>134.69999999999999</v>
      </c>
      <c r="G2" s="3097">
        <v>8476072.9299999997</v>
      </c>
      <c r="H2" s="3156">
        <v>62926</v>
      </c>
      <c r="I2" s="3155">
        <f ca="1">IF(C2="大证住宅",$R$2,IF(C2="仓储",$R$3,$R$4))</f>
        <v>54321</v>
      </c>
      <c r="J2" s="3156">
        <f ca="1">ROUND(I2*F2/10000,0)</f>
        <v>732</v>
      </c>
      <c r="K2" s="3191">
        <f ca="1">J2+J3</f>
        <v>873</v>
      </c>
      <c r="L2" s="3176">
        <f ca="1">P2-N2</f>
        <v>105764</v>
      </c>
      <c r="M2" s="3176">
        <f ca="1">Q2-O2</f>
        <v>22840</v>
      </c>
      <c r="N2" s="3176">
        <f ca="1">成本法!C51+'成本法 (地下仓储)'!C51+'成本法 (车位)'!C51</f>
        <v>20366</v>
      </c>
      <c r="O2" s="3176">
        <f ca="1">ROUND(N2/'数据-汇总表'!E27*10000,0)</f>
        <v>4398</v>
      </c>
      <c r="P2" s="3179">
        <f ca="1">J590</f>
        <v>126130</v>
      </c>
      <c r="Q2" s="3179">
        <f ca="1">ROUND(P2/'数据-汇总表'!E27*10000,0)</f>
        <v>27238</v>
      </c>
      <c r="R2" s="3179">
        <f ca="1">结果表!G20</f>
        <v>54321</v>
      </c>
      <c r="S2" s="3215"/>
    </row>
    <row r="3" spans="1:36" ht="24">
      <c r="A3" s="3157" t="s">
        <v>4191</v>
      </c>
      <c r="B3" s="3329"/>
      <c r="C3" s="3096" t="s">
        <v>4180</v>
      </c>
      <c r="D3" s="3097" t="s">
        <v>3387</v>
      </c>
      <c r="E3" s="3097" t="s">
        <v>3392</v>
      </c>
      <c r="F3" s="3097">
        <v>84.65</v>
      </c>
      <c r="G3" s="3097">
        <v>2526763.56</v>
      </c>
      <c r="H3" s="3156">
        <v>29850</v>
      </c>
      <c r="I3" s="3155">
        <f t="shared" ref="I3:I76" ca="1" si="0">IF(C3="大证住宅",$R$2,IF(C3="仓储",$R$3,$R$4))</f>
        <v>16652</v>
      </c>
      <c r="J3" s="3156">
        <f t="shared" ref="J3:J76" ca="1" si="1">ROUND(I3*F3/10000,0)</f>
        <v>141</v>
      </c>
      <c r="K3" s="3177"/>
      <c r="L3" s="3177"/>
      <c r="M3" s="3177"/>
      <c r="N3" s="3177"/>
      <c r="O3" s="3177"/>
      <c r="R3" s="1405">
        <f ca="1">'结果表 (地下仓储)'!G20</f>
        <v>16652</v>
      </c>
    </row>
    <row r="4" spans="1:36" ht="14.25" thickBot="1">
      <c r="A4" s="3157" t="s">
        <v>4191</v>
      </c>
      <c r="B4" s="3329"/>
      <c r="C4" s="3096" t="s">
        <v>4180</v>
      </c>
      <c r="D4" s="3097" t="s">
        <v>3387</v>
      </c>
      <c r="E4" s="3097" t="s">
        <v>3394</v>
      </c>
      <c r="F4" s="3097">
        <v>83.45</v>
      </c>
      <c r="G4" s="3097">
        <v>2502904.17</v>
      </c>
      <c r="H4" s="3156">
        <v>29993</v>
      </c>
      <c r="I4" s="3155">
        <f t="shared" ca="1" si="0"/>
        <v>16652</v>
      </c>
      <c r="J4" s="3156">
        <f t="shared" ca="1" si="1"/>
        <v>139</v>
      </c>
      <c r="K4" s="3177">
        <f ca="1">J4</f>
        <v>139</v>
      </c>
      <c r="L4" s="3177"/>
      <c r="M4" s="3177"/>
      <c r="N4" s="3177"/>
      <c r="O4" s="3177"/>
      <c r="R4" s="1405">
        <f ca="1">'结果表 (车位)'!G20</f>
        <v>7223</v>
      </c>
      <c r="V4" s="3203" t="s">
        <v>4474</v>
      </c>
      <c r="W4" s="3204"/>
      <c r="X4" s="3204"/>
      <c r="Y4" s="3204"/>
      <c r="Z4" s="3204"/>
      <c r="AA4" s="3204"/>
    </row>
    <row r="5" spans="1:36" ht="14.25" customHeight="1" thickBot="1">
      <c r="A5" s="3157" t="s">
        <v>4191</v>
      </c>
      <c r="B5" s="3329">
        <v>2</v>
      </c>
      <c r="C5" s="3096" t="s">
        <v>3209</v>
      </c>
      <c r="D5" s="3097" t="s">
        <v>3387</v>
      </c>
      <c r="E5" s="3097" t="s">
        <v>3400</v>
      </c>
      <c r="F5" s="3097">
        <v>135.04</v>
      </c>
      <c r="G5" s="3097">
        <v>8087434.8700000001</v>
      </c>
      <c r="H5" s="3156">
        <v>59889</v>
      </c>
      <c r="I5" s="3155">
        <f t="shared" ca="1" si="0"/>
        <v>54321</v>
      </c>
      <c r="J5" s="3156">
        <f t="shared" ca="1" si="1"/>
        <v>734</v>
      </c>
      <c r="K5" s="3191">
        <f ca="1">J5+J6</f>
        <v>876</v>
      </c>
      <c r="L5" s="3177"/>
      <c r="M5" s="3177"/>
      <c r="N5" s="3177"/>
      <c r="O5" s="3177"/>
      <c r="V5" s="3362"/>
      <c r="W5" s="3353"/>
      <c r="X5" s="3353"/>
      <c r="Y5" s="3205"/>
      <c r="Z5" s="3205"/>
      <c r="AA5" s="3205"/>
      <c r="AE5" s="3366" t="s">
        <v>4540</v>
      </c>
      <c r="AF5" s="3346" t="s">
        <v>4463</v>
      </c>
      <c r="AG5" s="3346" t="s">
        <v>4464</v>
      </c>
      <c r="AH5" s="3340" t="s">
        <v>4541</v>
      </c>
      <c r="AI5" s="3341"/>
      <c r="AJ5" s="3342"/>
    </row>
    <row r="6" spans="1:36" ht="15.75" customHeight="1" thickBot="1">
      <c r="A6" s="3157" t="s">
        <v>4191</v>
      </c>
      <c r="B6" s="3329"/>
      <c r="C6" s="3096" t="s">
        <v>4180</v>
      </c>
      <c r="D6" s="3097" t="s">
        <v>3387</v>
      </c>
      <c r="E6" s="3097" t="s">
        <v>3401</v>
      </c>
      <c r="F6" s="3097">
        <v>85.07</v>
      </c>
      <c r="G6" s="3097">
        <v>2539345.4500000002</v>
      </c>
      <c r="H6" s="3156">
        <v>29850</v>
      </c>
      <c r="I6" s="3155">
        <f t="shared" ca="1" si="0"/>
        <v>16652</v>
      </c>
      <c r="J6" s="3156">
        <f t="shared" ca="1" si="1"/>
        <v>142</v>
      </c>
      <c r="K6" s="3177"/>
      <c r="V6" s="3362"/>
      <c r="W6" s="3353"/>
      <c r="X6" s="3353"/>
      <c r="Y6" s="3205"/>
      <c r="Z6" s="3206"/>
      <c r="AA6" s="3206"/>
      <c r="AE6" s="3367"/>
      <c r="AF6" s="3348"/>
      <c r="AG6" s="3348"/>
      <c r="AH6" s="3227" t="s">
        <v>37</v>
      </c>
      <c r="AI6" s="3227" t="s">
        <v>3059</v>
      </c>
      <c r="AJ6" s="3227" t="s">
        <v>3060</v>
      </c>
    </row>
    <row r="7" spans="1:36" ht="14.25" thickBot="1">
      <c r="A7" s="3157" t="s">
        <v>4191</v>
      </c>
      <c r="B7" s="3329"/>
      <c r="C7" s="3096" t="s">
        <v>4180</v>
      </c>
      <c r="D7" s="3097" t="s">
        <v>3387</v>
      </c>
      <c r="E7" s="3097" t="s">
        <v>3402</v>
      </c>
      <c r="F7" s="3097">
        <v>84.17</v>
      </c>
      <c r="G7" s="3097">
        <v>2524510.81</v>
      </c>
      <c r="H7" s="3156">
        <v>29993</v>
      </c>
      <c r="I7" s="3155">
        <f t="shared" ca="1" si="0"/>
        <v>16652</v>
      </c>
      <c r="J7" s="3156">
        <f t="shared" ca="1" si="1"/>
        <v>140</v>
      </c>
      <c r="K7" s="3177">
        <f ca="1">J7</f>
        <v>140</v>
      </c>
      <c r="V7" s="3362"/>
      <c r="W7" s="3357"/>
      <c r="X7" s="3202"/>
      <c r="Y7" s="3202"/>
      <c r="Z7" s="3202"/>
      <c r="AA7" s="3202"/>
      <c r="AB7" s="1405">
        <v>115</v>
      </c>
      <c r="AC7" s="1405">
        <f>Y7/AB7</f>
        <v>0</v>
      </c>
      <c r="AE7" s="3343" t="s">
        <v>4542</v>
      </c>
      <c r="AF7" s="3346" t="s">
        <v>4465</v>
      </c>
      <c r="AG7" s="3227" t="s">
        <v>4466</v>
      </c>
      <c r="AH7" s="3228">
        <f>AI7+AJ7</f>
        <v>15708.62</v>
      </c>
      <c r="AI7" s="3228">
        <v>15708.62</v>
      </c>
      <c r="AJ7" s="3228">
        <v>0</v>
      </c>
    </row>
    <row r="8" spans="1:36" ht="14.25" thickBot="1">
      <c r="A8" s="3157" t="s">
        <v>4191</v>
      </c>
      <c r="B8" s="3329">
        <v>3</v>
      </c>
      <c r="C8" s="3096" t="s">
        <v>3209</v>
      </c>
      <c r="D8" s="3097" t="s">
        <v>3407</v>
      </c>
      <c r="E8" s="3097" t="s">
        <v>3409</v>
      </c>
      <c r="F8" s="3097">
        <v>135.15</v>
      </c>
      <c r="G8" s="3097">
        <v>7925701.46</v>
      </c>
      <c r="H8" s="3156">
        <v>58644</v>
      </c>
      <c r="I8" s="3155">
        <f t="shared" ca="1" si="0"/>
        <v>54321</v>
      </c>
      <c r="J8" s="3156">
        <f t="shared" ca="1" si="1"/>
        <v>734</v>
      </c>
      <c r="K8" s="3191">
        <f t="shared" ref="K8" ca="1" si="2">J8+J9</f>
        <v>876</v>
      </c>
      <c r="V8" s="3362"/>
      <c r="W8" s="3357"/>
      <c r="X8" s="3202"/>
      <c r="Y8" s="3202"/>
      <c r="Z8" s="3202"/>
      <c r="AA8" s="3202"/>
      <c r="AB8" s="1405">
        <f>113*2+2</f>
        <v>228</v>
      </c>
      <c r="AC8" s="1405">
        <f>Y8/AB8</f>
        <v>0</v>
      </c>
      <c r="AE8" s="3344"/>
      <c r="AF8" s="3347"/>
      <c r="AG8" s="3227" t="s">
        <v>4543</v>
      </c>
      <c r="AH8" s="3228">
        <f>AI8+AJ8</f>
        <v>19826.72</v>
      </c>
      <c r="AI8" s="3228">
        <v>0</v>
      </c>
      <c r="AJ8" s="3228">
        <v>19826.72</v>
      </c>
    </row>
    <row r="9" spans="1:36" ht="13.5" customHeight="1" thickBot="1">
      <c r="A9" s="3157" t="s">
        <v>4191</v>
      </c>
      <c r="B9" s="3329"/>
      <c r="C9" s="3096" t="s">
        <v>4180</v>
      </c>
      <c r="D9" s="3097" t="s">
        <v>3407</v>
      </c>
      <c r="E9" s="3097" t="s">
        <v>3410</v>
      </c>
      <c r="F9" s="3097">
        <v>85.14</v>
      </c>
      <c r="G9" s="3097">
        <v>2541445.1800000002</v>
      </c>
      <c r="H9" s="3156">
        <v>29850</v>
      </c>
      <c r="I9" s="3155">
        <f t="shared" ca="1" si="0"/>
        <v>16652</v>
      </c>
      <c r="J9" s="3156">
        <f t="shared" ca="1" si="1"/>
        <v>142</v>
      </c>
      <c r="K9" s="3177"/>
      <c r="V9" s="3362"/>
      <c r="W9" s="3357"/>
      <c r="X9" s="3202"/>
      <c r="Y9" s="3202"/>
      <c r="Z9" s="3202"/>
      <c r="AA9" s="3202"/>
      <c r="AB9" s="1405">
        <v>236</v>
      </c>
      <c r="AC9" s="1405">
        <f>Y9/AB9</f>
        <v>0</v>
      </c>
      <c r="AE9" s="3345"/>
      <c r="AF9" s="3348"/>
      <c r="AG9" s="3227" t="s">
        <v>48</v>
      </c>
      <c r="AH9" s="3228">
        <f>AI9+AJ9</f>
        <v>10771.04</v>
      </c>
      <c r="AI9" s="3228">
        <v>0</v>
      </c>
      <c r="AJ9" s="3228">
        <v>10771.04</v>
      </c>
    </row>
    <row r="10" spans="1:36" ht="23.25" customHeight="1" thickBot="1">
      <c r="A10" s="3157" t="s">
        <v>4191</v>
      </c>
      <c r="B10" s="3329"/>
      <c r="C10" s="3096" t="s">
        <v>4180</v>
      </c>
      <c r="D10" s="3097" t="s">
        <v>3407</v>
      </c>
      <c r="E10" s="3097" t="s">
        <v>3411</v>
      </c>
      <c r="F10" s="3097">
        <v>84.19</v>
      </c>
      <c r="G10" s="3097">
        <v>2525107.2999999998</v>
      </c>
      <c r="H10" s="3156">
        <v>29993</v>
      </c>
      <c r="I10" s="3155">
        <f t="shared" ca="1" si="0"/>
        <v>16652</v>
      </c>
      <c r="J10" s="3156">
        <f t="shared" ca="1" si="1"/>
        <v>140</v>
      </c>
      <c r="K10" s="3177">
        <f t="shared" ref="K10" ca="1" si="3">J10</f>
        <v>140</v>
      </c>
      <c r="V10" s="3353"/>
      <c r="W10" s="3353"/>
      <c r="X10" s="3353"/>
      <c r="Y10" s="3206"/>
      <c r="Z10" s="3206"/>
      <c r="AA10" s="3206"/>
      <c r="AE10" s="3349" t="s">
        <v>4544</v>
      </c>
      <c r="AF10" s="3350"/>
      <c r="AG10" s="3351"/>
      <c r="AH10" s="3229">
        <f>SUM(AH7:AH9)</f>
        <v>46306.380000000005</v>
      </c>
      <c r="AI10" s="3229">
        <f t="shared" ref="AI10:AJ10" si="4">SUM(AI7:AI9)</f>
        <v>15708.62</v>
      </c>
      <c r="AJ10" s="3229">
        <f t="shared" si="4"/>
        <v>30597.760000000002</v>
      </c>
    </row>
    <row r="11" spans="1:36" ht="14.25" thickBot="1">
      <c r="A11" s="3157" t="s">
        <v>4191</v>
      </c>
      <c r="B11" s="3329">
        <v>4</v>
      </c>
      <c r="C11" s="3096" t="s">
        <v>3209</v>
      </c>
      <c r="D11" s="3097" t="s">
        <v>3711</v>
      </c>
      <c r="E11" s="3097" t="s">
        <v>3713</v>
      </c>
      <c r="F11" s="3097">
        <v>134.96</v>
      </c>
      <c r="G11" s="3097">
        <v>7531083.8099999996</v>
      </c>
      <c r="H11" s="3156">
        <v>55802</v>
      </c>
      <c r="I11" s="3155">
        <f t="shared" ca="1" si="0"/>
        <v>54321</v>
      </c>
      <c r="J11" s="3156">
        <f t="shared" ca="1" si="1"/>
        <v>733</v>
      </c>
      <c r="K11" s="3191">
        <f t="shared" ref="K11" ca="1" si="5">J11+J12</f>
        <v>874</v>
      </c>
      <c r="L11" s="3216" t="s">
        <v>4535</v>
      </c>
      <c r="M11" s="3216" t="s">
        <v>4536</v>
      </c>
      <c r="N11" s="3358" t="s">
        <v>4473</v>
      </c>
      <c r="O11" s="3359"/>
      <c r="P11" s="3359"/>
      <c r="Q11" s="3359"/>
      <c r="R11" s="3359"/>
      <c r="S11" s="3360"/>
      <c r="T11" s="3212"/>
      <c r="V11" s="3356"/>
      <c r="W11" s="3357"/>
      <c r="X11" s="3202"/>
      <c r="Y11" s="3202"/>
      <c r="Z11" s="3202"/>
      <c r="AA11" s="3202"/>
      <c r="AB11" s="1405">
        <v>278</v>
      </c>
      <c r="AC11" s="1405">
        <f>Y11/AB11</f>
        <v>0</v>
      </c>
      <c r="AE11" s="3343" t="s">
        <v>4545</v>
      </c>
      <c r="AF11" s="3346" t="s">
        <v>4465</v>
      </c>
      <c r="AG11" s="3227" t="s">
        <v>4466</v>
      </c>
      <c r="AH11" s="3236">
        <f>AI11+AJ11</f>
        <v>38232.800000000003</v>
      </c>
      <c r="AI11" s="3236">
        <v>38232.800000000003</v>
      </c>
      <c r="AJ11" s="3228">
        <v>0</v>
      </c>
    </row>
    <row r="12" spans="1:36" ht="15" customHeight="1" thickBot="1">
      <c r="A12" s="3157" t="s">
        <v>4191</v>
      </c>
      <c r="B12" s="3329"/>
      <c r="C12" s="3096" t="s">
        <v>4180</v>
      </c>
      <c r="D12" s="3097" t="s">
        <v>3711</v>
      </c>
      <c r="E12" s="3097" t="s">
        <v>3714</v>
      </c>
      <c r="F12" s="3097">
        <v>84.86</v>
      </c>
      <c r="G12" s="3097">
        <v>2533029.42</v>
      </c>
      <c r="H12" s="3156">
        <v>29850</v>
      </c>
      <c r="I12" s="3155">
        <f t="shared" ca="1" si="0"/>
        <v>16652</v>
      </c>
      <c r="J12" s="3156">
        <f t="shared" ca="1" si="1"/>
        <v>141</v>
      </c>
      <c r="K12" s="3177"/>
      <c r="L12" s="3216">
        <f>'数据-汇总表'!E3</f>
        <v>46306.38</v>
      </c>
      <c r="M12" s="3216">
        <f>'数据-汇总表'!D3</f>
        <v>23188.07</v>
      </c>
      <c r="N12" s="3217">
        <f t="shared" ref="N12:R12" ca="1" si="6">L2</f>
        <v>105764</v>
      </c>
      <c r="O12" s="3217">
        <f t="shared" ca="1" si="6"/>
        <v>22840</v>
      </c>
      <c r="P12" s="3217">
        <f t="shared" ca="1" si="6"/>
        <v>20366</v>
      </c>
      <c r="Q12" s="3217">
        <f t="shared" ca="1" si="6"/>
        <v>4398</v>
      </c>
      <c r="R12" s="3217">
        <f t="shared" ca="1" si="6"/>
        <v>126130</v>
      </c>
      <c r="S12" s="3217">
        <f ca="1">Q2</f>
        <v>27238</v>
      </c>
      <c r="T12" s="3181"/>
      <c r="V12" s="3356"/>
      <c r="W12" s="3357"/>
      <c r="X12" s="3202"/>
      <c r="Y12" s="3202"/>
      <c r="Z12" s="3202"/>
      <c r="AA12" s="3202"/>
      <c r="AB12" s="1405">
        <f>AB11*2</f>
        <v>556</v>
      </c>
      <c r="AC12" s="1405">
        <f>Y12/AB12</f>
        <v>0</v>
      </c>
      <c r="AE12" s="3344"/>
      <c r="AF12" s="3347"/>
      <c r="AG12" s="3227" t="s">
        <v>4546</v>
      </c>
      <c r="AH12" s="3228">
        <f t="shared" ref="AH12:AH17" si="7">AI12+AJ12</f>
        <v>48839.159999999996</v>
      </c>
      <c r="AI12" s="3228">
        <v>0</v>
      </c>
      <c r="AJ12" s="3228">
        <v>48839.159999999996</v>
      </c>
    </row>
    <row r="13" spans="1:36" ht="15" thickBot="1">
      <c r="A13" s="3157" t="s">
        <v>4191</v>
      </c>
      <c r="B13" s="3329"/>
      <c r="C13" s="3096" t="s">
        <v>4180</v>
      </c>
      <c r="D13" s="3097" t="s">
        <v>3711</v>
      </c>
      <c r="E13" s="3097" t="s">
        <v>3715</v>
      </c>
      <c r="F13" s="3097">
        <v>84.19</v>
      </c>
      <c r="G13" s="3097">
        <v>2525106.46</v>
      </c>
      <c r="H13" s="3156">
        <v>29993</v>
      </c>
      <c r="I13" s="3155">
        <f t="shared" ca="1" si="0"/>
        <v>16652</v>
      </c>
      <c r="J13" s="3156">
        <f t="shared" ca="1" si="1"/>
        <v>140</v>
      </c>
      <c r="K13" s="3177">
        <f ca="1">J13</f>
        <v>140</v>
      </c>
      <c r="L13" s="3216">
        <f>系统读取表!B18</f>
        <v>137478.11000000004</v>
      </c>
      <c r="M13" s="3216">
        <f>系统读取表!C18</f>
        <v>43609.13</v>
      </c>
      <c r="N13" s="3218">
        <f ca="1">R13-P13</f>
        <v>280457</v>
      </c>
      <c r="O13" s="3218">
        <f ca="1">S13-Q13</f>
        <v>20400</v>
      </c>
      <c r="P13" s="3218">
        <f ca="1">[2]结果表!$F$118</f>
        <v>41285</v>
      </c>
      <c r="Q13" s="3218">
        <f ca="1">[2]结果表!$G$118</f>
        <v>3003</v>
      </c>
      <c r="R13" s="3218">
        <f ca="1">[2]结果表!$H$118</f>
        <v>321742</v>
      </c>
      <c r="S13" s="3218">
        <f ca="1">[2]结果表!$I$118</f>
        <v>23403</v>
      </c>
      <c r="T13" s="3182"/>
      <c r="V13" s="3356"/>
      <c r="W13" s="3357"/>
      <c r="X13" s="3202"/>
      <c r="Y13" s="3202"/>
      <c r="Z13" s="3202"/>
      <c r="AA13" s="3202"/>
      <c r="AB13" s="1405">
        <v>500</v>
      </c>
      <c r="AC13" s="1405">
        <f>Y13/AB13</f>
        <v>0</v>
      </c>
      <c r="AE13" s="3344"/>
      <c r="AF13" s="3347"/>
      <c r="AG13" s="3227" t="s">
        <v>48</v>
      </c>
      <c r="AH13" s="3228">
        <f t="shared" si="7"/>
        <v>22201.280000000061</v>
      </c>
      <c r="AI13" s="3228">
        <v>0</v>
      </c>
      <c r="AJ13" s="3228">
        <v>22201.280000000061</v>
      </c>
    </row>
    <row r="14" spans="1:36" ht="14.25" thickBot="1">
      <c r="A14" s="3157" t="s">
        <v>4191</v>
      </c>
      <c r="B14" s="3329">
        <v>5</v>
      </c>
      <c r="C14" s="3096" t="s">
        <v>3209</v>
      </c>
      <c r="D14" s="3097" t="s">
        <v>3711</v>
      </c>
      <c r="E14" s="3097" t="s">
        <v>3721</v>
      </c>
      <c r="F14" s="3097">
        <v>135.15</v>
      </c>
      <c r="G14" s="3097">
        <v>7925701.1500000004</v>
      </c>
      <c r="H14" s="3156">
        <v>58644</v>
      </c>
      <c r="I14" s="3155">
        <f t="shared" ca="1" si="0"/>
        <v>54321</v>
      </c>
      <c r="J14" s="3156">
        <f t="shared" ca="1" si="1"/>
        <v>734</v>
      </c>
      <c r="K14" s="3191">
        <f ca="1">J14+J15</f>
        <v>876</v>
      </c>
      <c r="L14" s="3216"/>
      <c r="M14" s="3216"/>
      <c r="N14" s="3219"/>
      <c r="O14" s="3219"/>
      <c r="P14" s="3219"/>
      <c r="Q14" s="3219"/>
      <c r="R14" s="3219"/>
      <c r="S14" s="3219"/>
      <c r="T14" s="3212"/>
      <c r="V14" s="3356"/>
      <c r="W14" s="3357"/>
      <c r="X14" s="3202"/>
      <c r="Y14" s="3202"/>
      <c r="Z14" s="3202"/>
      <c r="AA14" s="3202"/>
      <c r="AB14" s="1405">
        <v>168</v>
      </c>
      <c r="AC14" s="1405">
        <f>Y14/AB14</f>
        <v>0</v>
      </c>
      <c r="AE14" s="3344"/>
      <c r="AF14" s="3347"/>
      <c r="AG14" s="3227" t="s">
        <v>3195</v>
      </c>
      <c r="AH14" s="3228">
        <f t="shared" si="7"/>
        <v>24860.720000000001</v>
      </c>
      <c r="AI14" s="3228">
        <v>24860.720000000001</v>
      </c>
      <c r="AJ14" s="3228">
        <v>0</v>
      </c>
    </row>
    <row r="15" spans="1:36" ht="15.75" customHeight="1" thickBot="1">
      <c r="A15" s="3157" t="s">
        <v>4191</v>
      </c>
      <c r="B15" s="3329"/>
      <c r="C15" s="3096" t="s">
        <v>4180</v>
      </c>
      <c r="D15" s="3097" t="s">
        <v>3711</v>
      </c>
      <c r="E15" s="3097" t="s">
        <v>3722</v>
      </c>
      <c r="F15" s="3097">
        <v>85.14</v>
      </c>
      <c r="G15" s="3097">
        <v>2541445.1800000002</v>
      </c>
      <c r="H15" s="3156">
        <v>29850</v>
      </c>
      <c r="I15" s="3155">
        <f t="shared" ca="1" si="0"/>
        <v>16652</v>
      </c>
      <c r="J15" s="3156">
        <f t="shared" ca="1" si="1"/>
        <v>142</v>
      </c>
      <c r="K15" s="3177"/>
      <c r="L15" s="3216">
        <f>SUM(L12:L14)</f>
        <v>183784.49000000005</v>
      </c>
      <c r="M15" s="3216">
        <f>SUM(M12:M14)</f>
        <v>66797.2</v>
      </c>
      <c r="N15" s="3354">
        <f ca="1">N12+N13+N14</f>
        <v>386221</v>
      </c>
      <c r="O15" s="3355"/>
      <c r="P15" s="3354">
        <f t="shared" ref="P15" ca="1" si="8">P12+P13+P14</f>
        <v>61651</v>
      </c>
      <c r="Q15" s="3355"/>
      <c r="R15" s="3354">
        <f t="shared" ref="R15" ca="1" si="9">R12+R13+R14</f>
        <v>447872</v>
      </c>
      <c r="S15" s="3355"/>
      <c r="T15" s="3213"/>
      <c r="V15" s="3356"/>
      <c r="W15" s="3357"/>
      <c r="X15" s="3208"/>
      <c r="Y15" s="3202"/>
      <c r="Z15" s="3208"/>
      <c r="AA15" s="3202"/>
      <c r="AB15" s="1405">
        <v>117</v>
      </c>
      <c r="AC15" s="1405">
        <f>Y15/AB15</f>
        <v>0</v>
      </c>
      <c r="AE15" s="3344"/>
      <c r="AF15" s="3347"/>
      <c r="AG15" s="3227" t="s">
        <v>4547</v>
      </c>
      <c r="AH15" s="3228">
        <f t="shared" si="7"/>
        <v>679.36</v>
      </c>
      <c r="AI15" s="3228">
        <v>679.36</v>
      </c>
      <c r="AJ15" s="3228">
        <v>0</v>
      </c>
    </row>
    <row r="16" spans="1:36" ht="19.5" customHeight="1" thickBot="1">
      <c r="A16" s="3157" t="s">
        <v>4191</v>
      </c>
      <c r="B16" s="3329"/>
      <c r="C16" s="3096" t="s">
        <v>4180</v>
      </c>
      <c r="D16" s="3097" t="s">
        <v>3711</v>
      </c>
      <c r="E16" s="3097" t="s">
        <v>3723</v>
      </c>
      <c r="F16" s="3097">
        <v>84.19</v>
      </c>
      <c r="G16" s="3097">
        <v>2525106.46</v>
      </c>
      <c r="H16" s="3156">
        <v>29993</v>
      </c>
      <c r="I16" s="3155">
        <f t="shared" ca="1" si="0"/>
        <v>16652</v>
      </c>
      <c r="J16" s="3156">
        <f t="shared" ca="1" si="1"/>
        <v>140</v>
      </c>
      <c r="K16" s="3177">
        <f t="shared" ref="K16" ca="1" si="10">J16</f>
        <v>140</v>
      </c>
      <c r="L16" s="3216"/>
      <c r="M16" s="3216"/>
      <c r="N16" s="3361">
        <f ca="1">N15*10000</f>
        <v>3862210000</v>
      </c>
      <c r="O16" s="3361"/>
      <c r="P16" s="3361">
        <f t="shared" ref="P16" ca="1" si="11">P15*10000</f>
        <v>616510000</v>
      </c>
      <c r="Q16" s="3361"/>
      <c r="R16" s="3361">
        <f t="shared" ref="R16" ca="1" si="12">R15*10000</f>
        <v>4478720000</v>
      </c>
      <c r="S16" s="3361"/>
      <c r="V16" s="3353"/>
      <c r="W16" s="3353"/>
      <c r="X16" s="3353"/>
      <c r="Y16" s="3206"/>
      <c r="Z16" s="3206"/>
      <c r="AA16" s="3206"/>
      <c r="AE16" s="3344"/>
      <c r="AF16" s="3347"/>
      <c r="AG16" s="3227" t="s">
        <v>4548</v>
      </c>
      <c r="AH16" s="3228">
        <f t="shared" si="7"/>
        <v>386.37</v>
      </c>
      <c r="AI16" s="3228">
        <v>0</v>
      </c>
      <c r="AJ16" s="3228">
        <v>386.37</v>
      </c>
    </row>
    <row r="17" spans="1:39" ht="14.25" thickBot="1">
      <c r="A17" s="3157" t="s">
        <v>4191</v>
      </c>
      <c r="B17" s="3329">
        <v>6</v>
      </c>
      <c r="C17" s="3096" t="s">
        <v>3209</v>
      </c>
      <c r="D17" s="3097" t="s">
        <v>3728</v>
      </c>
      <c r="E17" s="3097" t="s">
        <v>3730</v>
      </c>
      <c r="F17" s="3097">
        <v>134.76</v>
      </c>
      <c r="G17" s="3097">
        <v>7696599.0899999999</v>
      </c>
      <c r="H17" s="3156">
        <v>57113</v>
      </c>
      <c r="I17" s="3155">
        <f ca="1">IF(C17="大证住宅",$R$2,IF(C17="仓储",$R$3,$R$4))</f>
        <v>54321</v>
      </c>
      <c r="J17" s="3156">
        <f t="shared" ca="1" si="1"/>
        <v>732</v>
      </c>
      <c r="K17" s="3199">
        <f ca="1">J17+J18</f>
        <v>873</v>
      </c>
      <c r="L17" s="3177"/>
      <c r="M17" s="3177"/>
      <c r="N17" s="3177"/>
      <c r="O17" s="3177"/>
      <c r="V17" s="3338"/>
      <c r="W17" s="3336"/>
      <c r="X17" s="3202"/>
      <c r="Y17" s="3202"/>
      <c r="Z17" s="3202"/>
      <c r="AA17" s="3202"/>
      <c r="AE17" s="3345"/>
      <c r="AF17" s="3348"/>
      <c r="AG17" s="3227" t="s">
        <v>4549</v>
      </c>
      <c r="AH17" s="3228">
        <f t="shared" si="7"/>
        <v>2278.42</v>
      </c>
      <c r="AI17" s="3228">
        <v>0</v>
      </c>
      <c r="AJ17" s="3228">
        <v>2278.42</v>
      </c>
    </row>
    <row r="18" spans="1:39" ht="24.75" thickBot="1">
      <c r="A18" s="3200"/>
      <c r="B18" s="3329"/>
      <c r="C18" s="3096" t="s">
        <v>4534</v>
      </c>
      <c r="D18" s="3097" t="s">
        <v>4533</v>
      </c>
      <c r="E18" s="3097" t="s">
        <v>3731</v>
      </c>
      <c r="F18" s="3097">
        <v>84.74</v>
      </c>
      <c r="G18" s="3097">
        <v>2529767.79</v>
      </c>
      <c r="H18" s="3199">
        <f>G18/F18</f>
        <v>29853.289945716311</v>
      </c>
      <c r="I18" s="3198">
        <f ca="1">IF(C18="大证住宅",$R$2,IF(C18="仓储",$R$3,$R$4))</f>
        <v>16652</v>
      </c>
      <c r="J18" s="3199">
        <f t="shared" ca="1" si="1"/>
        <v>141</v>
      </c>
      <c r="K18" s="3177"/>
      <c r="L18" s="3177"/>
      <c r="M18" s="3177"/>
      <c r="N18" s="3177"/>
      <c r="O18" s="3177"/>
      <c r="V18" s="3338"/>
      <c r="W18" s="3336"/>
      <c r="X18" s="3207"/>
      <c r="Y18" s="3207"/>
      <c r="Z18" s="3207"/>
      <c r="AA18" s="3207"/>
      <c r="AE18" s="3349" t="s">
        <v>4550</v>
      </c>
      <c r="AF18" s="3350"/>
      <c r="AG18" s="3351"/>
      <c r="AH18" s="3229">
        <f>SUM(AH11:AH17)</f>
        <v>137478.11000000004</v>
      </c>
      <c r="AI18" s="3229">
        <f t="shared" ref="AI18:AJ18" si="13">SUM(AI11:AI17)</f>
        <v>63772.880000000005</v>
      </c>
      <c r="AJ18" s="3229">
        <f t="shared" si="13"/>
        <v>73705.230000000054</v>
      </c>
      <c r="AK18" s="1405">
        <f>SUM(AH11:AH17)</f>
        <v>137478.11000000004</v>
      </c>
      <c r="AL18" s="1405">
        <f>SUM(AI11:AI17)</f>
        <v>63772.880000000005</v>
      </c>
      <c r="AM18" s="1405">
        <f>SUM(AJ11:AJ17)</f>
        <v>73705.230000000054</v>
      </c>
    </row>
    <row r="19" spans="1:39" ht="14.25" thickBot="1">
      <c r="A19" s="3157" t="s">
        <v>4191</v>
      </c>
      <c r="B19" s="3329"/>
      <c r="C19" s="3096" t="s">
        <v>4180</v>
      </c>
      <c r="D19" s="3097" t="s">
        <v>3728</v>
      </c>
      <c r="E19" s="3097" t="s">
        <v>3732</v>
      </c>
      <c r="F19" s="3097">
        <v>84.11</v>
      </c>
      <c r="G19" s="3097">
        <v>2522996.36</v>
      </c>
      <c r="H19" s="3156">
        <v>29996</v>
      </c>
      <c r="I19" s="3155">
        <f t="shared" ca="1" si="0"/>
        <v>16652</v>
      </c>
      <c r="J19" s="3156">
        <f t="shared" ca="1" si="1"/>
        <v>140</v>
      </c>
      <c r="K19" s="3177">
        <f t="shared" ref="K19" ca="1" si="14">J19</f>
        <v>140</v>
      </c>
      <c r="L19" s="3177"/>
      <c r="M19" s="3177"/>
      <c r="N19" s="3177"/>
      <c r="O19" s="3177"/>
      <c r="V19" s="3338"/>
      <c r="W19" s="3336"/>
      <c r="X19" s="3209"/>
      <c r="Y19" s="3209"/>
      <c r="Z19" s="3209"/>
      <c r="AA19" s="3209"/>
      <c r="AE19" s="3363" t="s">
        <v>4551</v>
      </c>
      <c r="AF19" s="3364"/>
      <c r="AG19" s="3365"/>
      <c r="AH19" s="3230">
        <f>AH10+AH18</f>
        <v>183784.49000000005</v>
      </c>
      <c r="AI19" s="3230">
        <f t="shared" ref="AI19:AJ19" si="15">AI10+AI18</f>
        <v>79481.5</v>
      </c>
      <c r="AJ19" s="3230">
        <f t="shared" si="15"/>
        <v>104302.99000000005</v>
      </c>
    </row>
    <row r="20" spans="1:39">
      <c r="A20" s="3157" t="s">
        <v>4191</v>
      </c>
      <c r="B20" s="3329">
        <v>7</v>
      </c>
      <c r="C20" s="3096" t="s">
        <v>3209</v>
      </c>
      <c r="D20" s="3097" t="s">
        <v>3728</v>
      </c>
      <c r="E20" s="3097" t="s">
        <v>3738</v>
      </c>
      <c r="F20" s="3097">
        <v>134.76</v>
      </c>
      <c r="G20" s="3097">
        <v>7696599.0899999999</v>
      </c>
      <c r="H20" s="3156">
        <v>57113</v>
      </c>
      <c r="I20" s="3155">
        <f t="shared" ca="1" si="0"/>
        <v>54321</v>
      </c>
      <c r="J20" s="3156">
        <f t="shared" ca="1" si="1"/>
        <v>732</v>
      </c>
      <c r="K20" s="3191">
        <f t="shared" ref="K20" ca="1" si="16">J20+J21</f>
        <v>873</v>
      </c>
      <c r="L20" s="3177"/>
      <c r="M20" s="3177"/>
      <c r="N20" s="3177"/>
      <c r="O20" s="3177"/>
      <c r="P20" s="1405">
        <f ca="1">N15/R15</f>
        <v>0.86234683123749645</v>
      </c>
      <c r="V20" s="3338"/>
      <c r="W20" s="3336"/>
      <c r="X20" s="3209"/>
      <c r="Y20" s="3209"/>
      <c r="Z20" s="3209"/>
      <c r="AA20" s="3209"/>
    </row>
    <row r="21" spans="1:39" ht="24">
      <c r="A21" s="3157" t="s">
        <v>4191</v>
      </c>
      <c r="B21" s="3329"/>
      <c r="C21" s="3096" t="s">
        <v>4180</v>
      </c>
      <c r="D21" s="3097" t="s">
        <v>3728</v>
      </c>
      <c r="E21" s="3097" t="s">
        <v>3739</v>
      </c>
      <c r="F21" s="3097">
        <v>84.74</v>
      </c>
      <c r="G21" s="3097">
        <v>2529767.79</v>
      </c>
      <c r="H21" s="3156">
        <v>29853</v>
      </c>
      <c r="I21" s="3155">
        <f t="shared" ca="1" si="0"/>
        <v>16652</v>
      </c>
      <c r="J21" s="3156">
        <f t="shared" ca="1" si="1"/>
        <v>141</v>
      </c>
      <c r="K21" s="3177"/>
      <c r="L21" s="3177"/>
      <c r="M21" s="3177"/>
      <c r="N21" s="3177"/>
      <c r="O21" s="3177"/>
      <c r="V21" s="3338"/>
      <c r="W21" s="3336"/>
      <c r="X21" s="3336"/>
      <c r="Y21" s="3209"/>
      <c r="Z21" s="3209"/>
      <c r="AA21" s="3209"/>
    </row>
    <row r="22" spans="1:39">
      <c r="A22" s="3157" t="s">
        <v>4191</v>
      </c>
      <c r="B22" s="3329"/>
      <c r="C22" s="3096" t="s">
        <v>4180</v>
      </c>
      <c r="D22" s="3097" t="s">
        <v>3728</v>
      </c>
      <c r="E22" s="3097" t="s">
        <v>3740</v>
      </c>
      <c r="F22" s="3097">
        <v>84.11</v>
      </c>
      <c r="G22" s="3097">
        <v>2522996.36</v>
      </c>
      <c r="H22" s="3156">
        <v>29996</v>
      </c>
      <c r="I22" s="3155">
        <f t="shared" ca="1" si="0"/>
        <v>16652</v>
      </c>
      <c r="J22" s="3156">
        <f t="shared" ca="1" si="1"/>
        <v>140</v>
      </c>
      <c r="K22" s="3177">
        <f t="shared" ref="K22" ca="1" si="17">J22</f>
        <v>140</v>
      </c>
      <c r="L22" s="3177"/>
      <c r="M22" s="3177"/>
      <c r="N22" s="3177"/>
      <c r="O22" s="3177"/>
      <c r="V22" s="3338"/>
      <c r="W22" s="3209"/>
      <c r="X22" s="3209"/>
      <c r="Y22" s="3210"/>
      <c r="Z22" s="3210"/>
      <c r="AA22" s="3210"/>
    </row>
    <row r="23" spans="1:39">
      <c r="A23" s="3157" t="s">
        <v>4191</v>
      </c>
      <c r="B23" s="3329">
        <v>8</v>
      </c>
      <c r="C23" s="3096" t="s">
        <v>3209</v>
      </c>
      <c r="D23" s="3097" t="s">
        <v>3728</v>
      </c>
      <c r="E23" s="3097" t="s">
        <v>3746</v>
      </c>
      <c r="F23" s="3097">
        <v>134.94999999999999</v>
      </c>
      <c r="G23" s="3097">
        <v>7826407.71</v>
      </c>
      <c r="H23" s="3156">
        <v>57995</v>
      </c>
      <c r="I23" s="3155">
        <f t="shared" ca="1" si="0"/>
        <v>54321</v>
      </c>
      <c r="J23" s="3156">
        <f t="shared" ca="1" si="1"/>
        <v>733</v>
      </c>
      <c r="K23" s="3191">
        <f t="shared" ref="K23" ca="1" si="18">J23+J24</f>
        <v>875</v>
      </c>
      <c r="L23" s="3177"/>
      <c r="M23" s="3177"/>
      <c r="N23" s="3177"/>
      <c r="O23" s="3177"/>
      <c r="V23" s="3338"/>
      <c r="W23" s="3336"/>
      <c r="X23" s="3336"/>
      <c r="Y23" s="3210"/>
      <c r="Z23" s="3209"/>
      <c r="AA23" s="3209"/>
    </row>
    <row r="24" spans="1:39" ht="14.25" customHeight="1">
      <c r="A24" s="3157" t="s">
        <v>4191</v>
      </c>
      <c r="B24" s="3329"/>
      <c r="C24" s="3096" t="s">
        <v>4180</v>
      </c>
      <c r="D24" s="3097" t="s">
        <v>3728</v>
      </c>
      <c r="E24" s="3097" t="s">
        <v>3747</v>
      </c>
      <c r="F24" s="3097">
        <v>85.02</v>
      </c>
      <c r="G24" s="3097">
        <v>2537988.13</v>
      </c>
      <c r="H24" s="3156">
        <v>29852</v>
      </c>
      <c r="I24" s="3155">
        <f t="shared" ca="1" si="0"/>
        <v>16652</v>
      </c>
      <c r="J24" s="3156">
        <f t="shared" ca="1" si="1"/>
        <v>142</v>
      </c>
      <c r="K24" s="3177"/>
      <c r="L24" s="3177"/>
      <c r="M24" s="3177"/>
      <c r="N24" s="3177"/>
      <c r="O24" s="3177"/>
      <c r="V24" s="3337"/>
      <c r="W24" s="3337"/>
      <c r="X24" s="3337"/>
      <c r="Y24" s="3205"/>
      <c r="Z24" s="3205"/>
      <c r="AA24" s="3205"/>
      <c r="AK24" s="1405" t="e">
        <f>SUM(#REF!)</f>
        <v>#REF!</v>
      </c>
      <c r="AL24" s="1405" t="e">
        <f>SUM(#REF!)</f>
        <v>#REF!</v>
      </c>
      <c r="AM24" s="1405" t="e">
        <f>SUM(#REF!)</f>
        <v>#REF!</v>
      </c>
    </row>
    <row r="25" spans="1:39">
      <c r="A25" s="3157" t="s">
        <v>4191</v>
      </c>
      <c r="B25" s="3329"/>
      <c r="C25" s="3096" t="s">
        <v>4180</v>
      </c>
      <c r="D25" s="3097" t="s">
        <v>3728</v>
      </c>
      <c r="E25" s="3097" t="s">
        <v>3748</v>
      </c>
      <c r="F25" s="3097">
        <v>84.11</v>
      </c>
      <c r="G25" s="3097">
        <v>2522996.36</v>
      </c>
      <c r="H25" s="3156">
        <v>29996</v>
      </c>
      <c r="I25" s="3155">
        <f t="shared" ca="1" si="0"/>
        <v>16652</v>
      </c>
      <c r="J25" s="3156">
        <f t="shared" ca="1" si="1"/>
        <v>140</v>
      </c>
      <c r="K25" s="3177">
        <f t="shared" ref="K25" ca="1" si="19">J25</f>
        <v>140</v>
      </c>
      <c r="L25" s="3177"/>
      <c r="M25" s="3177"/>
      <c r="N25" s="3177"/>
      <c r="O25" s="3177"/>
      <c r="V25" s="3339"/>
      <c r="W25" s="3339"/>
      <c r="X25" s="3339"/>
      <c r="Y25" s="3211"/>
      <c r="Z25" s="3211"/>
      <c r="AA25" s="3211"/>
    </row>
    <row r="26" spans="1:39">
      <c r="A26" s="3157" t="s">
        <v>4191</v>
      </c>
      <c r="B26" s="3329">
        <v>9</v>
      </c>
      <c r="C26" s="3096" t="s">
        <v>3209</v>
      </c>
      <c r="D26" s="3097" t="s">
        <v>3728</v>
      </c>
      <c r="E26" s="3097" t="s">
        <v>3754</v>
      </c>
      <c r="F26" s="3097">
        <v>134.61000000000001</v>
      </c>
      <c r="G26" s="3097">
        <v>8507458.3399999999</v>
      </c>
      <c r="H26" s="3156">
        <v>63201</v>
      </c>
      <c r="I26" s="3155">
        <f t="shared" ca="1" si="0"/>
        <v>54321</v>
      </c>
      <c r="J26" s="3156">
        <f t="shared" ca="1" si="1"/>
        <v>731</v>
      </c>
      <c r="K26" s="3191">
        <f t="shared" ref="K26" ca="1" si="20">J26+J27</f>
        <v>872</v>
      </c>
      <c r="L26" s="3177"/>
      <c r="M26" s="3177"/>
      <c r="N26" s="3177"/>
      <c r="O26" s="3177"/>
    </row>
    <row r="27" spans="1:39" ht="24">
      <c r="A27" s="3157" t="s">
        <v>4191</v>
      </c>
      <c r="B27" s="3329"/>
      <c r="C27" s="3096" t="s">
        <v>4180</v>
      </c>
      <c r="D27" s="3097" t="s">
        <v>3728</v>
      </c>
      <c r="E27" s="3097" t="s">
        <v>3755</v>
      </c>
      <c r="F27" s="3097">
        <v>84.61</v>
      </c>
      <c r="G27" s="3097">
        <v>2525657.5699999998</v>
      </c>
      <c r="H27" s="3156">
        <v>29851</v>
      </c>
      <c r="I27" s="3155">
        <f t="shared" ca="1" si="0"/>
        <v>16652</v>
      </c>
      <c r="J27" s="3156">
        <f t="shared" ca="1" si="1"/>
        <v>141</v>
      </c>
      <c r="K27" s="3177"/>
      <c r="L27" s="3177"/>
      <c r="M27" s="3177"/>
      <c r="N27" s="3177"/>
      <c r="O27" s="3177"/>
    </row>
    <row r="28" spans="1:39">
      <c r="A28" s="3157" t="s">
        <v>4191</v>
      </c>
      <c r="B28" s="3329"/>
      <c r="C28" s="3096" t="s">
        <v>4180</v>
      </c>
      <c r="D28" s="3097" t="s">
        <v>3728</v>
      </c>
      <c r="E28" s="3097" t="s">
        <v>3756</v>
      </c>
      <c r="F28" s="3097">
        <v>83.39</v>
      </c>
      <c r="G28" s="3097">
        <v>2501404.7999999998</v>
      </c>
      <c r="H28" s="3156">
        <v>29996</v>
      </c>
      <c r="I28" s="3155">
        <f t="shared" ca="1" si="0"/>
        <v>16652</v>
      </c>
      <c r="J28" s="3156">
        <f t="shared" ca="1" si="1"/>
        <v>139</v>
      </c>
      <c r="K28" s="3177">
        <f t="shared" ref="K28" ca="1" si="21">J28</f>
        <v>139</v>
      </c>
      <c r="L28" s="3177"/>
      <c r="M28" s="3177"/>
      <c r="N28" s="3177"/>
      <c r="O28" s="3177"/>
    </row>
    <row r="29" spans="1:39" ht="16.5" customHeight="1">
      <c r="A29" s="3157" t="s">
        <v>4191</v>
      </c>
      <c r="B29" s="3329">
        <v>10</v>
      </c>
      <c r="C29" s="3096" t="s">
        <v>3209</v>
      </c>
      <c r="D29" s="3097" t="s">
        <v>3728</v>
      </c>
      <c r="E29" s="3097" t="s">
        <v>3762</v>
      </c>
      <c r="F29" s="3097">
        <v>134.76</v>
      </c>
      <c r="G29" s="3097">
        <v>7894120.8600000003</v>
      </c>
      <c r="H29" s="3156">
        <v>58579</v>
      </c>
      <c r="I29" s="3155">
        <f t="shared" ca="1" si="0"/>
        <v>54321</v>
      </c>
      <c r="J29" s="3156">
        <f t="shared" ca="1" si="1"/>
        <v>732</v>
      </c>
      <c r="K29" s="3191">
        <f t="shared" ref="K29" ca="1" si="22">J29+J30</f>
        <v>873</v>
      </c>
      <c r="L29" s="3177"/>
      <c r="M29" s="3177"/>
      <c r="N29" s="3177"/>
      <c r="O29" s="3177"/>
      <c r="T29" s="3175" t="s">
        <v>4475</v>
      </c>
      <c r="U29" s="3183" t="s">
        <v>4480</v>
      </c>
      <c r="V29" s="3175" t="s">
        <v>4479</v>
      </c>
      <c r="W29" s="3175" t="s">
        <v>4467</v>
      </c>
      <c r="X29" s="3175" t="s">
        <v>4468</v>
      </c>
    </row>
    <row r="30" spans="1:39" ht="40.5">
      <c r="A30" s="3157" t="s">
        <v>4191</v>
      </c>
      <c r="B30" s="3329"/>
      <c r="C30" s="3096" t="s">
        <v>4180</v>
      </c>
      <c r="D30" s="3097" t="s">
        <v>3728</v>
      </c>
      <c r="E30" s="3097" t="s">
        <v>3763</v>
      </c>
      <c r="F30" s="3097">
        <v>84.74</v>
      </c>
      <c r="G30" s="3097">
        <v>2529767.79</v>
      </c>
      <c r="H30" s="3156">
        <v>29853</v>
      </c>
      <c r="I30" s="3155">
        <f t="shared" ca="1" si="0"/>
        <v>16652</v>
      </c>
      <c r="J30" s="3156">
        <f t="shared" ca="1" si="1"/>
        <v>141</v>
      </c>
      <c r="K30" s="3177"/>
      <c r="L30" s="3177"/>
      <c r="M30" s="3177"/>
      <c r="N30" s="3177"/>
      <c r="O30" s="3177"/>
      <c r="S30" s="1405">
        <v>23</v>
      </c>
      <c r="T30" s="3183" t="s">
        <v>4538</v>
      </c>
      <c r="U30" s="3183" t="s">
        <v>4481</v>
      </c>
      <c r="V30" s="3176">
        <f>F69</f>
        <v>7081.6299999999983</v>
      </c>
      <c r="W30" s="3176">
        <f ca="1">J69</f>
        <v>23467</v>
      </c>
      <c r="X30" s="3176">
        <f t="shared" ref="X30:X34" ca="1" si="23">ROUND(W30/V30*10000,0)</f>
        <v>33138</v>
      </c>
    </row>
    <row r="31" spans="1:39" ht="40.5">
      <c r="A31" s="3157" t="s">
        <v>4191</v>
      </c>
      <c r="B31" s="3329"/>
      <c r="C31" s="3096" t="s">
        <v>4180</v>
      </c>
      <c r="D31" s="3097" t="s">
        <v>3728</v>
      </c>
      <c r="E31" s="3097" t="s">
        <v>3764</v>
      </c>
      <c r="F31" s="3097">
        <v>84.11</v>
      </c>
      <c r="G31" s="3097">
        <v>2522996.36</v>
      </c>
      <c r="H31" s="3156">
        <v>29996</v>
      </c>
      <c r="I31" s="3155">
        <f t="shared" ca="1" si="0"/>
        <v>16652</v>
      </c>
      <c r="J31" s="3156">
        <f t="shared" ca="1" si="1"/>
        <v>140</v>
      </c>
      <c r="K31" s="3177">
        <f t="shared" ref="K31" ca="1" si="24">J31</f>
        <v>140</v>
      </c>
      <c r="L31" s="3177"/>
      <c r="M31" s="3177"/>
      <c r="N31" s="3177"/>
      <c r="O31" s="3177"/>
      <c r="S31" s="1405">
        <v>31</v>
      </c>
      <c r="T31" s="3183" t="s">
        <v>4476</v>
      </c>
      <c r="U31" s="3183" t="s">
        <v>4482</v>
      </c>
      <c r="V31" s="3176">
        <f>F163</f>
        <v>9442.630000000001</v>
      </c>
      <c r="W31" s="3176">
        <f ca="1">J163</f>
        <v>31533</v>
      </c>
      <c r="X31" s="3176">
        <f t="shared" ca="1" si="23"/>
        <v>33394</v>
      </c>
    </row>
    <row r="32" spans="1:39" ht="40.5">
      <c r="A32" s="3157" t="s">
        <v>4191</v>
      </c>
      <c r="B32" s="3329">
        <v>11</v>
      </c>
      <c r="C32" s="3096" t="s">
        <v>3209</v>
      </c>
      <c r="D32" s="3097" t="s">
        <v>3728</v>
      </c>
      <c r="E32" s="3097" t="s">
        <v>3770</v>
      </c>
      <c r="F32" s="3097">
        <v>134.76</v>
      </c>
      <c r="G32" s="3097">
        <v>7894120.8600000003</v>
      </c>
      <c r="H32" s="3156">
        <v>58579</v>
      </c>
      <c r="I32" s="3155">
        <f t="shared" ca="1" si="0"/>
        <v>54321</v>
      </c>
      <c r="J32" s="3156">
        <f t="shared" ca="1" si="1"/>
        <v>732</v>
      </c>
      <c r="K32" s="3191">
        <f t="shared" ref="K32" ca="1" si="25">J32+J33</f>
        <v>873</v>
      </c>
      <c r="L32" s="3177"/>
      <c r="M32" s="3177"/>
      <c r="N32" s="3177"/>
      <c r="O32" s="3177"/>
      <c r="S32" s="1405">
        <v>44</v>
      </c>
      <c r="T32" s="3183" t="s">
        <v>4539</v>
      </c>
      <c r="U32" s="3183" t="s">
        <v>4483</v>
      </c>
      <c r="V32" s="3176">
        <f>F294</f>
        <v>13200.780000000004</v>
      </c>
      <c r="W32" s="3176">
        <f ca="1">J294</f>
        <v>43945</v>
      </c>
      <c r="X32" s="3176">
        <f t="shared" ca="1" si="23"/>
        <v>33290</v>
      </c>
    </row>
    <row r="33" spans="1:24" ht="40.5">
      <c r="A33" s="3157" t="s">
        <v>4191</v>
      </c>
      <c r="B33" s="3329"/>
      <c r="C33" s="3096" t="s">
        <v>4180</v>
      </c>
      <c r="D33" s="3097" t="s">
        <v>3728</v>
      </c>
      <c r="E33" s="3097" t="s">
        <v>3771</v>
      </c>
      <c r="F33" s="3097">
        <v>84.74</v>
      </c>
      <c r="G33" s="3097">
        <v>2529767.79</v>
      </c>
      <c r="H33" s="3156">
        <v>29853</v>
      </c>
      <c r="I33" s="3155">
        <f t="shared" ca="1" si="0"/>
        <v>16652</v>
      </c>
      <c r="J33" s="3156">
        <f t="shared" ca="1" si="1"/>
        <v>141</v>
      </c>
      <c r="K33" s="3177"/>
      <c r="L33" s="3177"/>
      <c r="M33" s="3177"/>
      <c r="N33" s="3177"/>
      <c r="O33" s="3177"/>
      <c r="S33" s="3220">
        <v>19</v>
      </c>
      <c r="T33" s="3183" t="s">
        <v>4477</v>
      </c>
      <c r="U33" s="3183" t="s">
        <v>4484</v>
      </c>
      <c r="V33" s="3231">
        <f>F352</f>
        <v>5810.2999999999975</v>
      </c>
      <c r="W33" s="3176">
        <f ca="1">J352</f>
        <v>19397</v>
      </c>
      <c r="X33" s="3176">
        <f t="shared" ca="1" si="23"/>
        <v>33384</v>
      </c>
    </row>
    <row r="34" spans="1:24" ht="40.5">
      <c r="A34" s="3157" t="s">
        <v>4191</v>
      </c>
      <c r="B34" s="3329"/>
      <c r="C34" s="3096" t="s">
        <v>4180</v>
      </c>
      <c r="D34" s="3097" t="s">
        <v>3728</v>
      </c>
      <c r="E34" s="3097" t="s">
        <v>3772</v>
      </c>
      <c r="F34" s="3097">
        <v>84.11</v>
      </c>
      <c r="G34" s="3097">
        <v>2522996.36</v>
      </c>
      <c r="H34" s="3156">
        <v>29996</v>
      </c>
      <c r="I34" s="3155">
        <f t="shared" ca="1" si="0"/>
        <v>16652</v>
      </c>
      <c r="J34" s="3156">
        <f t="shared" ca="1" si="1"/>
        <v>140</v>
      </c>
      <c r="K34" s="3177">
        <f t="shared" ref="K34" ca="1" si="26">J34</f>
        <v>140</v>
      </c>
      <c r="L34" s="3177"/>
      <c r="M34" s="3177"/>
      <c r="N34" s="3177"/>
      <c r="O34" s="3177"/>
      <c r="T34" s="3183" t="s">
        <v>4537</v>
      </c>
      <c r="U34" s="3183" t="s">
        <v>4485</v>
      </c>
      <c r="V34" s="3176">
        <f>F589</f>
        <v>10771.039999999994</v>
      </c>
      <c r="W34" s="3176">
        <f ca="1">J589</f>
        <v>7788</v>
      </c>
      <c r="X34" s="3176">
        <f t="shared" ca="1" si="23"/>
        <v>7230</v>
      </c>
    </row>
    <row r="35" spans="1:24">
      <c r="A35" s="3157" t="s">
        <v>4191</v>
      </c>
      <c r="B35" s="3329">
        <v>12</v>
      </c>
      <c r="C35" s="3096" t="s">
        <v>3209</v>
      </c>
      <c r="D35" s="3097" t="s">
        <v>3777</v>
      </c>
      <c r="E35" s="3097" t="s">
        <v>3779</v>
      </c>
      <c r="F35" s="3097">
        <v>134.81</v>
      </c>
      <c r="G35" s="3097">
        <v>8518897.3399999999</v>
      </c>
      <c r="H35" s="3156">
        <v>63192</v>
      </c>
      <c r="I35" s="3155">
        <f t="shared" ca="1" si="0"/>
        <v>54321</v>
      </c>
      <c r="J35" s="3156">
        <f t="shared" ca="1" si="1"/>
        <v>732</v>
      </c>
      <c r="K35" s="3191">
        <f t="shared" ref="K35" ca="1" si="27">J35+J36</f>
        <v>873</v>
      </c>
      <c r="L35" s="3177"/>
      <c r="M35" s="3177"/>
      <c r="N35" s="3177"/>
      <c r="O35" s="3177"/>
      <c r="S35" s="1405">
        <f>SUM(S30:S34)</f>
        <v>117</v>
      </c>
      <c r="T35" s="3352" t="s">
        <v>4478</v>
      </c>
      <c r="U35" s="3352"/>
      <c r="V35" s="3176">
        <f>SUM(V30:V34)</f>
        <v>46306.37999999999</v>
      </c>
      <c r="W35" s="3176">
        <f ca="1">SUM(W30:W34)</f>
        <v>126130</v>
      </c>
      <c r="X35" s="3199">
        <f ca="1">ROUND(W35/V35*10000,0)</f>
        <v>27238</v>
      </c>
    </row>
    <row r="36" spans="1:24" ht="24">
      <c r="A36" s="3157" t="s">
        <v>4191</v>
      </c>
      <c r="B36" s="3329"/>
      <c r="C36" s="3096" t="s">
        <v>4180</v>
      </c>
      <c r="D36" s="3097" t="s">
        <v>3777</v>
      </c>
      <c r="E36" s="3097" t="s">
        <v>3780</v>
      </c>
      <c r="F36" s="3097">
        <v>84.72</v>
      </c>
      <c r="G36" s="3097">
        <v>2528852.1800000002</v>
      </c>
      <c r="H36" s="3156">
        <v>29850</v>
      </c>
      <c r="I36" s="3155">
        <f t="shared" ca="1" si="0"/>
        <v>16652</v>
      </c>
      <c r="J36" s="3156">
        <f t="shared" ca="1" si="1"/>
        <v>141</v>
      </c>
      <c r="K36" s="3177"/>
      <c r="L36" s="3177"/>
      <c r="M36" s="3177"/>
      <c r="N36" s="3177"/>
      <c r="O36" s="3177"/>
      <c r="X36" s="3193"/>
    </row>
    <row r="37" spans="1:24">
      <c r="A37" s="3157" t="s">
        <v>4191</v>
      </c>
      <c r="B37" s="3329"/>
      <c r="C37" s="3096" t="s">
        <v>4180</v>
      </c>
      <c r="D37" s="3097" t="s">
        <v>3777</v>
      </c>
      <c r="E37" s="3097" t="s">
        <v>3781</v>
      </c>
      <c r="F37" s="3097">
        <v>83.47</v>
      </c>
      <c r="G37" s="3097">
        <v>2503498.1800000002</v>
      </c>
      <c r="H37" s="3156">
        <v>29993</v>
      </c>
      <c r="I37" s="3155">
        <f t="shared" ca="1" si="0"/>
        <v>16652</v>
      </c>
      <c r="J37" s="3156">
        <f t="shared" ca="1" si="1"/>
        <v>139</v>
      </c>
      <c r="K37" s="3177">
        <f t="shared" ref="K37" ca="1" si="28">J37</f>
        <v>139</v>
      </c>
      <c r="L37" s="3177"/>
      <c r="M37" s="3177"/>
      <c r="N37" s="3177"/>
      <c r="O37" s="3177"/>
    </row>
    <row r="38" spans="1:24">
      <c r="A38" s="3157" t="s">
        <v>4191</v>
      </c>
      <c r="B38" s="3329">
        <v>13</v>
      </c>
      <c r="C38" s="3096" t="s">
        <v>3209</v>
      </c>
      <c r="D38" s="3097" t="s">
        <v>3777</v>
      </c>
      <c r="E38" s="3097" t="s">
        <v>3787</v>
      </c>
      <c r="F38" s="3097">
        <v>134.96</v>
      </c>
      <c r="G38" s="3097">
        <v>7587756.21</v>
      </c>
      <c r="H38" s="3156">
        <v>56222</v>
      </c>
      <c r="I38" s="3155">
        <f t="shared" ca="1" si="0"/>
        <v>54321</v>
      </c>
      <c r="J38" s="3156">
        <f t="shared" ca="1" si="1"/>
        <v>733</v>
      </c>
      <c r="K38" s="3191">
        <f t="shared" ref="K38" ca="1" si="29">J38+J39</f>
        <v>874</v>
      </c>
      <c r="L38" s="3177"/>
      <c r="M38" s="3177"/>
      <c r="N38" s="3177"/>
      <c r="O38" s="3177"/>
    </row>
    <row r="39" spans="1:24" ht="24">
      <c r="A39" s="3157" t="s">
        <v>4191</v>
      </c>
      <c r="B39" s="3329"/>
      <c r="C39" s="3096" t="s">
        <v>4180</v>
      </c>
      <c r="D39" s="3097" t="s">
        <v>3777</v>
      </c>
      <c r="E39" s="3097" t="s">
        <v>3788</v>
      </c>
      <c r="F39" s="3097">
        <v>84.86</v>
      </c>
      <c r="G39" s="3097">
        <v>2533029.42</v>
      </c>
      <c r="H39" s="3156">
        <v>29850</v>
      </c>
      <c r="I39" s="3155">
        <f t="shared" ca="1" si="0"/>
        <v>16652</v>
      </c>
      <c r="J39" s="3156">
        <f t="shared" ca="1" si="1"/>
        <v>141</v>
      </c>
      <c r="K39" s="3177"/>
      <c r="L39" s="3177"/>
      <c r="M39" s="3177"/>
      <c r="N39" s="3177"/>
      <c r="O39" s="3177"/>
    </row>
    <row r="40" spans="1:24">
      <c r="A40" s="3157" t="s">
        <v>4191</v>
      </c>
      <c r="B40" s="3329"/>
      <c r="C40" s="3096" t="s">
        <v>4180</v>
      </c>
      <c r="D40" s="3097" t="s">
        <v>3777</v>
      </c>
      <c r="E40" s="3097" t="s">
        <v>3789</v>
      </c>
      <c r="F40" s="3097">
        <v>84.19</v>
      </c>
      <c r="G40" s="3097">
        <v>2525106.46</v>
      </c>
      <c r="H40" s="3156">
        <v>29993</v>
      </c>
      <c r="I40" s="3155">
        <f t="shared" ca="1" si="0"/>
        <v>16652</v>
      </c>
      <c r="J40" s="3156">
        <f t="shared" ca="1" si="1"/>
        <v>140</v>
      </c>
      <c r="K40" s="3177">
        <f t="shared" ref="K40" ca="1" si="30">J40</f>
        <v>140</v>
      </c>
      <c r="L40" s="3177"/>
      <c r="M40" s="3177"/>
      <c r="N40" s="3177"/>
      <c r="O40" s="3177"/>
    </row>
    <row r="41" spans="1:24">
      <c r="A41" s="3157" t="s">
        <v>4191</v>
      </c>
      <c r="B41" s="3329">
        <v>14</v>
      </c>
      <c r="C41" s="3096" t="s">
        <v>3209</v>
      </c>
      <c r="D41" s="3097" t="s">
        <v>3777</v>
      </c>
      <c r="E41" s="3097" t="s">
        <v>3795</v>
      </c>
      <c r="F41" s="3097">
        <v>135.15</v>
      </c>
      <c r="G41" s="3097">
        <v>7717508.29</v>
      </c>
      <c r="H41" s="3156">
        <v>57103</v>
      </c>
      <c r="I41" s="3155">
        <f t="shared" ca="1" si="0"/>
        <v>54321</v>
      </c>
      <c r="J41" s="3156">
        <f t="shared" ca="1" si="1"/>
        <v>734</v>
      </c>
      <c r="K41" s="3191">
        <f t="shared" ref="K41" ca="1" si="31">J41+J42</f>
        <v>876</v>
      </c>
      <c r="L41" s="3177"/>
      <c r="M41" s="3177"/>
      <c r="N41" s="3177"/>
      <c r="O41" s="3177"/>
    </row>
    <row r="42" spans="1:24" ht="24">
      <c r="A42" s="3157" t="s">
        <v>4191</v>
      </c>
      <c r="B42" s="3329"/>
      <c r="C42" s="3096" t="s">
        <v>4180</v>
      </c>
      <c r="D42" s="3097" t="s">
        <v>3777</v>
      </c>
      <c r="E42" s="3097" t="s">
        <v>3796</v>
      </c>
      <c r="F42" s="3097">
        <v>85.14</v>
      </c>
      <c r="G42" s="3097">
        <v>2541445.1800000002</v>
      </c>
      <c r="H42" s="3156">
        <v>29850</v>
      </c>
      <c r="I42" s="3155">
        <f t="shared" ca="1" si="0"/>
        <v>16652</v>
      </c>
      <c r="J42" s="3156">
        <f t="shared" ca="1" si="1"/>
        <v>142</v>
      </c>
      <c r="K42" s="3177"/>
      <c r="L42" s="3177"/>
      <c r="M42" s="3177"/>
      <c r="N42" s="3177"/>
      <c r="O42" s="3177"/>
    </row>
    <row r="43" spans="1:24">
      <c r="A43" s="3157" t="s">
        <v>4191</v>
      </c>
      <c r="B43" s="3329"/>
      <c r="C43" s="3096" t="s">
        <v>4180</v>
      </c>
      <c r="D43" s="3097" t="s">
        <v>3777</v>
      </c>
      <c r="E43" s="3097" t="s">
        <v>3797</v>
      </c>
      <c r="F43" s="3097">
        <v>84.19</v>
      </c>
      <c r="G43" s="3097">
        <v>2525106.46</v>
      </c>
      <c r="H43" s="3156">
        <v>29993</v>
      </c>
      <c r="I43" s="3155">
        <f t="shared" ca="1" si="0"/>
        <v>16652</v>
      </c>
      <c r="J43" s="3156">
        <f t="shared" ca="1" si="1"/>
        <v>140</v>
      </c>
      <c r="K43" s="3177">
        <f t="shared" ref="K43" ca="1" si="32">J43</f>
        <v>140</v>
      </c>
      <c r="L43" s="3177"/>
      <c r="M43" s="3177"/>
      <c r="N43" s="3177"/>
      <c r="O43" s="3177"/>
    </row>
    <row r="44" spans="1:24">
      <c r="A44" s="3157" t="s">
        <v>4191</v>
      </c>
      <c r="B44" s="3329">
        <v>15</v>
      </c>
      <c r="C44" s="3096" t="s">
        <v>3209</v>
      </c>
      <c r="D44" s="3097" t="s">
        <v>3777</v>
      </c>
      <c r="E44" s="3097" t="s">
        <v>3803</v>
      </c>
      <c r="F44" s="3097">
        <v>134.81</v>
      </c>
      <c r="G44" s="3097">
        <v>8518897.3399999999</v>
      </c>
      <c r="H44" s="3156">
        <v>63192</v>
      </c>
      <c r="I44" s="3155">
        <f t="shared" ca="1" si="0"/>
        <v>54321</v>
      </c>
      <c r="J44" s="3156">
        <f t="shared" ca="1" si="1"/>
        <v>732</v>
      </c>
      <c r="K44" s="3191">
        <f t="shared" ref="K44" ca="1" si="33">J44+J45</f>
        <v>873</v>
      </c>
      <c r="L44" s="3177"/>
      <c r="M44" s="3177"/>
      <c r="N44" s="3177"/>
      <c r="O44" s="3177"/>
    </row>
    <row r="45" spans="1:24" ht="24">
      <c r="A45" s="3157" t="s">
        <v>4191</v>
      </c>
      <c r="B45" s="3329"/>
      <c r="C45" s="3096" t="s">
        <v>4180</v>
      </c>
      <c r="D45" s="3097" t="s">
        <v>3777</v>
      </c>
      <c r="E45" s="3097" t="s">
        <v>3804</v>
      </c>
      <c r="F45" s="3097">
        <v>84.72</v>
      </c>
      <c r="G45" s="3097">
        <v>2528852.1800000002</v>
      </c>
      <c r="H45" s="3156">
        <v>29850</v>
      </c>
      <c r="I45" s="3155">
        <f t="shared" ca="1" si="0"/>
        <v>16652</v>
      </c>
      <c r="J45" s="3156">
        <f t="shared" ca="1" si="1"/>
        <v>141</v>
      </c>
      <c r="K45" s="3177"/>
      <c r="L45" s="3177"/>
      <c r="M45" s="3177"/>
      <c r="N45" s="3177"/>
      <c r="O45" s="3177"/>
    </row>
    <row r="46" spans="1:24">
      <c r="A46" s="3157" t="s">
        <v>4191</v>
      </c>
      <c r="B46" s="3329"/>
      <c r="C46" s="3096" t="s">
        <v>4180</v>
      </c>
      <c r="D46" s="3097" t="s">
        <v>3777</v>
      </c>
      <c r="E46" s="3097" t="s">
        <v>3805</v>
      </c>
      <c r="F46" s="3097">
        <v>83.47</v>
      </c>
      <c r="G46" s="3097">
        <v>2503497.35</v>
      </c>
      <c r="H46" s="3156">
        <v>29993</v>
      </c>
      <c r="I46" s="3155">
        <f t="shared" ca="1" si="0"/>
        <v>16652</v>
      </c>
      <c r="J46" s="3156">
        <f t="shared" ca="1" si="1"/>
        <v>139</v>
      </c>
      <c r="K46" s="3177">
        <f t="shared" ref="K46" ca="1" si="34">J46</f>
        <v>139</v>
      </c>
      <c r="L46" s="3177"/>
      <c r="M46" s="3177"/>
      <c r="N46" s="3177"/>
      <c r="O46" s="3177"/>
    </row>
    <row r="47" spans="1:24">
      <c r="A47" s="3157" t="s">
        <v>4191</v>
      </c>
      <c r="B47" s="3329">
        <v>16</v>
      </c>
      <c r="C47" s="3096" t="s">
        <v>3209</v>
      </c>
      <c r="D47" s="3097" t="s">
        <v>3777</v>
      </c>
      <c r="E47" s="3097" t="s">
        <v>3811</v>
      </c>
      <c r="F47" s="3097">
        <v>134.96</v>
      </c>
      <c r="G47" s="3097">
        <v>7785473.96</v>
      </c>
      <c r="H47" s="3156">
        <v>57687</v>
      </c>
      <c r="I47" s="3155">
        <f t="shared" ca="1" si="0"/>
        <v>54321</v>
      </c>
      <c r="J47" s="3156">
        <f t="shared" ca="1" si="1"/>
        <v>733</v>
      </c>
      <c r="K47" s="3191">
        <f t="shared" ref="K47" ca="1" si="35">J47+J48</f>
        <v>874</v>
      </c>
      <c r="L47" s="3177"/>
      <c r="M47" s="3177"/>
      <c r="N47" s="3177"/>
      <c r="O47" s="3177"/>
    </row>
    <row r="48" spans="1:24" ht="24">
      <c r="A48" s="3157" t="s">
        <v>4191</v>
      </c>
      <c r="B48" s="3329"/>
      <c r="C48" s="3096" t="s">
        <v>4180</v>
      </c>
      <c r="D48" s="3097" t="s">
        <v>3777</v>
      </c>
      <c r="E48" s="3097" t="s">
        <v>3812</v>
      </c>
      <c r="F48" s="3097">
        <v>84.86</v>
      </c>
      <c r="G48" s="3097">
        <v>2533029.42</v>
      </c>
      <c r="H48" s="3156">
        <v>29850</v>
      </c>
      <c r="I48" s="3155">
        <f t="shared" ca="1" si="0"/>
        <v>16652</v>
      </c>
      <c r="J48" s="3156">
        <f t="shared" ca="1" si="1"/>
        <v>141</v>
      </c>
      <c r="K48" s="3177"/>
      <c r="L48" s="3177"/>
      <c r="M48" s="3177"/>
      <c r="N48" s="3177"/>
      <c r="O48" s="3177"/>
    </row>
    <row r="49" spans="1:15">
      <c r="A49" s="3157" t="s">
        <v>4191</v>
      </c>
      <c r="B49" s="3329"/>
      <c r="C49" s="3096" t="s">
        <v>4180</v>
      </c>
      <c r="D49" s="3097" t="s">
        <v>3777</v>
      </c>
      <c r="E49" s="3097" t="s">
        <v>3813</v>
      </c>
      <c r="F49" s="3097">
        <v>84.19</v>
      </c>
      <c r="G49" s="3097">
        <v>2525106.46</v>
      </c>
      <c r="H49" s="3156">
        <v>29993</v>
      </c>
      <c r="I49" s="3155">
        <f t="shared" ca="1" si="0"/>
        <v>16652</v>
      </c>
      <c r="J49" s="3156">
        <f t="shared" ca="1" si="1"/>
        <v>140</v>
      </c>
      <c r="K49" s="3177">
        <f t="shared" ref="K49" ca="1" si="36">J49</f>
        <v>140</v>
      </c>
      <c r="L49" s="3177"/>
      <c r="M49" s="3177"/>
      <c r="N49" s="3177"/>
      <c r="O49" s="3177"/>
    </row>
    <row r="50" spans="1:15">
      <c r="A50" s="3157" t="s">
        <v>4191</v>
      </c>
      <c r="B50" s="3329">
        <v>17</v>
      </c>
      <c r="C50" s="3096" t="s">
        <v>3209</v>
      </c>
      <c r="D50" s="3097" t="s">
        <v>3777</v>
      </c>
      <c r="E50" s="3097" t="s">
        <v>3819</v>
      </c>
      <c r="F50" s="3097">
        <v>135.15</v>
      </c>
      <c r="G50" s="3097">
        <v>7915507.0999999996</v>
      </c>
      <c r="H50" s="3156">
        <v>58568</v>
      </c>
      <c r="I50" s="3155">
        <f t="shared" ca="1" si="0"/>
        <v>54321</v>
      </c>
      <c r="J50" s="3156">
        <f t="shared" ca="1" si="1"/>
        <v>734</v>
      </c>
      <c r="K50" s="3191">
        <f t="shared" ref="K50" ca="1" si="37">J50+J51</f>
        <v>876</v>
      </c>
      <c r="L50" s="3177"/>
      <c r="M50" s="3177"/>
      <c r="N50" s="3177"/>
      <c r="O50" s="3177"/>
    </row>
    <row r="51" spans="1:15" ht="24">
      <c r="A51" s="3157" t="s">
        <v>4191</v>
      </c>
      <c r="B51" s="3329"/>
      <c r="C51" s="3096" t="s">
        <v>4180</v>
      </c>
      <c r="D51" s="3097" t="s">
        <v>3777</v>
      </c>
      <c r="E51" s="3097" t="s">
        <v>3820</v>
      </c>
      <c r="F51" s="3097">
        <v>85.14</v>
      </c>
      <c r="G51" s="3097">
        <v>2541445.1800000002</v>
      </c>
      <c r="H51" s="3156">
        <v>29850</v>
      </c>
      <c r="I51" s="3155">
        <f t="shared" ca="1" si="0"/>
        <v>16652</v>
      </c>
      <c r="J51" s="3156">
        <f t="shared" ca="1" si="1"/>
        <v>142</v>
      </c>
      <c r="K51" s="3177"/>
      <c r="L51" s="3177"/>
      <c r="M51" s="3177"/>
      <c r="N51" s="3177"/>
      <c r="O51" s="3177"/>
    </row>
    <row r="52" spans="1:15">
      <c r="A52" s="3157" t="s">
        <v>4191</v>
      </c>
      <c r="B52" s="3329"/>
      <c r="C52" s="3096" t="s">
        <v>4180</v>
      </c>
      <c r="D52" s="3097" t="s">
        <v>3777</v>
      </c>
      <c r="E52" s="3097" t="s">
        <v>3821</v>
      </c>
      <c r="F52" s="3097">
        <v>84.19</v>
      </c>
      <c r="G52" s="3097">
        <v>2525106.46</v>
      </c>
      <c r="H52" s="3156">
        <v>29993</v>
      </c>
      <c r="I52" s="3155">
        <f t="shared" ca="1" si="0"/>
        <v>16652</v>
      </c>
      <c r="J52" s="3156">
        <f t="shared" ca="1" si="1"/>
        <v>140</v>
      </c>
      <c r="K52" s="3177">
        <f t="shared" ref="K52" ca="1" si="38">J52</f>
        <v>140</v>
      </c>
      <c r="L52" s="3177"/>
      <c r="M52" s="3177"/>
      <c r="N52" s="3177"/>
      <c r="O52" s="3177"/>
    </row>
    <row r="53" spans="1:15">
      <c r="A53" s="3157" t="s">
        <v>4191</v>
      </c>
      <c r="B53" s="3329">
        <v>18</v>
      </c>
      <c r="C53" s="3096" t="s">
        <v>3209</v>
      </c>
      <c r="D53" s="3097" t="s">
        <v>3826</v>
      </c>
      <c r="E53" s="3097" t="s">
        <v>3828</v>
      </c>
      <c r="F53" s="3097">
        <v>135.19</v>
      </c>
      <c r="G53" s="3097">
        <v>8530334.8800000008</v>
      </c>
      <c r="H53" s="3156">
        <v>63099</v>
      </c>
      <c r="I53" s="3155">
        <f t="shared" ca="1" si="0"/>
        <v>54321</v>
      </c>
      <c r="J53" s="3156">
        <f t="shared" ca="1" si="1"/>
        <v>734</v>
      </c>
      <c r="K53" s="3191">
        <f t="shared" ref="K53" ca="1" si="39">J53+J54</f>
        <v>875</v>
      </c>
      <c r="L53" s="3177"/>
      <c r="M53" s="3177"/>
      <c r="N53" s="3177"/>
      <c r="O53" s="3177"/>
    </row>
    <row r="54" spans="1:15" ht="24">
      <c r="A54" s="3157" t="s">
        <v>4191</v>
      </c>
      <c r="B54" s="3329"/>
      <c r="C54" s="3096" t="s">
        <v>4180</v>
      </c>
      <c r="D54" s="3097" t="s">
        <v>3826</v>
      </c>
      <c r="E54" s="3097" t="s">
        <v>3829</v>
      </c>
      <c r="F54" s="3097">
        <v>84.97</v>
      </c>
      <c r="G54" s="3097">
        <v>2532723.73</v>
      </c>
      <c r="H54" s="3156">
        <v>29807</v>
      </c>
      <c r="I54" s="3155">
        <f t="shared" ca="1" si="0"/>
        <v>16652</v>
      </c>
      <c r="J54" s="3156">
        <f t="shared" ca="1" si="1"/>
        <v>141</v>
      </c>
      <c r="K54" s="3177"/>
      <c r="L54" s="3177"/>
      <c r="M54" s="3177"/>
      <c r="N54" s="3177"/>
      <c r="O54" s="3177"/>
    </row>
    <row r="55" spans="1:15">
      <c r="A55" s="3157" t="s">
        <v>4191</v>
      </c>
      <c r="B55" s="3329"/>
      <c r="C55" s="3096" t="s">
        <v>4180</v>
      </c>
      <c r="D55" s="3097" t="s">
        <v>3826</v>
      </c>
      <c r="E55" s="3097" t="s">
        <v>3830</v>
      </c>
      <c r="F55" s="3097">
        <v>83.89</v>
      </c>
      <c r="G55" s="3097">
        <v>2507108.02</v>
      </c>
      <c r="H55" s="3156">
        <v>29886</v>
      </c>
      <c r="I55" s="3155">
        <f t="shared" ca="1" si="0"/>
        <v>16652</v>
      </c>
      <c r="J55" s="3156">
        <f t="shared" ca="1" si="1"/>
        <v>140</v>
      </c>
      <c r="K55" s="3177">
        <f t="shared" ref="K55" ca="1" si="40">J55</f>
        <v>140</v>
      </c>
      <c r="L55" s="3177"/>
      <c r="M55" s="3177"/>
      <c r="N55" s="3177"/>
      <c r="O55" s="3177"/>
    </row>
    <row r="56" spans="1:15">
      <c r="A56" s="3157" t="s">
        <v>4191</v>
      </c>
      <c r="B56" s="3329">
        <v>19</v>
      </c>
      <c r="C56" s="3096" t="s">
        <v>3209</v>
      </c>
      <c r="D56" s="3097" t="s">
        <v>3826</v>
      </c>
      <c r="E56" s="3097" t="s">
        <v>3836</v>
      </c>
      <c r="F56" s="3097">
        <v>135.54</v>
      </c>
      <c r="G56" s="3097">
        <v>7847383.7800000003</v>
      </c>
      <c r="H56" s="3156">
        <v>57897</v>
      </c>
      <c r="I56" s="3155">
        <f t="shared" ca="1" si="0"/>
        <v>54321</v>
      </c>
      <c r="J56" s="3156">
        <f t="shared" ca="1" si="1"/>
        <v>736</v>
      </c>
      <c r="K56" s="3191">
        <f t="shared" ref="K56" ca="1" si="41">J56+J57</f>
        <v>878</v>
      </c>
      <c r="L56" s="3177"/>
      <c r="M56" s="3177"/>
      <c r="N56" s="3177"/>
      <c r="O56" s="3177"/>
    </row>
    <row r="57" spans="1:15" ht="24">
      <c r="A57" s="3157" t="s">
        <v>4191</v>
      </c>
      <c r="B57" s="3329"/>
      <c r="C57" s="3096" t="s">
        <v>4180</v>
      </c>
      <c r="D57" s="3097" t="s">
        <v>3826</v>
      </c>
      <c r="E57" s="3097" t="s">
        <v>3837</v>
      </c>
      <c r="F57" s="3097">
        <v>85.38</v>
      </c>
      <c r="G57" s="3097">
        <v>2545026.6800000002</v>
      </c>
      <c r="H57" s="3156">
        <v>29808</v>
      </c>
      <c r="I57" s="3155">
        <f t="shared" ca="1" si="0"/>
        <v>16652</v>
      </c>
      <c r="J57" s="3156">
        <f t="shared" ca="1" si="1"/>
        <v>142</v>
      </c>
      <c r="K57" s="3177"/>
      <c r="L57" s="3177"/>
      <c r="M57" s="3177"/>
      <c r="N57" s="3177"/>
      <c r="O57" s="3177"/>
    </row>
    <row r="58" spans="1:15">
      <c r="A58" s="3157" t="s">
        <v>4191</v>
      </c>
      <c r="B58" s="3329"/>
      <c r="C58" s="3096" t="s">
        <v>4180</v>
      </c>
      <c r="D58" s="3097" t="s">
        <v>3826</v>
      </c>
      <c r="E58" s="3097" t="s">
        <v>3838</v>
      </c>
      <c r="F58" s="3097">
        <v>84.62</v>
      </c>
      <c r="G58" s="3097">
        <v>2528693.54</v>
      </c>
      <c r="H58" s="3156">
        <v>29883</v>
      </c>
      <c r="I58" s="3155">
        <f t="shared" ca="1" si="0"/>
        <v>16652</v>
      </c>
      <c r="J58" s="3156">
        <f t="shared" ca="1" si="1"/>
        <v>141</v>
      </c>
      <c r="K58" s="3177">
        <f t="shared" ref="K58" ca="1" si="42">J58</f>
        <v>141</v>
      </c>
      <c r="L58" s="3177"/>
      <c r="M58" s="3177"/>
      <c r="N58" s="3177"/>
      <c r="O58" s="3177"/>
    </row>
    <row r="59" spans="1:15">
      <c r="A59" s="3186" t="s">
        <v>4191</v>
      </c>
      <c r="B59" s="3329">
        <v>20</v>
      </c>
      <c r="C59" s="3096" t="s">
        <v>3209</v>
      </c>
      <c r="D59" s="3097"/>
      <c r="E59" s="3188" t="s">
        <v>4491</v>
      </c>
      <c r="F59" s="3097">
        <v>178.86</v>
      </c>
      <c r="G59" s="3097">
        <v>10822460.880000001</v>
      </c>
      <c r="H59" s="3185">
        <f>G59/F59</f>
        <v>60508</v>
      </c>
      <c r="I59" s="3184">
        <f t="shared" ref="I59:I66" ca="1" si="43">IF(C59="大证住宅",$R$2,IF(C59="仓储",$R$3,$R$4))</f>
        <v>54321</v>
      </c>
      <c r="J59" s="3185">
        <f ca="1">ROUND(I59*F59/10000,0)</f>
        <v>972</v>
      </c>
      <c r="K59" s="3191">
        <f t="shared" ref="K59" ca="1" si="44">J59+J60</f>
        <v>1163</v>
      </c>
      <c r="L59" s="3177"/>
      <c r="M59" s="3177"/>
      <c r="N59" s="3177"/>
      <c r="O59" s="3177"/>
    </row>
    <row r="60" spans="1:15" ht="24">
      <c r="A60" s="3186" t="s">
        <v>4191</v>
      </c>
      <c r="B60" s="3329"/>
      <c r="C60" s="3096" t="s">
        <v>4180</v>
      </c>
      <c r="D60" s="3097"/>
      <c r="E60" s="3188" t="s">
        <v>4492</v>
      </c>
      <c r="F60" s="3097">
        <v>114.96</v>
      </c>
      <c r="G60" s="3097">
        <v>3448800</v>
      </c>
      <c r="H60" s="3191">
        <f t="shared" ref="H60:H65" si="45">G60/F60</f>
        <v>30000</v>
      </c>
      <c r="I60" s="3184">
        <f t="shared" ca="1" si="43"/>
        <v>16652</v>
      </c>
      <c r="J60" s="3185">
        <f t="shared" ref="J60:J65" ca="1" si="46">ROUND(I60*F60/10000,0)</f>
        <v>191</v>
      </c>
      <c r="K60" s="3177"/>
      <c r="L60" s="3177"/>
      <c r="M60" s="3177"/>
      <c r="N60" s="3177"/>
      <c r="O60" s="3177"/>
    </row>
    <row r="61" spans="1:15">
      <c r="A61" s="3186" t="s">
        <v>4191</v>
      </c>
      <c r="B61" s="3329"/>
      <c r="C61" s="3096" t="s">
        <v>4180</v>
      </c>
      <c r="D61" s="3097"/>
      <c r="E61" s="3188" t="s">
        <v>4493</v>
      </c>
      <c r="F61" s="3097">
        <v>115.03</v>
      </c>
      <c r="G61" s="3097">
        <v>3450900</v>
      </c>
      <c r="H61" s="3191">
        <f t="shared" si="45"/>
        <v>30000</v>
      </c>
      <c r="I61" s="3184">
        <f t="shared" ca="1" si="43"/>
        <v>16652</v>
      </c>
      <c r="J61" s="3185">
        <f t="shared" ca="1" si="46"/>
        <v>192</v>
      </c>
      <c r="K61" s="3177">
        <f t="shared" ref="K61" ca="1" si="47">J61</f>
        <v>192</v>
      </c>
      <c r="L61" s="3177"/>
      <c r="M61" s="3177"/>
      <c r="N61" s="3177"/>
      <c r="O61" s="3177"/>
    </row>
    <row r="62" spans="1:15">
      <c r="A62" s="3186" t="s">
        <v>4191</v>
      </c>
      <c r="B62" s="3329">
        <v>21</v>
      </c>
      <c r="C62" s="3096" t="s">
        <v>3209</v>
      </c>
      <c r="D62" s="3097"/>
      <c r="E62" s="3188" t="s">
        <v>4495</v>
      </c>
      <c r="F62" s="3097">
        <v>178.63</v>
      </c>
      <c r="G62" s="3097">
        <v>10808544.039999999</v>
      </c>
      <c r="H62" s="3191">
        <f t="shared" si="45"/>
        <v>60508</v>
      </c>
      <c r="I62" s="3184">
        <f t="shared" ca="1" si="43"/>
        <v>54321</v>
      </c>
      <c r="J62" s="3185">
        <f t="shared" ca="1" si="46"/>
        <v>970</v>
      </c>
      <c r="K62" s="3191">
        <f t="shared" ref="K62" ca="1" si="48">J62+J63</f>
        <v>1161</v>
      </c>
      <c r="L62" s="3177"/>
      <c r="M62" s="3177"/>
      <c r="N62" s="3177"/>
      <c r="O62" s="3177"/>
    </row>
    <row r="63" spans="1:15" ht="24">
      <c r="A63" s="3186" t="s">
        <v>4191</v>
      </c>
      <c r="B63" s="3329"/>
      <c r="C63" s="3096" t="s">
        <v>4180</v>
      </c>
      <c r="D63" s="3097"/>
      <c r="E63" s="3188" t="s">
        <v>4496</v>
      </c>
      <c r="F63" s="3097">
        <v>114.71</v>
      </c>
      <c r="G63" s="3097">
        <v>3441300</v>
      </c>
      <c r="H63" s="3191">
        <f t="shared" si="45"/>
        <v>30000</v>
      </c>
      <c r="I63" s="3184">
        <f t="shared" ca="1" si="43"/>
        <v>16652</v>
      </c>
      <c r="J63" s="3185">
        <f t="shared" ca="1" si="46"/>
        <v>191</v>
      </c>
      <c r="K63" s="3177"/>
      <c r="L63" s="3177"/>
      <c r="M63" s="3177"/>
      <c r="N63" s="3177"/>
      <c r="O63" s="3177"/>
    </row>
    <row r="64" spans="1:15">
      <c r="A64" s="3186" t="s">
        <v>4191</v>
      </c>
      <c r="B64" s="3329"/>
      <c r="C64" s="3096" t="s">
        <v>4180</v>
      </c>
      <c r="D64" s="3097"/>
      <c r="E64" s="3188" t="s">
        <v>4497</v>
      </c>
      <c r="F64" s="3097">
        <v>114.23</v>
      </c>
      <c r="G64" s="3097">
        <v>3426900</v>
      </c>
      <c r="H64" s="3191">
        <f t="shared" si="45"/>
        <v>30000</v>
      </c>
      <c r="I64" s="3184">
        <f t="shared" ca="1" si="43"/>
        <v>16652</v>
      </c>
      <c r="J64" s="3185">
        <f t="shared" ca="1" si="46"/>
        <v>190</v>
      </c>
      <c r="K64" s="3177">
        <f t="shared" ref="K64" ca="1" si="49">J64</f>
        <v>190</v>
      </c>
      <c r="L64" s="3177"/>
      <c r="M64" s="3177"/>
      <c r="N64" s="3177"/>
      <c r="O64" s="3177"/>
    </row>
    <row r="65" spans="1:15">
      <c r="A65" s="3186" t="s">
        <v>4191</v>
      </c>
      <c r="B65" s="3329">
        <v>22</v>
      </c>
      <c r="C65" s="3096" t="s">
        <v>3209</v>
      </c>
      <c r="D65" s="3097"/>
      <c r="E65" s="3188" t="s">
        <v>4498</v>
      </c>
      <c r="F65" s="3097">
        <v>178.63</v>
      </c>
      <c r="G65" s="3097">
        <v>10808544.039999999</v>
      </c>
      <c r="H65" s="3191">
        <f t="shared" si="45"/>
        <v>60508</v>
      </c>
      <c r="I65" s="3184">
        <f t="shared" ca="1" si="43"/>
        <v>54321</v>
      </c>
      <c r="J65" s="3185">
        <f t="shared" ca="1" si="46"/>
        <v>970</v>
      </c>
      <c r="K65" s="3191">
        <f t="shared" ref="K65" ca="1" si="50">J65+J66</f>
        <v>1161</v>
      </c>
      <c r="L65" s="3177"/>
      <c r="M65" s="3177"/>
      <c r="N65" s="3177"/>
      <c r="O65" s="3177"/>
    </row>
    <row r="66" spans="1:15" ht="24">
      <c r="A66" s="3186" t="s">
        <v>4191</v>
      </c>
      <c r="B66" s="3329"/>
      <c r="C66" s="3096" t="s">
        <v>4180</v>
      </c>
      <c r="D66" s="3097"/>
      <c r="E66" s="3188" t="s">
        <v>4499</v>
      </c>
      <c r="F66" s="3097">
        <v>114.71</v>
      </c>
      <c r="G66" s="3097">
        <v>3441300</v>
      </c>
      <c r="H66" s="3191">
        <f>G66/F66</f>
        <v>30000</v>
      </c>
      <c r="I66" s="3184">
        <f t="shared" ca="1" si="43"/>
        <v>16652</v>
      </c>
      <c r="J66" s="3185">
        <f ca="1">ROUND(I66*F66/10000,0)</f>
        <v>191</v>
      </c>
      <c r="K66" s="3177"/>
      <c r="L66" s="3177"/>
      <c r="M66" s="3177"/>
      <c r="N66" s="3177"/>
      <c r="O66" s="3177"/>
    </row>
    <row r="67" spans="1:15">
      <c r="A67" s="3186" t="s">
        <v>4191</v>
      </c>
      <c r="B67" s="3329"/>
      <c r="C67" s="3096" t="s">
        <v>4180</v>
      </c>
      <c r="D67" s="3097"/>
      <c r="E67" s="3188" t="s">
        <v>4500</v>
      </c>
      <c r="F67" s="3097">
        <v>114.23</v>
      </c>
      <c r="G67" s="3097">
        <v>3426900</v>
      </c>
      <c r="H67" s="3191">
        <f>G67/F67</f>
        <v>30000</v>
      </c>
      <c r="I67" s="3184">
        <f ca="1">IF(C67="大证住宅",$R$2,IF(C67="仓储",$R$3,$R$4))</f>
        <v>16652</v>
      </c>
      <c r="J67" s="3185">
        <f ca="1">ROUND(I67*F67/10000,0)</f>
        <v>190</v>
      </c>
      <c r="K67" s="3177">
        <f ca="1">J67</f>
        <v>190</v>
      </c>
      <c r="L67" s="3177"/>
      <c r="M67" s="3177"/>
      <c r="N67" s="3177"/>
      <c r="O67" s="3177"/>
    </row>
    <row r="68" spans="1:15">
      <c r="A68" s="3192" t="s">
        <v>4515</v>
      </c>
      <c r="B68" s="3192">
        <v>23</v>
      </c>
      <c r="C68" s="3187" t="s">
        <v>4516</v>
      </c>
      <c r="D68" s="3188" t="s">
        <v>4517</v>
      </c>
      <c r="E68" s="3188" t="s">
        <v>4518</v>
      </c>
      <c r="F68" s="3188">
        <v>83.89</v>
      </c>
      <c r="G68" s="3097">
        <v>2507100</v>
      </c>
      <c r="H68" s="3191">
        <f>G68/F68</f>
        <v>29885.564429610204</v>
      </c>
      <c r="I68" s="3190">
        <f ca="1">IF(C68="大证住宅",$R$2,IF(C68="仓储",$R$3,$R$4))</f>
        <v>16652</v>
      </c>
      <c r="J68" s="3191">
        <f ca="1">ROUND(I68*F68/10000,0)</f>
        <v>140</v>
      </c>
      <c r="K68" s="3177">
        <f ca="1">J68</f>
        <v>140</v>
      </c>
      <c r="L68" s="3177"/>
      <c r="M68" s="3177"/>
      <c r="N68" s="3177"/>
      <c r="O68" s="3177"/>
    </row>
    <row r="69" spans="1:15">
      <c r="A69" s="3335" t="s">
        <v>4453</v>
      </c>
      <c r="B69" s="3335"/>
      <c r="C69" s="3335"/>
      <c r="D69" s="3335"/>
      <c r="E69" s="3335"/>
      <c r="F69" s="3156">
        <f>SUM(F2:F68)</f>
        <v>7081.6299999999983</v>
      </c>
      <c r="G69" s="3156"/>
      <c r="H69" s="3156"/>
      <c r="I69" s="3155"/>
      <c r="J69" s="3191">
        <f ca="1">SUM(J2:J68)</f>
        <v>23467</v>
      </c>
      <c r="K69" s="3199">
        <f ca="1">SUM(K2:K68)</f>
        <v>23467</v>
      </c>
      <c r="L69" s="3177"/>
      <c r="M69" s="3177"/>
      <c r="N69" s="3177"/>
      <c r="O69" s="3177"/>
    </row>
    <row r="70" spans="1:15">
      <c r="A70" s="3157" t="s">
        <v>4192</v>
      </c>
      <c r="B70" s="3329">
        <v>24</v>
      </c>
      <c r="C70" s="3096" t="s">
        <v>3209</v>
      </c>
      <c r="D70" s="3097" t="s">
        <v>3416</v>
      </c>
      <c r="E70" s="3097" t="s">
        <v>3418</v>
      </c>
      <c r="F70" s="3097">
        <v>139.82</v>
      </c>
      <c r="G70" s="3097">
        <v>8820864.8900000006</v>
      </c>
      <c r="H70" s="3156">
        <v>63087</v>
      </c>
      <c r="I70" s="3155">
        <f t="shared" ca="1" si="0"/>
        <v>54321</v>
      </c>
      <c r="J70" s="3156">
        <f t="shared" ca="1" si="1"/>
        <v>760</v>
      </c>
      <c r="K70" s="3177">
        <f ca="1">J70+J71</f>
        <v>906</v>
      </c>
      <c r="L70" s="3177"/>
      <c r="M70" s="3177"/>
      <c r="N70" s="3177"/>
      <c r="O70" s="3177"/>
    </row>
    <row r="71" spans="1:15" ht="24">
      <c r="A71" s="3157" t="s">
        <v>4192</v>
      </c>
      <c r="B71" s="3329"/>
      <c r="C71" s="3096" t="s">
        <v>4180</v>
      </c>
      <c r="D71" s="3097" t="s">
        <v>3416</v>
      </c>
      <c r="E71" s="3097" t="s">
        <v>3419</v>
      </c>
      <c r="F71" s="3097">
        <v>87.56</v>
      </c>
      <c r="G71" s="3097">
        <v>2609226.71</v>
      </c>
      <c r="H71" s="3156">
        <v>29799</v>
      </c>
      <c r="I71" s="3155">
        <f t="shared" ca="1" si="0"/>
        <v>16652</v>
      </c>
      <c r="J71" s="3156">
        <f t="shared" ca="1" si="1"/>
        <v>146</v>
      </c>
      <c r="K71" s="3177"/>
      <c r="L71" s="3177"/>
      <c r="M71" s="3177"/>
      <c r="N71" s="3177"/>
      <c r="O71" s="3177"/>
    </row>
    <row r="72" spans="1:15">
      <c r="A72" s="3157" t="s">
        <v>4192</v>
      </c>
      <c r="B72" s="3329"/>
      <c r="C72" s="3096" t="s">
        <v>4180</v>
      </c>
      <c r="D72" s="3097" t="s">
        <v>3416</v>
      </c>
      <c r="E72" s="3097" t="s">
        <v>3420</v>
      </c>
      <c r="F72" s="3097">
        <v>84.91</v>
      </c>
      <c r="G72" s="3097">
        <v>2531274.94</v>
      </c>
      <c r="H72" s="3156">
        <v>29811</v>
      </c>
      <c r="I72" s="3155">
        <f t="shared" ca="1" si="0"/>
        <v>16652</v>
      </c>
      <c r="J72" s="3156">
        <f t="shared" ca="1" si="1"/>
        <v>141</v>
      </c>
      <c r="K72" s="3177">
        <f ca="1">J72</f>
        <v>141</v>
      </c>
      <c r="L72" s="3177"/>
      <c r="M72" s="3177"/>
      <c r="N72" s="3177"/>
      <c r="O72" s="3177"/>
    </row>
    <row r="73" spans="1:15">
      <c r="A73" s="3157" t="s">
        <v>4192</v>
      </c>
      <c r="B73" s="3329">
        <v>25</v>
      </c>
      <c r="C73" s="3096" t="s">
        <v>3209</v>
      </c>
      <c r="D73" s="3097" t="s">
        <v>3425</v>
      </c>
      <c r="E73" s="3097" t="s">
        <v>3428</v>
      </c>
      <c r="F73" s="3097">
        <v>134.81</v>
      </c>
      <c r="G73" s="3097">
        <v>8315436.7000000002</v>
      </c>
      <c r="H73" s="3156">
        <v>61683</v>
      </c>
      <c r="I73" s="3155">
        <f t="shared" ca="1" si="0"/>
        <v>54321</v>
      </c>
      <c r="J73" s="3156">
        <f t="shared" ca="1" si="1"/>
        <v>732</v>
      </c>
      <c r="K73" s="3177">
        <f t="shared" ref="K73" ca="1" si="51">J73+J74</f>
        <v>873</v>
      </c>
      <c r="L73" s="3177"/>
      <c r="M73" s="3177"/>
      <c r="N73" s="3177"/>
      <c r="O73" s="3177"/>
    </row>
    <row r="74" spans="1:15" ht="24">
      <c r="A74" s="3157" t="s">
        <v>4192</v>
      </c>
      <c r="B74" s="3329"/>
      <c r="C74" s="3096" t="s">
        <v>4180</v>
      </c>
      <c r="D74" s="3097" t="s">
        <v>3425</v>
      </c>
      <c r="E74" s="3097" t="s">
        <v>3430</v>
      </c>
      <c r="F74" s="3097">
        <v>84.72</v>
      </c>
      <c r="G74" s="3097">
        <v>2528852.1800000002</v>
      </c>
      <c r="H74" s="3156">
        <v>29850</v>
      </c>
      <c r="I74" s="3155">
        <f t="shared" ca="1" si="0"/>
        <v>16652</v>
      </c>
      <c r="J74" s="3156">
        <f t="shared" ca="1" si="1"/>
        <v>141</v>
      </c>
      <c r="K74" s="3177"/>
      <c r="L74" s="3177"/>
      <c r="M74" s="3177"/>
      <c r="N74" s="3177"/>
      <c r="O74" s="3177"/>
    </row>
    <row r="75" spans="1:15">
      <c r="A75" s="3157" t="s">
        <v>4192</v>
      </c>
      <c r="B75" s="3329"/>
      <c r="C75" s="3096" t="s">
        <v>4180</v>
      </c>
      <c r="D75" s="3097" t="s">
        <v>3425</v>
      </c>
      <c r="E75" s="3097" t="s">
        <v>3432</v>
      </c>
      <c r="F75" s="3097">
        <v>83.47</v>
      </c>
      <c r="G75" s="3097">
        <v>2503497.35</v>
      </c>
      <c r="H75" s="3156">
        <v>29993</v>
      </c>
      <c r="I75" s="3155">
        <f t="shared" ca="1" si="0"/>
        <v>16652</v>
      </c>
      <c r="J75" s="3156">
        <f t="shared" ca="1" si="1"/>
        <v>139</v>
      </c>
      <c r="K75" s="3177">
        <f t="shared" ref="K75" ca="1" si="52">J75</f>
        <v>139</v>
      </c>
      <c r="L75" s="3177"/>
      <c r="M75" s="3177"/>
      <c r="N75" s="3177"/>
      <c r="O75" s="3177"/>
    </row>
    <row r="76" spans="1:15">
      <c r="A76" s="3157" t="s">
        <v>4192</v>
      </c>
      <c r="B76" s="3329">
        <v>26</v>
      </c>
      <c r="C76" s="3096" t="s">
        <v>3209</v>
      </c>
      <c r="D76" s="3097" t="s">
        <v>3425</v>
      </c>
      <c r="E76" s="3097" t="s">
        <v>3438</v>
      </c>
      <c r="F76" s="3097">
        <v>135.15</v>
      </c>
      <c r="G76" s="3097">
        <v>7925704.1600000001</v>
      </c>
      <c r="H76" s="3156">
        <v>58644</v>
      </c>
      <c r="I76" s="3155">
        <f t="shared" ca="1" si="0"/>
        <v>54321</v>
      </c>
      <c r="J76" s="3156">
        <f t="shared" ca="1" si="1"/>
        <v>734</v>
      </c>
      <c r="K76" s="3177">
        <f t="shared" ref="K76" ca="1" si="53">J76+J77</f>
        <v>876</v>
      </c>
      <c r="L76" s="3177"/>
      <c r="M76" s="3177"/>
      <c r="N76" s="3177"/>
      <c r="O76" s="3177"/>
    </row>
    <row r="77" spans="1:15" ht="24">
      <c r="A77" s="3157" t="s">
        <v>4192</v>
      </c>
      <c r="B77" s="3329"/>
      <c r="C77" s="3096" t="s">
        <v>4180</v>
      </c>
      <c r="D77" s="3097" t="s">
        <v>3425</v>
      </c>
      <c r="E77" s="3097" t="s">
        <v>3439</v>
      </c>
      <c r="F77" s="3097">
        <v>85.14</v>
      </c>
      <c r="G77" s="3097">
        <v>2541445.1800000002</v>
      </c>
      <c r="H77" s="3156">
        <v>29850</v>
      </c>
      <c r="I77" s="3155">
        <f t="shared" ref="I77:I140" ca="1" si="54">IF(C77="大证住宅",$R$2,IF(C77="仓储",$R$3,$R$4))</f>
        <v>16652</v>
      </c>
      <c r="J77" s="3156">
        <f t="shared" ref="J77:J140" ca="1" si="55">ROUND(I77*F77/10000,0)</f>
        <v>142</v>
      </c>
      <c r="K77" s="3177"/>
      <c r="L77" s="3177"/>
      <c r="M77" s="3177"/>
      <c r="N77" s="3177"/>
      <c r="O77" s="3177"/>
    </row>
    <row r="78" spans="1:15">
      <c r="A78" s="3157" t="s">
        <v>4192</v>
      </c>
      <c r="B78" s="3329"/>
      <c r="C78" s="3096" t="s">
        <v>4180</v>
      </c>
      <c r="D78" s="3097" t="s">
        <v>3425</v>
      </c>
      <c r="E78" s="3097" t="s">
        <v>3440</v>
      </c>
      <c r="F78" s="3097">
        <v>84.19</v>
      </c>
      <c r="G78" s="3097">
        <v>2525106.46</v>
      </c>
      <c r="H78" s="3156">
        <v>29993</v>
      </c>
      <c r="I78" s="3155">
        <f t="shared" ca="1" si="54"/>
        <v>16652</v>
      </c>
      <c r="J78" s="3156">
        <f t="shared" ca="1" si="55"/>
        <v>140</v>
      </c>
      <c r="K78" s="3177">
        <f t="shared" ref="K78" ca="1" si="56">J78</f>
        <v>140</v>
      </c>
      <c r="L78" s="3177"/>
      <c r="M78" s="3177"/>
      <c r="N78" s="3177"/>
      <c r="O78" s="3177"/>
    </row>
    <row r="79" spans="1:15">
      <c r="A79" s="3157" t="s">
        <v>4192</v>
      </c>
      <c r="B79" s="3329">
        <v>27</v>
      </c>
      <c r="C79" s="3096" t="s">
        <v>3209</v>
      </c>
      <c r="D79" s="3097" t="s">
        <v>3445</v>
      </c>
      <c r="E79" s="3097" t="s">
        <v>3447</v>
      </c>
      <c r="F79" s="3097">
        <v>134.69999999999999</v>
      </c>
      <c r="G79" s="3097">
        <v>8391599.8699999992</v>
      </c>
      <c r="H79" s="3156">
        <v>62298</v>
      </c>
      <c r="I79" s="3155">
        <f t="shared" ca="1" si="54"/>
        <v>54321</v>
      </c>
      <c r="J79" s="3156">
        <f t="shared" ca="1" si="55"/>
        <v>732</v>
      </c>
      <c r="K79" s="3177">
        <f t="shared" ref="K79" ca="1" si="57">J79+J80</f>
        <v>873</v>
      </c>
      <c r="L79" s="3177"/>
      <c r="M79" s="3177"/>
      <c r="N79" s="3177"/>
      <c r="O79" s="3177"/>
    </row>
    <row r="80" spans="1:15" ht="24">
      <c r="A80" s="3157" t="s">
        <v>4192</v>
      </c>
      <c r="B80" s="3329"/>
      <c r="C80" s="3096" t="s">
        <v>4180</v>
      </c>
      <c r="D80" s="3097" t="s">
        <v>3445</v>
      </c>
      <c r="E80" s="3097" t="s">
        <v>3448</v>
      </c>
      <c r="F80" s="3097">
        <v>84.65</v>
      </c>
      <c r="G80" s="3097">
        <v>2526763.56</v>
      </c>
      <c r="H80" s="3156">
        <v>29850</v>
      </c>
      <c r="I80" s="3155">
        <f t="shared" ca="1" si="54"/>
        <v>16652</v>
      </c>
      <c r="J80" s="3156">
        <f t="shared" ca="1" si="55"/>
        <v>141</v>
      </c>
      <c r="K80" s="3177"/>
      <c r="L80" s="3177"/>
      <c r="M80" s="3177"/>
      <c r="N80" s="3177"/>
      <c r="O80" s="3177"/>
    </row>
    <row r="81" spans="1:15">
      <c r="A81" s="3157" t="s">
        <v>4192</v>
      </c>
      <c r="B81" s="3329"/>
      <c r="C81" s="3096" t="s">
        <v>4180</v>
      </c>
      <c r="D81" s="3097" t="s">
        <v>3445</v>
      </c>
      <c r="E81" s="3097" t="s">
        <v>3449</v>
      </c>
      <c r="F81" s="3097">
        <v>83.45</v>
      </c>
      <c r="G81" s="3097">
        <v>2502904.17</v>
      </c>
      <c r="H81" s="3156">
        <v>29993</v>
      </c>
      <c r="I81" s="3155">
        <f t="shared" ca="1" si="54"/>
        <v>16652</v>
      </c>
      <c r="J81" s="3156">
        <f t="shared" ca="1" si="55"/>
        <v>139</v>
      </c>
      <c r="K81" s="3177">
        <f t="shared" ref="K81" ca="1" si="58">J81</f>
        <v>139</v>
      </c>
      <c r="L81" s="3177"/>
      <c r="M81" s="3177"/>
      <c r="N81" s="3177"/>
      <c r="O81" s="3177"/>
    </row>
    <row r="82" spans="1:15">
      <c r="A82" s="3157" t="s">
        <v>4192</v>
      </c>
      <c r="B82" s="3329">
        <v>28</v>
      </c>
      <c r="C82" s="3096" t="s">
        <v>3209</v>
      </c>
      <c r="D82" s="3097" t="s">
        <v>3445</v>
      </c>
      <c r="E82" s="3097" t="s">
        <v>3455</v>
      </c>
      <c r="F82" s="3097">
        <v>134.69999999999999</v>
      </c>
      <c r="G82" s="3097">
        <v>8511954.9399999995</v>
      </c>
      <c r="H82" s="3156">
        <v>63192</v>
      </c>
      <c r="I82" s="3155">
        <f t="shared" ca="1" si="54"/>
        <v>54321</v>
      </c>
      <c r="J82" s="3156">
        <f t="shared" ca="1" si="55"/>
        <v>732</v>
      </c>
      <c r="K82" s="3177">
        <f t="shared" ref="K82" ca="1" si="59">J82+J83</f>
        <v>873</v>
      </c>
      <c r="L82" s="3177"/>
      <c r="M82" s="3177"/>
      <c r="N82" s="3177"/>
      <c r="O82" s="3177"/>
    </row>
    <row r="83" spans="1:15" ht="24">
      <c r="A83" s="3157" t="s">
        <v>4192</v>
      </c>
      <c r="B83" s="3329"/>
      <c r="C83" s="3096" t="s">
        <v>4180</v>
      </c>
      <c r="D83" s="3097" t="s">
        <v>3445</v>
      </c>
      <c r="E83" s="3097" t="s">
        <v>3456</v>
      </c>
      <c r="F83" s="3097">
        <v>84.65</v>
      </c>
      <c r="G83" s="3097">
        <v>2526763.56</v>
      </c>
      <c r="H83" s="3156">
        <v>29850</v>
      </c>
      <c r="I83" s="3155">
        <f t="shared" ca="1" si="54"/>
        <v>16652</v>
      </c>
      <c r="J83" s="3156">
        <f t="shared" ca="1" si="55"/>
        <v>141</v>
      </c>
      <c r="K83" s="3177"/>
      <c r="L83" s="3177"/>
      <c r="M83" s="3177"/>
      <c r="N83" s="3177"/>
      <c r="O83" s="3177"/>
    </row>
    <row r="84" spans="1:15">
      <c r="A84" s="3157" t="s">
        <v>4192</v>
      </c>
      <c r="B84" s="3329"/>
      <c r="C84" s="3096" t="s">
        <v>4180</v>
      </c>
      <c r="D84" s="3097" t="s">
        <v>3445</v>
      </c>
      <c r="E84" s="3097" t="s">
        <v>3457</v>
      </c>
      <c r="F84" s="3097">
        <v>83.45</v>
      </c>
      <c r="G84" s="3097">
        <v>2502904.17</v>
      </c>
      <c r="H84" s="3156">
        <v>29993</v>
      </c>
      <c r="I84" s="3155">
        <f t="shared" ca="1" si="54"/>
        <v>16652</v>
      </c>
      <c r="J84" s="3156">
        <f t="shared" ca="1" si="55"/>
        <v>139</v>
      </c>
      <c r="K84" s="3177">
        <f t="shared" ref="K84" ca="1" si="60">J84</f>
        <v>139</v>
      </c>
      <c r="L84" s="3177"/>
      <c r="M84" s="3177"/>
      <c r="N84" s="3177"/>
      <c r="O84" s="3177"/>
    </row>
    <row r="85" spans="1:15">
      <c r="A85" s="3157" t="s">
        <v>4192</v>
      </c>
      <c r="B85" s="3329">
        <v>29</v>
      </c>
      <c r="C85" s="3096" t="s">
        <v>3209</v>
      </c>
      <c r="D85" s="3097" t="s">
        <v>3667</v>
      </c>
      <c r="E85" s="3097" t="s">
        <v>3669</v>
      </c>
      <c r="F85" s="3097">
        <v>134.66999999999999</v>
      </c>
      <c r="G85" s="3097">
        <v>7888736.9699999997</v>
      </c>
      <c r="H85" s="3156">
        <v>58578</v>
      </c>
      <c r="I85" s="3155">
        <f t="shared" ca="1" si="54"/>
        <v>54321</v>
      </c>
      <c r="J85" s="3156">
        <f t="shared" ca="1" si="55"/>
        <v>732</v>
      </c>
      <c r="K85" s="3177">
        <f t="shared" ref="K85" ca="1" si="61">J85+J86</f>
        <v>873</v>
      </c>
      <c r="L85" s="3177"/>
      <c r="M85" s="3177"/>
      <c r="N85" s="3177"/>
      <c r="O85" s="3177"/>
    </row>
    <row r="86" spans="1:15" ht="24">
      <c r="A86" s="3157" t="s">
        <v>4192</v>
      </c>
      <c r="B86" s="3329"/>
      <c r="C86" s="3096" t="s">
        <v>4180</v>
      </c>
      <c r="D86" s="3097" t="s">
        <v>3667</v>
      </c>
      <c r="E86" s="3097" t="s">
        <v>3670</v>
      </c>
      <c r="F86" s="3097">
        <v>84.7</v>
      </c>
      <c r="G86" s="3097">
        <v>2528228.09</v>
      </c>
      <c r="H86" s="3156">
        <v>29849</v>
      </c>
      <c r="I86" s="3155">
        <f t="shared" ca="1" si="54"/>
        <v>16652</v>
      </c>
      <c r="J86" s="3156">
        <f t="shared" ca="1" si="55"/>
        <v>141</v>
      </c>
      <c r="K86" s="3177"/>
      <c r="L86" s="3177"/>
      <c r="M86" s="3177"/>
      <c r="N86" s="3177"/>
      <c r="O86" s="3177"/>
    </row>
    <row r="87" spans="1:15">
      <c r="A87" s="3157" t="s">
        <v>4192</v>
      </c>
      <c r="B87" s="3329"/>
      <c r="C87" s="3096" t="s">
        <v>4180</v>
      </c>
      <c r="D87" s="3097" t="s">
        <v>3667</v>
      </c>
      <c r="E87" s="3097" t="s">
        <v>3671</v>
      </c>
      <c r="F87" s="3097">
        <v>84.1</v>
      </c>
      <c r="G87" s="3097">
        <v>2522398.69</v>
      </c>
      <c r="H87" s="3156">
        <v>29993</v>
      </c>
      <c r="I87" s="3155">
        <f t="shared" ca="1" si="54"/>
        <v>16652</v>
      </c>
      <c r="J87" s="3156">
        <f t="shared" ca="1" si="55"/>
        <v>140</v>
      </c>
      <c r="K87" s="3177">
        <f t="shared" ref="K87" ca="1" si="62">J87</f>
        <v>140</v>
      </c>
      <c r="L87" s="3177"/>
      <c r="M87" s="3177"/>
      <c r="N87" s="3177"/>
      <c r="O87" s="3177"/>
    </row>
    <row r="88" spans="1:15">
      <c r="A88" s="3157" t="s">
        <v>4192</v>
      </c>
      <c r="B88" s="3329">
        <v>30</v>
      </c>
      <c r="C88" s="3096" t="s">
        <v>3209</v>
      </c>
      <c r="D88" s="3097" t="s">
        <v>3676</v>
      </c>
      <c r="E88" s="3097" t="s">
        <v>3678</v>
      </c>
      <c r="F88" s="3097">
        <v>134.87</v>
      </c>
      <c r="G88" s="3097">
        <v>8522122.4000000004</v>
      </c>
      <c r="H88" s="3156">
        <v>63188</v>
      </c>
      <c r="I88" s="3155">
        <f t="shared" ca="1" si="54"/>
        <v>54321</v>
      </c>
      <c r="J88" s="3156">
        <f t="shared" ca="1" si="55"/>
        <v>733</v>
      </c>
      <c r="K88" s="3177">
        <f t="shared" ref="K88" ca="1" si="63">J88+J89</f>
        <v>874</v>
      </c>
      <c r="L88" s="3177"/>
      <c r="M88" s="3177"/>
      <c r="N88" s="3177"/>
      <c r="O88" s="3177"/>
    </row>
    <row r="89" spans="1:15" ht="24">
      <c r="A89" s="3157" t="s">
        <v>4192</v>
      </c>
      <c r="B89" s="3329"/>
      <c r="C89" s="3096" t="s">
        <v>4180</v>
      </c>
      <c r="D89" s="3097" t="s">
        <v>3676</v>
      </c>
      <c r="E89" s="3097" t="s">
        <v>3679</v>
      </c>
      <c r="F89" s="3097">
        <v>84.76</v>
      </c>
      <c r="G89" s="3097">
        <v>2530081.7599999998</v>
      </c>
      <c r="H89" s="3156">
        <v>29850</v>
      </c>
      <c r="I89" s="3155">
        <f t="shared" ca="1" si="54"/>
        <v>16652</v>
      </c>
      <c r="J89" s="3156">
        <f t="shared" ca="1" si="55"/>
        <v>141</v>
      </c>
      <c r="K89" s="3177"/>
      <c r="L89" s="3177"/>
      <c r="M89" s="3177"/>
      <c r="N89" s="3177"/>
      <c r="O89" s="3177"/>
    </row>
    <row r="90" spans="1:15">
      <c r="A90" s="3157" t="s">
        <v>4192</v>
      </c>
      <c r="B90" s="3329"/>
      <c r="C90" s="3096" t="s">
        <v>4180</v>
      </c>
      <c r="D90" s="3097" t="s">
        <v>3676</v>
      </c>
      <c r="E90" s="3097" t="s">
        <v>3680</v>
      </c>
      <c r="F90" s="3097">
        <v>83.48</v>
      </c>
      <c r="G90" s="3097">
        <v>2503774.73</v>
      </c>
      <c r="H90" s="3156">
        <v>29993</v>
      </c>
      <c r="I90" s="3155">
        <f t="shared" ca="1" si="54"/>
        <v>16652</v>
      </c>
      <c r="J90" s="3156">
        <f t="shared" ca="1" si="55"/>
        <v>139</v>
      </c>
      <c r="K90" s="3177">
        <f t="shared" ref="K90" ca="1" si="64">J90</f>
        <v>139</v>
      </c>
      <c r="L90" s="3177"/>
      <c r="M90" s="3177"/>
      <c r="N90" s="3177"/>
      <c r="O90" s="3177"/>
    </row>
    <row r="91" spans="1:15">
      <c r="A91" s="3157" t="s">
        <v>4192</v>
      </c>
      <c r="B91" s="3329">
        <v>31</v>
      </c>
      <c r="C91" s="3096" t="s">
        <v>3209</v>
      </c>
      <c r="D91" s="3097" t="s">
        <v>3676</v>
      </c>
      <c r="E91" s="3097" t="s">
        <v>3686</v>
      </c>
      <c r="F91" s="3097">
        <v>135.21</v>
      </c>
      <c r="G91" s="3097">
        <v>8038523.8499999996</v>
      </c>
      <c r="H91" s="3156">
        <v>59452</v>
      </c>
      <c r="I91" s="3155">
        <f t="shared" ca="1" si="54"/>
        <v>54321</v>
      </c>
      <c r="J91" s="3156">
        <f t="shared" ca="1" si="55"/>
        <v>734</v>
      </c>
      <c r="K91" s="3177">
        <f t="shared" ref="K91" ca="1" si="65">J91+J92</f>
        <v>876</v>
      </c>
      <c r="L91" s="3177"/>
      <c r="M91" s="3177"/>
      <c r="N91" s="3177"/>
      <c r="O91" s="3177"/>
    </row>
    <row r="92" spans="1:15" ht="24">
      <c r="A92" s="3157" t="s">
        <v>4192</v>
      </c>
      <c r="B92" s="3329"/>
      <c r="C92" s="3096" t="s">
        <v>4180</v>
      </c>
      <c r="D92" s="3097" t="s">
        <v>3676</v>
      </c>
      <c r="E92" s="3097" t="s">
        <v>3687</v>
      </c>
      <c r="F92" s="3097">
        <v>85.18</v>
      </c>
      <c r="G92" s="3097">
        <v>2542371.7200000002</v>
      </c>
      <c r="H92" s="3156">
        <v>29847</v>
      </c>
      <c r="I92" s="3155">
        <f t="shared" ca="1" si="54"/>
        <v>16652</v>
      </c>
      <c r="J92" s="3156">
        <f t="shared" ca="1" si="55"/>
        <v>142</v>
      </c>
      <c r="K92" s="3177"/>
      <c r="L92" s="3177"/>
      <c r="M92" s="3177"/>
      <c r="N92" s="3177"/>
      <c r="O92" s="3177"/>
    </row>
    <row r="93" spans="1:15">
      <c r="A93" s="3157" t="s">
        <v>4192</v>
      </c>
      <c r="B93" s="3329"/>
      <c r="C93" s="3096" t="s">
        <v>4180</v>
      </c>
      <c r="D93" s="3097" t="s">
        <v>3676</v>
      </c>
      <c r="E93" s="3097" t="s">
        <v>3688</v>
      </c>
      <c r="F93" s="3097">
        <v>84.2</v>
      </c>
      <c r="G93" s="3097">
        <v>2525405.5499999998</v>
      </c>
      <c r="H93" s="3156">
        <v>29993</v>
      </c>
      <c r="I93" s="3155">
        <f t="shared" ca="1" si="54"/>
        <v>16652</v>
      </c>
      <c r="J93" s="3156">
        <f t="shared" ca="1" si="55"/>
        <v>140</v>
      </c>
      <c r="K93" s="3177">
        <f t="shared" ref="K93" ca="1" si="66">J93</f>
        <v>140</v>
      </c>
      <c r="L93" s="3177"/>
      <c r="M93" s="3177"/>
      <c r="N93" s="3177"/>
      <c r="O93" s="3177"/>
    </row>
    <row r="94" spans="1:15">
      <c r="A94" s="3157" t="s">
        <v>4192</v>
      </c>
      <c r="B94" s="3329">
        <v>32</v>
      </c>
      <c r="C94" s="3096" t="s">
        <v>3209</v>
      </c>
      <c r="D94" s="3097" t="s">
        <v>3693</v>
      </c>
      <c r="E94" s="3097" t="s">
        <v>3695</v>
      </c>
      <c r="F94" s="3097">
        <v>134.76</v>
      </c>
      <c r="G94" s="3097">
        <v>7999929.0300000003</v>
      </c>
      <c r="H94" s="3156">
        <v>59364</v>
      </c>
      <c r="I94" s="3155">
        <f t="shared" ca="1" si="54"/>
        <v>54321</v>
      </c>
      <c r="J94" s="3156">
        <f t="shared" ca="1" si="55"/>
        <v>732</v>
      </c>
      <c r="K94" s="3177">
        <f t="shared" ref="K94" ca="1" si="67">J94+J95</f>
        <v>873</v>
      </c>
      <c r="L94" s="3177"/>
      <c r="M94" s="3177"/>
      <c r="N94" s="3177"/>
      <c r="O94" s="3177"/>
    </row>
    <row r="95" spans="1:15" ht="24">
      <c r="A95" s="3157" t="s">
        <v>4192</v>
      </c>
      <c r="B95" s="3329"/>
      <c r="C95" s="3096" t="s">
        <v>4180</v>
      </c>
      <c r="D95" s="3097" t="s">
        <v>3693</v>
      </c>
      <c r="E95" s="3097" t="s">
        <v>3696</v>
      </c>
      <c r="F95" s="3097">
        <v>84.74</v>
      </c>
      <c r="G95" s="3097">
        <v>2529767.79</v>
      </c>
      <c r="H95" s="3156">
        <v>29853</v>
      </c>
      <c r="I95" s="3155">
        <f t="shared" ca="1" si="54"/>
        <v>16652</v>
      </c>
      <c r="J95" s="3156">
        <f t="shared" ca="1" si="55"/>
        <v>141</v>
      </c>
      <c r="K95" s="3177"/>
      <c r="L95" s="3177"/>
      <c r="M95" s="3177"/>
      <c r="N95" s="3177"/>
      <c r="O95" s="3177"/>
    </row>
    <row r="96" spans="1:15">
      <c r="A96" s="3157" t="s">
        <v>4192</v>
      </c>
      <c r="B96" s="3329"/>
      <c r="C96" s="3096" t="s">
        <v>4180</v>
      </c>
      <c r="D96" s="3097" t="s">
        <v>3693</v>
      </c>
      <c r="E96" s="3097" t="s">
        <v>3697</v>
      </c>
      <c r="F96" s="3097">
        <v>84.11</v>
      </c>
      <c r="G96" s="3097">
        <v>2522996.36</v>
      </c>
      <c r="H96" s="3156">
        <v>29996</v>
      </c>
      <c r="I96" s="3155">
        <f t="shared" ca="1" si="54"/>
        <v>16652</v>
      </c>
      <c r="J96" s="3156">
        <f t="shared" ca="1" si="55"/>
        <v>140</v>
      </c>
      <c r="K96" s="3177">
        <f t="shared" ref="K96" ca="1" si="68">J96</f>
        <v>140</v>
      </c>
      <c r="L96" s="3177"/>
      <c r="M96" s="3177"/>
      <c r="N96" s="3177"/>
      <c r="O96" s="3177"/>
    </row>
    <row r="97" spans="1:15">
      <c r="A97" s="3157" t="s">
        <v>4192</v>
      </c>
      <c r="B97" s="3329">
        <v>33</v>
      </c>
      <c r="C97" s="3096" t="s">
        <v>3209</v>
      </c>
      <c r="D97" s="3097" t="s">
        <v>3702</v>
      </c>
      <c r="E97" s="3097" t="s">
        <v>3704</v>
      </c>
      <c r="F97" s="3097">
        <v>139.41</v>
      </c>
      <c r="G97" s="3097">
        <v>8797126.5</v>
      </c>
      <c r="H97" s="3156">
        <v>63103</v>
      </c>
      <c r="I97" s="3155">
        <f t="shared" ca="1" si="54"/>
        <v>54321</v>
      </c>
      <c r="J97" s="3156">
        <f t="shared" ca="1" si="55"/>
        <v>757</v>
      </c>
      <c r="K97" s="3177">
        <f t="shared" ref="K97" ca="1" si="69">J97+J98</f>
        <v>902</v>
      </c>
      <c r="L97" s="3177"/>
      <c r="M97" s="3177"/>
      <c r="N97" s="3177"/>
      <c r="O97" s="3177"/>
    </row>
    <row r="98" spans="1:15" ht="24">
      <c r="A98" s="3157" t="s">
        <v>4192</v>
      </c>
      <c r="B98" s="3329"/>
      <c r="C98" s="3096" t="s">
        <v>4180</v>
      </c>
      <c r="D98" s="3097" t="s">
        <v>3702</v>
      </c>
      <c r="E98" s="3097" t="s">
        <v>3705</v>
      </c>
      <c r="F98" s="3097">
        <v>87.14</v>
      </c>
      <c r="G98" s="3097">
        <v>2597668.67</v>
      </c>
      <c r="H98" s="3156">
        <v>29810</v>
      </c>
      <c r="I98" s="3155">
        <f t="shared" ca="1" si="54"/>
        <v>16652</v>
      </c>
      <c r="J98" s="3156">
        <f t="shared" ca="1" si="55"/>
        <v>145</v>
      </c>
      <c r="K98" s="3177"/>
      <c r="L98" s="3177"/>
      <c r="M98" s="3177"/>
      <c r="N98" s="3177"/>
      <c r="O98" s="3177"/>
    </row>
    <row r="99" spans="1:15">
      <c r="A99" s="3157" t="s">
        <v>4192</v>
      </c>
      <c r="B99" s="3329"/>
      <c r="C99" s="3096" t="s">
        <v>4180</v>
      </c>
      <c r="D99" s="3097" t="s">
        <v>3702</v>
      </c>
      <c r="E99" s="3097" t="s">
        <v>3706</v>
      </c>
      <c r="F99" s="3097">
        <v>85.08</v>
      </c>
      <c r="G99" s="3097">
        <v>2552100.52</v>
      </c>
      <c r="H99" s="3156">
        <v>29996</v>
      </c>
      <c r="I99" s="3155">
        <f t="shared" ca="1" si="54"/>
        <v>16652</v>
      </c>
      <c r="J99" s="3156">
        <f t="shared" ca="1" si="55"/>
        <v>142</v>
      </c>
      <c r="K99" s="3177">
        <f t="shared" ref="K99" ca="1" si="70">J99</f>
        <v>142</v>
      </c>
      <c r="L99" s="3177"/>
      <c r="M99" s="3177"/>
      <c r="N99" s="3177"/>
      <c r="O99" s="3177"/>
    </row>
    <row r="100" spans="1:15">
      <c r="A100" s="3157" t="s">
        <v>4192</v>
      </c>
      <c r="B100" s="3329">
        <v>34</v>
      </c>
      <c r="C100" s="3096" t="s">
        <v>3209</v>
      </c>
      <c r="D100" s="3097" t="s">
        <v>3843</v>
      </c>
      <c r="E100" s="3097" t="s">
        <v>3845</v>
      </c>
      <c r="F100" s="3097">
        <v>135.04</v>
      </c>
      <c r="G100" s="3097">
        <v>7711136.4500000002</v>
      </c>
      <c r="H100" s="3156">
        <v>57103</v>
      </c>
      <c r="I100" s="3155">
        <f t="shared" ca="1" si="54"/>
        <v>54321</v>
      </c>
      <c r="J100" s="3156">
        <f t="shared" ca="1" si="55"/>
        <v>734</v>
      </c>
      <c r="K100" s="3177">
        <f t="shared" ref="K100" ca="1" si="71">J100+J101</f>
        <v>876</v>
      </c>
      <c r="L100" s="3177"/>
      <c r="M100" s="3177"/>
      <c r="N100" s="3177"/>
      <c r="O100" s="3177"/>
    </row>
    <row r="101" spans="1:15" ht="24">
      <c r="A101" s="3157" t="s">
        <v>4192</v>
      </c>
      <c r="B101" s="3329"/>
      <c r="C101" s="3096" t="s">
        <v>4180</v>
      </c>
      <c r="D101" s="3097" t="s">
        <v>3843</v>
      </c>
      <c r="E101" s="3097" t="s">
        <v>3846</v>
      </c>
      <c r="F101" s="3097">
        <v>85.07</v>
      </c>
      <c r="G101" s="3097">
        <v>2539345.4500000002</v>
      </c>
      <c r="H101" s="3156">
        <v>29850</v>
      </c>
      <c r="I101" s="3155">
        <f t="shared" ca="1" si="54"/>
        <v>16652</v>
      </c>
      <c r="J101" s="3156">
        <f t="shared" ca="1" si="55"/>
        <v>142</v>
      </c>
      <c r="K101" s="3177"/>
      <c r="L101" s="3177"/>
      <c r="M101" s="3177"/>
      <c r="N101" s="3177"/>
      <c r="O101" s="3177"/>
    </row>
    <row r="102" spans="1:15">
      <c r="A102" s="3157" t="s">
        <v>4192</v>
      </c>
      <c r="B102" s="3329"/>
      <c r="C102" s="3096" t="s">
        <v>4180</v>
      </c>
      <c r="D102" s="3097" t="s">
        <v>3843</v>
      </c>
      <c r="E102" s="3097" t="s">
        <v>3847</v>
      </c>
      <c r="F102" s="3097">
        <v>84.17</v>
      </c>
      <c r="G102" s="3097">
        <v>2524509.9700000002</v>
      </c>
      <c r="H102" s="3156">
        <v>29993</v>
      </c>
      <c r="I102" s="3155">
        <f t="shared" ca="1" si="54"/>
        <v>16652</v>
      </c>
      <c r="J102" s="3156">
        <f t="shared" ca="1" si="55"/>
        <v>140</v>
      </c>
      <c r="K102" s="3177">
        <f t="shared" ref="K102" ca="1" si="72">J102</f>
        <v>140</v>
      </c>
      <c r="L102" s="3177"/>
      <c r="M102" s="3177"/>
      <c r="N102" s="3177"/>
      <c r="O102" s="3177"/>
    </row>
    <row r="103" spans="1:15">
      <c r="A103" s="3157" t="s">
        <v>4192</v>
      </c>
      <c r="B103" s="3329">
        <v>35</v>
      </c>
      <c r="C103" s="3096" t="s">
        <v>3209</v>
      </c>
      <c r="D103" s="3097" t="s">
        <v>3843</v>
      </c>
      <c r="E103" s="3097" t="s">
        <v>3853</v>
      </c>
      <c r="F103" s="3097">
        <v>134.69999999999999</v>
      </c>
      <c r="G103" s="3097">
        <v>8511954.3200000003</v>
      </c>
      <c r="H103" s="3156">
        <v>63192</v>
      </c>
      <c r="I103" s="3155">
        <f t="shared" ca="1" si="54"/>
        <v>54321</v>
      </c>
      <c r="J103" s="3156">
        <f t="shared" ca="1" si="55"/>
        <v>732</v>
      </c>
      <c r="K103" s="3177">
        <f t="shared" ref="K103" ca="1" si="73">J103+J104</f>
        <v>873</v>
      </c>
      <c r="L103" s="3177"/>
      <c r="M103" s="3177"/>
      <c r="N103" s="3177"/>
      <c r="O103" s="3177"/>
    </row>
    <row r="104" spans="1:15" ht="24">
      <c r="A104" s="3157" t="s">
        <v>4192</v>
      </c>
      <c r="B104" s="3329"/>
      <c r="C104" s="3096" t="s">
        <v>4180</v>
      </c>
      <c r="D104" s="3097" t="s">
        <v>3843</v>
      </c>
      <c r="E104" s="3097" t="s">
        <v>3854</v>
      </c>
      <c r="F104" s="3097">
        <v>84.65</v>
      </c>
      <c r="G104" s="3097">
        <v>2526763.56</v>
      </c>
      <c r="H104" s="3156">
        <v>29850</v>
      </c>
      <c r="I104" s="3155">
        <f t="shared" ca="1" si="54"/>
        <v>16652</v>
      </c>
      <c r="J104" s="3156">
        <f t="shared" ca="1" si="55"/>
        <v>141</v>
      </c>
      <c r="K104" s="3177"/>
      <c r="L104" s="3177"/>
      <c r="M104" s="3177"/>
      <c r="N104" s="3177"/>
      <c r="O104" s="3177"/>
    </row>
    <row r="105" spans="1:15">
      <c r="A105" s="3157" t="s">
        <v>4192</v>
      </c>
      <c r="B105" s="3329"/>
      <c r="C105" s="3096" t="s">
        <v>4180</v>
      </c>
      <c r="D105" s="3097" t="s">
        <v>3843</v>
      </c>
      <c r="E105" s="3097" t="s">
        <v>3855</v>
      </c>
      <c r="F105" s="3097">
        <v>83.45</v>
      </c>
      <c r="G105" s="3097">
        <v>2502904.17</v>
      </c>
      <c r="H105" s="3156">
        <v>29993</v>
      </c>
      <c r="I105" s="3155">
        <f t="shared" ca="1" si="54"/>
        <v>16652</v>
      </c>
      <c r="J105" s="3156">
        <f t="shared" ca="1" si="55"/>
        <v>139</v>
      </c>
      <c r="K105" s="3177">
        <f t="shared" ref="K105" ca="1" si="74">J105</f>
        <v>139</v>
      </c>
      <c r="L105" s="3177"/>
      <c r="M105" s="3177"/>
      <c r="N105" s="3177"/>
      <c r="O105" s="3177"/>
    </row>
    <row r="106" spans="1:15">
      <c r="A106" s="3157" t="s">
        <v>4192</v>
      </c>
      <c r="B106" s="3329">
        <v>36</v>
      </c>
      <c r="C106" s="3096" t="s">
        <v>3209</v>
      </c>
      <c r="D106" s="3097" t="s">
        <v>3843</v>
      </c>
      <c r="E106" s="3097" t="s">
        <v>3861</v>
      </c>
      <c r="F106" s="3097">
        <v>134.85</v>
      </c>
      <c r="G106" s="3097">
        <v>7779013.7400000002</v>
      </c>
      <c r="H106" s="3156">
        <v>57686</v>
      </c>
      <c r="I106" s="3155">
        <f t="shared" ca="1" si="54"/>
        <v>54321</v>
      </c>
      <c r="J106" s="3156">
        <f t="shared" ca="1" si="55"/>
        <v>733</v>
      </c>
      <c r="K106" s="3177">
        <f t="shared" ref="K106" ca="1" si="75">J106+J107</f>
        <v>874</v>
      </c>
      <c r="L106" s="3177"/>
      <c r="M106" s="3177"/>
      <c r="N106" s="3177"/>
      <c r="O106" s="3177"/>
    </row>
    <row r="107" spans="1:15" ht="24">
      <c r="A107" s="3157" t="s">
        <v>4192</v>
      </c>
      <c r="B107" s="3329"/>
      <c r="C107" s="3096" t="s">
        <v>4180</v>
      </c>
      <c r="D107" s="3097" t="s">
        <v>3843</v>
      </c>
      <c r="E107" s="3097" t="s">
        <v>3862</v>
      </c>
      <c r="F107" s="3097">
        <v>84.79</v>
      </c>
      <c r="G107" s="3097">
        <v>2530936.56</v>
      </c>
      <c r="H107" s="3156">
        <v>29849</v>
      </c>
      <c r="I107" s="3155">
        <f t="shared" ca="1" si="54"/>
        <v>16652</v>
      </c>
      <c r="J107" s="3156">
        <f t="shared" ca="1" si="55"/>
        <v>141</v>
      </c>
      <c r="K107" s="3177"/>
      <c r="L107" s="3177"/>
      <c r="M107" s="3177"/>
      <c r="N107" s="3177"/>
      <c r="O107" s="3177"/>
    </row>
    <row r="108" spans="1:15">
      <c r="A108" s="3157" t="s">
        <v>4192</v>
      </c>
      <c r="B108" s="3329"/>
      <c r="C108" s="3096" t="s">
        <v>4180</v>
      </c>
      <c r="D108" s="3097" t="s">
        <v>3843</v>
      </c>
      <c r="E108" s="3097" t="s">
        <v>3863</v>
      </c>
      <c r="F108" s="3097">
        <v>84.17</v>
      </c>
      <c r="G108" s="3097">
        <v>2524509.9700000002</v>
      </c>
      <c r="H108" s="3156">
        <v>29993</v>
      </c>
      <c r="I108" s="3155">
        <f t="shared" ca="1" si="54"/>
        <v>16652</v>
      </c>
      <c r="J108" s="3156">
        <f t="shared" ca="1" si="55"/>
        <v>140</v>
      </c>
      <c r="K108" s="3177">
        <f t="shared" ref="K108" ca="1" si="76">J108</f>
        <v>140</v>
      </c>
      <c r="L108" s="3177"/>
      <c r="M108" s="3177"/>
      <c r="N108" s="3177"/>
      <c r="O108" s="3177"/>
    </row>
    <row r="109" spans="1:15">
      <c r="A109" s="3157" t="s">
        <v>4192</v>
      </c>
      <c r="B109" s="3329">
        <v>37</v>
      </c>
      <c r="C109" s="3096" t="s">
        <v>3209</v>
      </c>
      <c r="D109" s="3097" t="s">
        <v>3843</v>
      </c>
      <c r="E109" s="3097" t="s">
        <v>3869</v>
      </c>
      <c r="F109" s="3097">
        <v>135.04</v>
      </c>
      <c r="G109" s="3097">
        <v>7909038.9199999999</v>
      </c>
      <c r="H109" s="3156">
        <v>58568</v>
      </c>
      <c r="I109" s="3155">
        <f t="shared" ca="1" si="54"/>
        <v>54321</v>
      </c>
      <c r="J109" s="3156">
        <f t="shared" ca="1" si="55"/>
        <v>734</v>
      </c>
      <c r="K109" s="3177">
        <f t="shared" ref="K109" ca="1" si="77">J109+J110</f>
        <v>876</v>
      </c>
      <c r="L109" s="3177"/>
      <c r="M109" s="3177"/>
      <c r="N109" s="3177"/>
      <c r="O109" s="3177"/>
    </row>
    <row r="110" spans="1:15" ht="24">
      <c r="A110" s="3157" t="s">
        <v>4192</v>
      </c>
      <c r="B110" s="3329"/>
      <c r="C110" s="3096" t="s">
        <v>4180</v>
      </c>
      <c r="D110" s="3097" t="s">
        <v>3843</v>
      </c>
      <c r="E110" s="3097" t="s">
        <v>3870</v>
      </c>
      <c r="F110" s="3097">
        <v>85.07</v>
      </c>
      <c r="G110" s="3097">
        <v>2539345.4500000002</v>
      </c>
      <c r="H110" s="3156">
        <v>29850</v>
      </c>
      <c r="I110" s="3155">
        <f t="shared" ca="1" si="54"/>
        <v>16652</v>
      </c>
      <c r="J110" s="3156">
        <f t="shared" ca="1" si="55"/>
        <v>142</v>
      </c>
      <c r="K110" s="3177"/>
      <c r="L110" s="3177"/>
      <c r="M110" s="3177"/>
      <c r="N110" s="3177"/>
      <c r="O110" s="3177"/>
    </row>
    <row r="111" spans="1:15">
      <c r="A111" s="3157" t="s">
        <v>4192</v>
      </c>
      <c r="B111" s="3329"/>
      <c r="C111" s="3096" t="s">
        <v>4180</v>
      </c>
      <c r="D111" s="3097" t="s">
        <v>3843</v>
      </c>
      <c r="E111" s="3097" t="s">
        <v>3871</v>
      </c>
      <c r="F111" s="3097">
        <v>84.17</v>
      </c>
      <c r="G111" s="3097">
        <v>2524509.13</v>
      </c>
      <c r="H111" s="3156">
        <v>29993</v>
      </c>
      <c r="I111" s="3155">
        <f t="shared" ca="1" si="54"/>
        <v>16652</v>
      </c>
      <c r="J111" s="3156">
        <f t="shared" ca="1" si="55"/>
        <v>140</v>
      </c>
      <c r="K111" s="3177">
        <f t="shared" ref="K111" ca="1" si="78">J111</f>
        <v>140</v>
      </c>
      <c r="L111" s="3177"/>
      <c r="M111" s="3177"/>
      <c r="N111" s="3177"/>
      <c r="O111" s="3177"/>
    </row>
    <row r="112" spans="1:15">
      <c r="A112" s="3157" t="s">
        <v>4192</v>
      </c>
      <c r="B112" s="3329">
        <v>38</v>
      </c>
      <c r="C112" s="3096" t="s">
        <v>3209</v>
      </c>
      <c r="D112" s="3097" t="s">
        <v>3876</v>
      </c>
      <c r="E112" s="3097" t="s">
        <v>3878</v>
      </c>
      <c r="F112" s="3097">
        <v>134.87</v>
      </c>
      <c r="G112" s="3097">
        <v>8522123.75</v>
      </c>
      <c r="H112" s="3156">
        <v>63188</v>
      </c>
      <c r="I112" s="3155">
        <f t="shared" ca="1" si="54"/>
        <v>54321</v>
      </c>
      <c r="J112" s="3156">
        <f t="shared" ca="1" si="55"/>
        <v>733</v>
      </c>
      <c r="K112" s="3177">
        <f t="shared" ref="K112" ca="1" si="79">J112+J113</f>
        <v>874</v>
      </c>
      <c r="L112" s="3177"/>
      <c r="M112" s="3177"/>
      <c r="N112" s="3177"/>
      <c r="O112" s="3177"/>
    </row>
    <row r="113" spans="1:15" ht="24">
      <c r="A113" s="3157" t="s">
        <v>4192</v>
      </c>
      <c r="B113" s="3329"/>
      <c r="C113" s="3096" t="s">
        <v>4180</v>
      </c>
      <c r="D113" s="3097" t="s">
        <v>3876</v>
      </c>
      <c r="E113" s="3097" t="s">
        <v>3879</v>
      </c>
      <c r="F113" s="3097">
        <v>84.76</v>
      </c>
      <c r="G113" s="3097">
        <v>2530081.7599999998</v>
      </c>
      <c r="H113" s="3156">
        <v>29850</v>
      </c>
      <c r="I113" s="3155">
        <f t="shared" ca="1" si="54"/>
        <v>16652</v>
      </c>
      <c r="J113" s="3156">
        <f t="shared" ca="1" si="55"/>
        <v>141</v>
      </c>
      <c r="K113" s="3177"/>
      <c r="L113" s="3177"/>
      <c r="M113" s="3177"/>
      <c r="N113" s="3177"/>
      <c r="O113" s="3177"/>
    </row>
    <row r="114" spans="1:15">
      <c r="A114" s="3157" t="s">
        <v>4192</v>
      </c>
      <c r="B114" s="3329"/>
      <c r="C114" s="3096" t="s">
        <v>4180</v>
      </c>
      <c r="D114" s="3097" t="s">
        <v>3876</v>
      </c>
      <c r="E114" s="3097" t="s">
        <v>3880</v>
      </c>
      <c r="F114" s="3097">
        <v>83.48</v>
      </c>
      <c r="G114" s="3097">
        <v>2503793.94</v>
      </c>
      <c r="H114" s="3156">
        <v>29993</v>
      </c>
      <c r="I114" s="3155">
        <f t="shared" ca="1" si="54"/>
        <v>16652</v>
      </c>
      <c r="J114" s="3156">
        <f t="shared" ca="1" si="55"/>
        <v>139</v>
      </c>
      <c r="K114" s="3177">
        <f t="shared" ref="K114" ca="1" si="80">J114</f>
        <v>139</v>
      </c>
      <c r="L114" s="3177"/>
      <c r="M114" s="3177"/>
      <c r="N114" s="3177"/>
      <c r="O114" s="3177"/>
    </row>
    <row r="115" spans="1:15">
      <c r="A115" s="3157" t="s">
        <v>4192</v>
      </c>
      <c r="B115" s="3329">
        <v>39</v>
      </c>
      <c r="C115" s="3096" t="s">
        <v>3209</v>
      </c>
      <c r="D115" s="3097" t="s">
        <v>3876</v>
      </c>
      <c r="E115" s="3097" t="s">
        <v>3886</v>
      </c>
      <c r="F115" s="3097">
        <v>135.02000000000001</v>
      </c>
      <c r="G115" s="3097">
        <v>7591182.2000000002</v>
      </c>
      <c r="H115" s="3156">
        <v>56223</v>
      </c>
      <c r="I115" s="3155">
        <f t="shared" ca="1" si="54"/>
        <v>54321</v>
      </c>
      <c r="J115" s="3156">
        <f t="shared" ca="1" si="55"/>
        <v>733</v>
      </c>
      <c r="K115" s="3177">
        <f t="shared" ref="K115" ca="1" si="81">J115+J116</f>
        <v>874</v>
      </c>
      <c r="L115" s="3177"/>
      <c r="M115" s="3177"/>
      <c r="N115" s="3177"/>
      <c r="O115" s="3177"/>
    </row>
    <row r="116" spans="1:15" ht="24">
      <c r="A116" s="3157" t="s">
        <v>4192</v>
      </c>
      <c r="B116" s="3329"/>
      <c r="C116" s="3096" t="s">
        <v>4180</v>
      </c>
      <c r="D116" s="3097" t="s">
        <v>3876</v>
      </c>
      <c r="E116" s="3097" t="s">
        <v>3887</v>
      </c>
      <c r="F116" s="3097">
        <v>84.9</v>
      </c>
      <c r="G116" s="3097">
        <v>2534260.7599999998</v>
      </c>
      <c r="H116" s="3156">
        <v>29850</v>
      </c>
      <c r="I116" s="3155">
        <f t="shared" ca="1" si="54"/>
        <v>16652</v>
      </c>
      <c r="J116" s="3156">
        <f t="shared" ca="1" si="55"/>
        <v>141</v>
      </c>
      <c r="K116" s="3177"/>
      <c r="L116" s="3177"/>
      <c r="M116" s="3177"/>
      <c r="N116" s="3177"/>
      <c r="O116" s="3177"/>
    </row>
    <row r="117" spans="1:15">
      <c r="A117" s="3157" t="s">
        <v>4192</v>
      </c>
      <c r="B117" s="3329"/>
      <c r="C117" s="3096" t="s">
        <v>4180</v>
      </c>
      <c r="D117" s="3097" t="s">
        <v>3876</v>
      </c>
      <c r="E117" s="3097" t="s">
        <v>3888</v>
      </c>
      <c r="F117" s="3097">
        <v>84.2</v>
      </c>
      <c r="G117" s="3097">
        <v>2525405.5499999998</v>
      </c>
      <c r="H117" s="3156">
        <v>29993</v>
      </c>
      <c r="I117" s="3155">
        <f t="shared" ca="1" si="54"/>
        <v>16652</v>
      </c>
      <c r="J117" s="3156">
        <f t="shared" ca="1" si="55"/>
        <v>140</v>
      </c>
      <c r="K117" s="3177">
        <f t="shared" ref="K117" ca="1" si="82">J117</f>
        <v>140</v>
      </c>
      <c r="L117" s="3177"/>
      <c r="M117" s="3177"/>
      <c r="N117" s="3177"/>
      <c r="O117" s="3177"/>
    </row>
    <row r="118" spans="1:15">
      <c r="A118" s="3157" t="s">
        <v>4192</v>
      </c>
      <c r="B118" s="3329">
        <v>40</v>
      </c>
      <c r="C118" s="3096" t="s">
        <v>3209</v>
      </c>
      <c r="D118" s="3097" t="s">
        <v>3876</v>
      </c>
      <c r="E118" s="3097" t="s">
        <v>3894</v>
      </c>
      <c r="F118" s="3097">
        <v>135.21</v>
      </c>
      <c r="G118" s="3097">
        <v>7721526.71</v>
      </c>
      <c r="H118" s="3156">
        <v>57108</v>
      </c>
      <c r="I118" s="3155">
        <f t="shared" ca="1" si="54"/>
        <v>54321</v>
      </c>
      <c r="J118" s="3156">
        <f t="shared" ca="1" si="55"/>
        <v>734</v>
      </c>
      <c r="K118" s="3177">
        <f t="shared" ref="K118" ca="1" si="83">J118+J119</f>
        <v>876</v>
      </c>
      <c r="L118" s="3177"/>
      <c r="M118" s="3177"/>
      <c r="N118" s="3177"/>
      <c r="O118" s="3177"/>
    </row>
    <row r="119" spans="1:15" ht="24">
      <c r="A119" s="3157" t="s">
        <v>4192</v>
      </c>
      <c r="B119" s="3329"/>
      <c r="C119" s="3096" t="s">
        <v>4180</v>
      </c>
      <c r="D119" s="3097" t="s">
        <v>3876</v>
      </c>
      <c r="E119" s="3097" t="s">
        <v>3895</v>
      </c>
      <c r="F119" s="3097">
        <v>85.18</v>
      </c>
      <c r="G119" s="3097">
        <v>2542371.7200000002</v>
      </c>
      <c r="H119" s="3156">
        <v>29847</v>
      </c>
      <c r="I119" s="3155">
        <f t="shared" ca="1" si="54"/>
        <v>16652</v>
      </c>
      <c r="J119" s="3156">
        <f t="shared" ca="1" si="55"/>
        <v>142</v>
      </c>
      <c r="K119" s="3177"/>
      <c r="L119" s="3177"/>
      <c r="M119" s="3177"/>
      <c r="N119" s="3177"/>
      <c r="O119" s="3177"/>
    </row>
    <row r="120" spans="1:15">
      <c r="A120" s="3157" t="s">
        <v>4192</v>
      </c>
      <c r="B120" s="3329"/>
      <c r="C120" s="3096" t="s">
        <v>4180</v>
      </c>
      <c r="D120" s="3097" t="s">
        <v>3876</v>
      </c>
      <c r="E120" s="3097" t="s">
        <v>3896</v>
      </c>
      <c r="F120" s="3097">
        <v>84.2</v>
      </c>
      <c r="G120" s="3097">
        <v>2525405.5499999998</v>
      </c>
      <c r="H120" s="3156">
        <v>29993</v>
      </c>
      <c r="I120" s="3155">
        <f t="shared" ca="1" si="54"/>
        <v>16652</v>
      </c>
      <c r="J120" s="3156">
        <f t="shared" ca="1" si="55"/>
        <v>140</v>
      </c>
      <c r="K120" s="3177">
        <f t="shared" ref="K120" ca="1" si="84">J120</f>
        <v>140</v>
      </c>
      <c r="L120" s="3177"/>
      <c r="M120" s="3177"/>
      <c r="N120" s="3177"/>
      <c r="O120" s="3177"/>
    </row>
    <row r="121" spans="1:15">
      <c r="A121" s="3157" t="s">
        <v>4192</v>
      </c>
      <c r="B121" s="3329">
        <v>41</v>
      </c>
      <c r="C121" s="3096" t="s">
        <v>3209</v>
      </c>
      <c r="D121" s="3097" t="s">
        <v>3876</v>
      </c>
      <c r="E121" s="3097" t="s">
        <v>3902</v>
      </c>
      <c r="F121" s="3097">
        <v>134.87</v>
      </c>
      <c r="G121" s="3097">
        <v>8522122.4000000004</v>
      </c>
      <c r="H121" s="3156">
        <v>63188</v>
      </c>
      <c r="I121" s="3155">
        <f t="shared" ca="1" si="54"/>
        <v>54321</v>
      </c>
      <c r="J121" s="3156">
        <f t="shared" ca="1" si="55"/>
        <v>733</v>
      </c>
      <c r="K121" s="3177">
        <f t="shared" ref="K121" ca="1" si="85">J121+J122</f>
        <v>874</v>
      </c>
      <c r="L121" s="3177"/>
      <c r="M121" s="3177"/>
      <c r="N121" s="3177"/>
      <c r="O121" s="3177"/>
    </row>
    <row r="122" spans="1:15" ht="24">
      <c r="A122" s="3157" t="s">
        <v>4192</v>
      </c>
      <c r="B122" s="3329"/>
      <c r="C122" s="3096" t="s">
        <v>4180</v>
      </c>
      <c r="D122" s="3097" t="s">
        <v>3876</v>
      </c>
      <c r="E122" s="3097" t="s">
        <v>3903</v>
      </c>
      <c r="F122" s="3097">
        <v>84.76</v>
      </c>
      <c r="G122" s="3097">
        <v>2530081.7599999998</v>
      </c>
      <c r="H122" s="3156">
        <v>29850</v>
      </c>
      <c r="I122" s="3155">
        <f t="shared" ca="1" si="54"/>
        <v>16652</v>
      </c>
      <c r="J122" s="3156">
        <f t="shared" ca="1" si="55"/>
        <v>141</v>
      </c>
      <c r="K122" s="3177"/>
      <c r="L122" s="3177"/>
      <c r="M122" s="3177"/>
      <c r="N122" s="3177"/>
      <c r="O122" s="3177"/>
    </row>
    <row r="123" spans="1:15">
      <c r="A123" s="3157" t="s">
        <v>4192</v>
      </c>
      <c r="B123" s="3329"/>
      <c r="C123" s="3096" t="s">
        <v>4180</v>
      </c>
      <c r="D123" s="3097" t="s">
        <v>3876</v>
      </c>
      <c r="E123" s="3097" t="s">
        <v>3904</v>
      </c>
      <c r="F123" s="3097">
        <v>83.48</v>
      </c>
      <c r="G123" s="3097">
        <v>2503793.94</v>
      </c>
      <c r="H123" s="3156">
        <v>29993</v>
      </c>
      <c r="I123" s="3155">
        <f t="shared" ca="1" si="54"/>
        <v>16652</v>
      </c>
      <c r="J123" s="3156">
        <f t="shared" ca="1" si="55"/>
        <v>139</v>
      </c>
      <c r="K123" s="3177">
        <f t="shared" ref="K123" ca="1" si="86">J123</f>
        <v>139</v>
      </c>
      <c r="L123" s="3177"/>
      <c r="M123" s="3177"/>
      <c r="N123" s="3177"/>
      <c r="O123" s="3177"/>
    </row>
    <row r="124" spans="1:15">
      <c r="A124" s="3157" t="s">
        <v>4192</v>
      </c>
      <c r="B124" s="3329">
        <v>42</v>
      </c>
      <c r="C124" s="3096" t="s">
        <v>3209</v>
      </c>
      <c r="D124" s="3097" t="s">
        <v>3876</v>
      </c>
      <c r="E124" s="3097" t="s">
        <v>3910</v>
      </c>
      <c r="F124" s="3097">
        <v>135.02000000000001</v>
      </c>
      <c r="G124" s="3097">
        <v>7788997.2999999998</v>
      </c>
      <c r="H124" s="3156">
        <v>57688</v>
      </c>
      <c r="I124" s="3155">
        <f t="shared" ca="1" si="54"/>
        <v>54321</v>
      </c>
      <c r="J124" s="3156">
        <f t="shared" ca="1" si="55"/>
        <v>733</v>
      </c>
      <c r="K124" s="3177">
        <f t="shared" ref="K124" ca="1" si="87">J124+J125</f>
        <v>874</v>
      </c>
      <c r="L124" s="3177"/>
      <c r="M124" s="3177"/>
      <c r="N124" s="3177"/>
      <c r="O124" s="3177"/>
    </row>
    <row r="125" spans="1:15" ht="24">
      <c r="A125" s="3157" t="s">
        <v>4192</v>
      </c>
      <c r="B125" s="3329"/>
      <c r="C125" s="3096" t="s">
        <v>4180</v>
      </c>
      <c r="D125" s="3097" t="s">
        <v>3876</v>
      </c>
      <c r="E125" s="3097" t="s">
        <v>3911</v>
      </c>
      <c r="F125" s="3097">
        <v>84.9</v>
      </c>
      <c r="G125" s="3097">
        <v>2534260.7599999998</v>
      </c>
      <c r="H125" s="3156">
        <v>29850</v>
      </c>
      <c r="I125" s="3155">
        <f t="shared" ca="1" si="54"/>
        <v>16652</v>
      </c>
      <c r="J125" s="3156">
        <f t="shared" ca="1" si="55"/>
        <v>141</v>
      </c>
      <c r="K125" s="3177"/>
      <c r="L125" s="3177"/>
      <c r="M125" s="3177"/>
      <c r="N125" s="3177"/>
      <c r="O125" s="3177"/>
    </row>
    <row r="126" spans="1:15">
      <c r="A126" s="3157" t="s">
        <v>4192</v>
      </c>
      <c r="B126" s="3329"/>
      <c r="C126" s="3096" t="s">
        <v>4180</v>
      </c>
      <c r="D126" s="3097" t="s">
        <v>3876</v>
      </c>
      <c r="E126" s="3097" t="s">
        <v>3912</v>
      </c>
      <c r="F126" s="3097">
        <v>84.2</v>
      </c>
      <c r="G126" s="3097">
        <v>2525405.5499999998</v>
      </c>
      <c r="H126" s="3156">
        <v>29993</v>
      </c>
      <c r="I126" s="3155">
        <f t="shared" ca="1" si="54"/>
        <v>16652</v>
      </c>
      <c r="J126" s="3156">
        <f t="shared" ca="1" si="55"/>
        <v>140</v>
      </c>
      <c r="K126" s="3177">
        <f t="shared" ref="K126" ca="1" si="88">J126</f>
        <v>140</v>
      </c>
      <c r="L126" s="3177"/>
      <c r="M126" s="3177"/>
      <c r="N126" s="3177"/>
      <c r="O126" s="3177"/>
    </row>
    <row r="127" spans="1:15">
      <c r="A127" s="3157" t="s">
        <v>4192</v>
      </c>
      <c r="B127" s="3329">
        <v>43</v>
      </c>
      <c r="C127" s="3096" t="s">
        <v>3209</v>
      </c>
      <c r="D127" s="3097" t="s">
        <v>3876</v>
      </c>
      <c r="E127" s="3097" t="s">
        <v>3918</v>
      </c>
      <c r="F127" s="3097">
        <v>135.21</v>
      </c>
      <c r="G127" s="3097">
        <v>7919624.2300000004</v>
      </c>
      <c r="H127" s="3156">
        <v>58573</v>
      </c>
      <c r="I127" s="3155">
        <f t="shared" ca="1" si="54"/>
        <v>54321</v>
      </c>
      <c r="J127" s="3156">
        <f t="shared" ca="1" si="55"/>
        <v>734</v>
      </c>
      <c r="K127" s="3177">
        <f t="shared" ref="K127" ca="1" si="89">J127+J128</f>
        <v>876</v>
      </c>
      <c r="L127" s="3177"/>
      <c r="M127" s="3177"/>
      <c r="N127" s="3177"/>
      <c r="O127" s="3177"/>
    </row>
    <row r="128" spans="1:15" ht="24">
      <c r="A128" s="3157" t="s">
        <v>4192</v>
      </c>
      <c r="B128" s="3329"/>
      <c r="C128" s="3096" t="s">
        <v>4180</v>
      </c>
      <c r="D128" s="3097" t="s">
        <v>3876</v>
      </c>
      <c r="E128" s="3097" t="s">
        <v>3919</v>
      </c>
      <c r="F128" s="3097">
        <v>85.18</v>
      </c>
      <c r="G128" s="3097">
        <v>2542371.7200000002</v>
      </c>
      <c r="H128" s="3156">
        <v>29847</v>
      </c>
      <c r="I128" s="3155">
        <f t="shared" ca="1" si="54"/>
        <v>16652</v>
      </c>
      <c r="J128" s="3156">
        <f t="shared" ca="1" si="55"/>
        <v>142</v>
      </c>
      <c r="K128" s="3177"/>
      <c r="L128" s="3177"/>
      <c r="M128" s="3177"/>
      <c r="N128" s="3177"/>
      <c r="O128" s="3177"/>
    </row>
    <row r="129" spans="1:15">
      <c r="A129" s="3157" t="s">
        <v>4192</v>
      </c>
      <c r="B129" s="3329"/>
      <c r="C129" s="3096" t="s">
        <v>4180</v>
      </c>
      <c r="D129" s="3097" t="s">
        <v>3876</v>
      </c>
      <c r="E129" s="3097" t="s">
        <v>3920</v>
      </c>
      <c r="F129" s="3097">
        <v>84.2</v>
      </c>
      <c r="G129" s="3097">
        <v>2525405.5499999998</v>
      </c>
      <c r="H129" s="3156">
        <v>29993</v>
      </c>
      <c r="I129" s="3155">
        <f t="shared" ca="1" si="54"/>
        <v>16652</v>
      </c>
      <c r="J129" s="3156">
        <f t="shared" ca="1" si="55"/>
        <v>140</v>
      </c>
      <c r="K129" s="3177">
        <f t="shared" ref="K129" ca="1" si="90">J129</f>
        <v>140</v>
      </c>
      <c r="L129" s="3177"/>
      <c r="M129" s="3177"/>
      <c r="N129" s="3177"/>
      <c r="O129" s="3177"/>
    </row>
    <row r="130" spans="1:15">
      <c r="A130" s="3157" t="s">
        <v>4192</v>
      </c>
      <c r="B130" s="3329">
        <v>44</v>
      </c>
      <c r="C130" s="3096" t="s">
        <v>3209</v>
      </c>
      <c r="D130" s="3097" t="s">
        <v>3925</v>
      </c>
      <c r="E130" s="3097" t="s">
        <v>3927</v>
      </c>
      <c r="F130" s="3097">
        <v>135.36000000000001</v>
      </c>
      <c r="G130" s="3097">
        <v>8541090.1199999992</v>
      </c>
      <c r="H130" s="3156">
        <v>63099</v>
      </c>
      <c r="I130" s="3155">
        <f t="shared" ca="1" si="54"/>
        <v>54321</v>
      </c>
      <c r="J130" s="3156">
        <f t="shared" ca="1" si="55"/>
        <v>735</v>
      </c>
      <c r="K130" s="3177">
        <f t="shared" ref="K130" ca="1" si="91">J130+J131</f>
        <v>877</v>
      </c>
      <c r="L130" s="3177"/>
      <c r="M130" s="3177"/>
      <c r="N130" s="3177"/>
      <c r="O130" s="3177"/>
    </row>
    <row r="131" spans="1:15" ht="24">
      <c r="A131" s="3157" t="s">
        <v>4192</v>
      </c>
      <c r="B131" s="3329"/>
      <c r="C131" s="3096" t="s">
        <v>4180</v>
      </c>
      <c r="D131" s="3097" t="s">
        <v>3925</v>
      </c>
      <c r="E131" s="3097" t="s">
        <v>3928</v>
      </c>
      <c r="F131" s="3097">
        <v>85.07</v>
      </c>
      <c r="G131" s="3097">
        <v>2535734.23</v>
      </c>
      <c r="H131" s="3156">
        <v>29808</v>
      </c>
      <c r="I131" s="3155">
        <f t="shared" ca="1" si="54"/>
        <v>16652</v>
      </c>
      <c r="J131" s="3156">
        <f t="shared" ca="1" si="55"/>
        <v>142</v>
      </c>
      <c r="K131" s="3177"/>
      <c r="L131" s="3177"/>
      <c r="M131" s="3177"/>
      <c r="N131" s="3177"/>
      <c r="O131" s="3177"/>
    </row>
    <row r="132" spans="1:15">
      <c r="A132" s="3157" t="s">
        <v>4192</v>
      </c>
      <c r="B132" s="3329"/>
      <c r="C132" s="3096" t="s">
        <v>4180</v>
      </c>
      <c r="D132" s="3097" t="s">
        <v>3925</v>
      </c>
      <c r="E132" s="3097" t="s">
        <v>3929</v>
      </c>
      <c r="F132" s="3097">
        <v>83.93</v>
      </c>
      <c r="G132" s="3097">
        <v>2507997.1</v>
      </c>
      <c r="H132" s="3156">
        <v>29882</v>
      </c>
      <c r="I132" s="3155">
        <f t="shared" ca="1" si="54"/>
        <v>16652</v>
      </c>
      <c r="J132" s="3156">
        <f t="shared" ca="1" si="55"/>
        <v>140</v>
      </c>
      <c r="K132" s="3177">
        <f t="shared" ref="K132" ca="1" si="92">J132</f>
        <v>140</v>
      </c>
      <c r="L132" s="3177"/>
      <c r="M132" s="3177"/>
      <c r="N132" s="3177"/>
      <c r="O132" s="3177"/>
    </row>
    <row r="133" spans="1:15">
      <c r="A133" s="3157" t="s">
        <v>4192</v>
      </c>
      <c r="B133" s="3329">
        <v>45</v>
      </c>
      <c r="C133" s="3096" t="s">
        <v>3209</v>
      </c>
      <c r="D133" s="3097" t="s">
        <v>3934</v>
      </c>
      <c r="E133" s="3097" t="s">
        <v>3936</v>
      </c>
      <c r="F133" s="3097">
        <v>134.87</v>
      </c>
      <c r="G133" s="3097">
        <v>7701689.3099999996</v>
      </c>
      <c r="H133" s="3156">
        <v>57105</v>
      </c>
      <c r="I133" s="3155">
        <f t="shared" ca="1" si="54"/>
        <v>54321</v>
      </c>
      <c r="J133" s="3156">
        <f t="shared" ca="1" si="55"/>
        <v>733</v>
      </c>
      <c r="K133" s="3177">
        <f t="shared" ref="K133" ca="1" si="93">J133+J134</f>
        <v>874</v>
      </c>
      <c r="L133" s="3177"/>
      <c r="M133" s="3177"/>
      <c r="N133" s="3177"/>
      <c r="O133" s="3177"/>
    </row>
    <row r="134" spans="1:15" ht="24">
      <c r="A134" s="3157" t="s">
        <v>4192</v>
      </c>
      <c r="B134" s="3329"/>
      <c r="C134" s="3096" t="s">
        <v>4180</v>
      </c>
      <c r="D134" s="3097" t="s">
        <v>3934</v>
      </c>
      <c r="E134" s="3097" t="s">
        <v>3937</v>
      </c>
      <c r="F134" s="3097">
        <v>84.82</v>
      </c>
      <c r="G134" s="3097">
        <v>2531552.14</v>
      </c>
      <c r="H134" s="3156">
        <v>29846</v>
      </c>
      <c r="I134" s="3155">
        <f t="shared" ca="1" si="54"/>
        <v>16652</v>
      </c>
      <c r="J134" s="3156">
        <f t="shared" ca="1" si="55"/>
        <v>141</v>
      </c>
      <c r="K134" s="3177"/>
      <c r="L134" s="3177"/>
      <c r="M134" s="3177"/>
      <c r="N134" s="3177"/>
      <c r="O134" s="3177"/>
    </row>
    <row r="135" spans="1:15">
      <c r="A135" s="3157" t="s">
        <v>4192</v>
      </c>
      <c r="B135" s="3329"/>
      <c r="C135" s="3096" t="s">
        <v>4180</v>
      </c>
      <c r="D135" s="3097" t="s">
        <v>3934</v>
      </c>
      <c r="E135" s="3097" t="s">
        <v>3938</v>
      </c>
      <c r="F135" s="3097">
        <v>84.17</v>
      </c>
      <c r="G135" s="3097">
        <v>2524808.77</v>
      </c>
      <c r="H135" s="3156">
        <v>29997</v>
      </c>
      <c r="I135" s="3155">
        <f t="shared" ca="1" si="54"/>
        <v>16652</v>
      </c>
      <c r="J135" s="3156">
        <f t="shared" ca="1" si="55"/>
        <v>140</v>
      </c>
      <c r="K135" s="3177">
        <f t="shared" ref="K135" ca="1" si="94">J135</f>
        <v>140</v>
      </c>
      <c r="L135" s="3177"/>
      <c r="M135" s="3177"/>
      <c r="N135" s="3177"/>
      <c r="O135" s="3177"/>
    </row>
    <row r="136" spans="1:15">
      <c r="A136" s="3157" t="s">
        <v>4192</v>
      </c>
      <c r="B136" s="3329">
        <v>46</v>
      </c>
      <c r="C136" s="3096" t="s">
        <v>3209</v>
      </c>
      <c r="D136" s="3097" t="s">
        <v>3934</v>
      </c>
      <c r="E136" s="3097" t="s">
        <v>3944</v>
      </c>
      <c r="F136" s="3097">
        <v>135.07</v>
      </c>
      <c r="G136" s="3097">
        <v>7831603.0800000001</v>
      </c>
      <c r="H136" s="3156">
        <v>57982</v>
      </c>
      <c r="I136" s="3155">
        <f t="shared" ca="1" si="54"/>
        <v>54321</v>
      </c>
      <c r="J136" s="3156">
        <f t="shared" ca="1" si="55"/>
        <v>734</v>
      </c>
      <c r="K136" s="3177">
        <f t="shared" ref="K136" ca="1" si="95">J136+J137</f>
        <v>876</v>
      </c>
      <c r="L136" s="3177"/>
      <c r="M136" s="3177"/>
      <c r="N136" s="3177"/>
      <c r="O136" s="3177"/>
    </row>
    <row r="137" spans="1:15" ht="24">
      <c r="A137" s="3157" t="s">
        <v>4192</v>
      </c>
      <c r="B137" s="3329"/>
      <c r="C137" s="3096" t="s">
        <v>4180</v>
      </c>
      <c r="D137" s="3097" t="s">
        <v>3934</v>
      </c>
      <c r="E137" s="3097" t="s">
        <v>3945</v>
      </c>
      <c r="F137" s="3097">
        <v>85.09</v>
      </c>
      <c r="G137" s="3097">
        <v>2539963.73</v>
      </c>
      <c r="H137" s="3156">
        <v>29850</v>
      </c>
      <c r="I137" s="3155">
        <f t="shared" ca="1" si="54"/>
        <v>16652</v>
      </c>
      <c r="J137" s="3156">
        <f t="shared" ca="1" si="55"/>
        <v>142</v>
      </c>
      <c r="K137" s="3177"/>
      <c r="L137" s="3177"/>
      <c r="M137" s="3177"/>
      <c r="N137" s="3177"/>
      <c r="O137" s="3177"/>
    </row>
    <row r="138" spans="1:15">
      <c r="A138" s="3157" t="s">
        <v>4192</v>
      </c>
      <c r="B138" s="3329"/>
      <c r="C138" s="3096" t="s">
        <v>4180</v>
      </c>
      <c r="D138" s="3097" t="s">
        <v>3934</v>
      </c>
      <c r="E138" s="3097" t="s">
        <v>3946</v>
      </c>
      <c r="F138" s="3097">
        <v>84.17</v>
      </c>
      <c r="G138" s="3097">
        <v>2524808.77</v>
      </c>
      <c r="H138" s="3156">
        <v>29997</v>
      </c>
      <c r="I138" s="3155">
        <f t="shared" ca="1" si="54"/>
        <v>16652</v>
      </c>
      <c r="J138" s="3156">
        <f t="shared" ca="1" si="55"/>
        <v>140</v>
      </c>
      <c r="K138" s="3177">
        <f t="shared" ref="K138" ca="1" si="96">J138</f>
        <v>140</v>
      </c>
      <c r="L138" s="3177"/>
      <c r="M138" s="3177"/>
      <c r="N138" s="3177"/>
      <c r="O138" s="3177"/>
    </row>
    <row r="139" spans="1:15">
      <c r="A139" s="3157" t="s">
        <v>4192</v>
      </c>
      <c r="B139" s="3329">
        <v>47</v>
      </c>
      <c r="C139" s="3096" t="s">
        <v>3209</v>
      </c>
      <c r="D139" s="3097" t="s">
        <v>3934</v>
      </c>
      <c r="E139" s="3097" t="s">
        <v>3952</v>
      </c>
      <c r="F139" s="3097">
        <v>134.72</v>
      </c>
      <c r="G139" s="3097">
        <v>8513226.2400000002</v>
      </c>
      <c r="H139" s="3156">
        <v>63192</v>
      </c>
      <c r="I139" s="3155">
        <f t="shared" ca="1" si="54"/>
        <v>54321</v>
      </c>
      <c r="J139" s="3156">
        <f t="shared" ca="1" si="55"/>
        <v>732</v>
      </c>
      <c r="K139" s="3177">
        <f t="shared" ref="K139" ca="1" si="97">J139+J140</f>
        <v>873</v>
      </c>
      <c r="L139" s="3177"/>
      <c r="M139" s="3177"/>
      <c r="N139" s="3177"/>
      <c r="O139" s="3177"/>
    </row>
    <row r="140" spans="1:15" ht="24">
      <c r="A140" s="3157" t="s">
        <v>4192</v>
      </c>
      <c r="B140" s="3329"/>
      <c r="C140" s="3096" t="s">
        <v>4180</v>
      </c>
      <c r="D140" s="3097" t="s">
        <v>3934</v>
      </c>
      <c r="E140" s="3097" t="s">
        <v>3953</v>
      </c>
      <c r="F140" s="3097">
        <v>84.68</v>
      </c>
      <c r="G140" s="3097">
        <v>2527684.4500000002</v>
      </c>
      <c r="H140" s="3156">
        <v>29850</v>
      </c>
      <c r="I140" s="3155">
        <f t="shared" ca="1" si="54"/>
        <v>16652</v>
      </c>
      <c r="J140" s="3156">
        <f t="shared" ca="1" si="55"/>
        <v>141</v>
      </c>
      <c r="K140" s="3177"/>
      <c r="L140" s="3177"/>
      <c r="M140" s="3177"/>
      <c r="N140" s="3177"/>
      <c r="O140" s="3177"/>
    </row>
    <row r="141" spans="1:15">
      <c r="A141" s="3157" t="s">
        <v>4192</v>
      </c>
      <c r="B141" s="3329"/>
      <c r="C141" s="3096" t="s">
        <v>4180</v>
      </c>
      <c r="D141" s="3097" t="s">
        <v>3934</v>
      </c>
      <c r="E141" s="3097" t="s">
        <v>3955</v>
      </c>
      <c r="F141" s="3097">
        <v>83.45</v>
      </c>
      <c r="G141" s="3097">
        <v>2503200.41</v>
      </c>
      <c r="H141" s="3156">
        <v>29996</v>
      </c>
      <c r="I141" s="3155">
        <f t="shared" ref="I141:I204" ca="1" si="98">IF(C141="大证住宅",$R$2,IF(C141="仓储",$R$3,$R$4))</f>
        <v>16652</v>
      </c>
      <c r="J141" s="3156">
        <f t="shared" ref="J141:J204" ca="1" si="99">ROUND(I141*F141/10000,0)</f>
        <v>139</v>
      </c>
      <c r="K141" s="3177">
        <f t="shared" ref="K141" ca="1" si="100">J141</f>
        <v>139</v>
      </c>
      <c r="L141" s="3177"/>
      <c r="M141" s="3177"/>
      <c r="N141" s="3177"/>
      <c r="O141" s="3177"/>
    </row>
    <row r="142" spans="1:15">
      <c r="A142" s="3157" t="s">
        <v>4192</v>
      </c>
      <c r="B142" s="3329">
        <v>48</v>
      </c>
      <c r="C142" s="3096" t="s">
        <v>3209</v>
      </c>
      <c r="D142" s="3097" t="s">
        <v>3934</v>
      </c>
      <c r="E142" s="3097" t="s">
        <v>3961</v>
      </c>
      <c r="F142" s="3097">
        <v>134.87</v>
      </c>
      <c r="G142" s="3097">
        <v>7899406.0300000003</v>
      </c>
      <c r="H142" s="3156">
        <v>58571</v>
      </c>
      <c r="I142" s="3155">
        <f t="shared" ca="1" si="98"/>
        <v>54321</v>
      </c>
      <c r="J142" s="3156">
        <f t="shared" ca="1" si="99"/>
        <v>733</v>
      </c>
      <c r="K142" s="3177">
        <f t="shared" ref="K142" ca="1" si="101">J142+J143</f>
        <v>874</v>
      </c>
      <c r="L142" s="3177"/>
      <c r="M142" s="3177"/>
      <c r="N142" s="3177"/>
      <c r="O142" s="3177"/>
    </row>
    <row r="143" spans="1:15" ht="24">
      <c r="A143" s="3157" t="s">
        <v>4192</v>
      </c>
      <c r="B143" s="3329"/>
      <c r="C143" s="3096" t="s">
        <v>4180</v>
      </c>
      <c r="D143" s="3097" t="s">
        <v>3934</v>
      </c>
      <c r="E143" s="3097" t="s">
        <v>3962</v>
      </c>
      <c r="F143" s="3097">
        <v>84.82</v>
      </c>
      <c r="G143" s="3097">
        <v>2531552.14</v>
      </c>
      <c r="H143" s="3156">
        <v>29846</v>
      </c>
      <c r="I143" s="3155">
        <f t="shared" ca="1" si="98"/>
        <v>16652</v>
      </c>
      <c r="J143" s="3156">
        <f t="shared" ca="1" si="99"/>
        <v>141</v>
      </c>
      <c r="K143" s="3177"/>
      <c r="L143" s="3177"/>
      <c r="M143" s="3177"/>
      <c r="N143" s="3177"/>
      <c r="O143" s="3177"/>
    </row>
    <row r="144" spans="1:15">
      <c r="A144" s="3157" t="s">
        <v>4192</v>
      </c>
      <c r="B144" s="3329"/>
      <c r="C144" s="3096" t="s">
        <v>4180</v>
      </c>
      <c r="D144" s="3097" t="s">
        <v>3934</v>
      </c>
      <c r="E144" s="3097" t="s">
        <v>3963</v>
      </c>
      <c r="F144" s="3097">
        <v>84.17</v>
      </c>
      <c r="G144" s="3097">
        <v>2524808.77</v>
      </c>
      <c r="H144" s="3156">
        <v>29997</v>
      </c>
      <c r="I144" s="3155">
        <f t="shared" ca="1" si="98"/>
        <v>16652</v>
      </c>
      <c r="J144" s="3156">
        <f t="shared" ca="1" si="99"/>
        <v>140</v>
      </c>
      <c r="K144" s="3177">
        <f t="shared" ref="K144" ca="1" si="102">J144</f>
        <v>140</v>
      </c>
      <c r="L144" s="3177"/>
      <c r="M144" s="3177"/>
      <c r="N144" s="3177"/>
      <c r="O144" s="3177"/>
    </row>
    <row r="145" spans="1:15">
      <c r="A145" s="3157" t="s">
        <v>4192</v>
      </c>
      <c r="B145" s="3329">
        <v>49</v>
      </c>
      <c r="C145" s="3096" t="s">
        <v>3209</v>
      </c>
      <c r="D145" s="3097" t="s">
        <v>3968</v>
      </c>
      <c r="E145" s="3097" t="s">
        <v>3970</v>
      </c>
      <c r="F145" s="3097">
        <v>135.72999999999999</v>
      </c>
      <c r="G145" s="3097">
        <v>7739855.2999999998</v>
      </c>
      <c r="H145" s="3156">
        <v>57024</v>
      </c>
      <c r="I145" s="3155">
        <f t="shared" ca="1" si="98"/>
        <v>54321</v>
      </c>
      <c r="J145" s="3156">
        <f t="shared" ca="1" si="99"/>
        <v>737</v>
      </c>
      <c r="K145" s="3177">
        <f t="shared" ref="K145" ca="1" si="103">J145+J146</f>
        <v>879</v>
      </c>
      <c r="L145" s="3177"/>
      <c r="M145" s="3177"/>
      <c r="N145" s="3177"/>
      <c r="O145" s="3177"/>
    </row>
    <row r="146" spans="1:15" ht="24">
      <c r="A146" s="3157" t="s">
        <v>4192</v>
      </c>
      <c r="B146" s="3329"/>
      <c r="C146" s="3096" t="s">
        <v>4180</v>
      </c>
      <c r="D146" s="3097" t="s">
        <v>3968</v>
      </c>
      <c r="E146" s="3097" t="s">
        <v>3971</v>
      </c>
      <c r="F146" s="3097">
        <v>85.5</v>
      </c>
      <c r="G146" s="3097">
        <v>2548670.36</v>
      </c>
      <c r="H146" s="3156">
        <v>29809</v>
      </c>
      <c r="I146" s="3155">
        <f t="shared" ca="1" si="98"/>
        <v>16652</v>
      </c>
      <c r="J146" s="3156">
        <f t="shared" ca="1" si="99"/>
        <v>142</v>
      </c>
      <c r="K146" s="3177"/>
      <c r="L146" s="3177"/>
      <c r="M146" s="3177"/>
      <c r="N146" s="3177"/>
      <c r="O146" s="3177"/>
    </row>
    <row r="147" spans="1:15">
      <c r="A147" s="3157" t="s">
        <v>4192</v>
      </c>
      <c r="B147" s="3329"/>
      <c r="C147" s="3096" t="s">
        <v>4180</v>
      </c>
      <c r="D147" s="3097" t="s">
        <v>3968</v>
      </c>
      <c r="E147" s="3097" t="s">
        <v>3972</v>
      </c>
      <c r="F147" s="3097">
        <v>84.66</v>
      </c>
      <c r="G147" s="3097">
        <v>2529907.48</v>
      </c>
      <c r="H147" s="3156">
        <v>29883</v>
      </c>
      <c r="I147" s="3155">
        <f t="shared" ca="1" si="98"/>
        <v>16652</v>
      </c>
      <c r="J147" s="3156">
        <f t="shared" ca="1" si="99"/>
        <v>141</v>
      </c>
      <c r="K147" s="3177">
        <f t="shared" ref="K147" ca="1" si="104">J147</f>
        <v>141</v>
      </c>
      <c r="L147" s="3177"/>
      <c r="M147" s="3177"/>
      <c r="N147" s="3177"/>
      <c r="O147" s="3177"/>
    </row>
    <row r="148" spans="1:15">
      <c r="A148" s="3157" t="s">
        <v>4192</v>
      </c>
      <c r="B148" s="3329">
        <v>50</v>
      </c>
      <c r="C148" s="3096" t="s">
        <v>3209</v>
      </c>
      <c r="D148" s="3097" t="s">
        <v>3968</v>
      </c>
      <c r="E148" s="3097" t="s">
        <v>3978</v>
      </c>
      <c r="F148" s="3097">
        <v>135.72999999999999</v>
      </c>
      <c r="G148" s="3097">
        <v>7938444.5800000001</v>
      </c>
      <c r="H148" s="3156">
        <v>58487</v>
      </c>
      <c r="I148" s="3155">
        <f t="shared" ca="1" si="98"/>
        <v>54321</v>
      </c>
      <c r="J148" s="3156">
        <f t="shared" ca="1" si="99"/>
        <v>737</v>
      </c>
      <c r="K148" s="3177">
        <f t="shared" ref="K148" ca="1" si="105">J148+J149</f>
        <v>879</v>
      </c>
      <c r="L148" s="3177"/>
      <c r="M148" s="3177"/>
      <c r="N148" s="3177"/>
      <c r="O148" s="3177"/>
    </row>
    <row r="149" spans="1:15" ht="24">
      <c r="A149" s="3157" t="s">
        <v>4192</v>
      </c>
      <c r="B149" s="3329"/>
      <c r="C149" s="3096" t="s">
        <v>4180</v>
      </c>
      <c r="D149" s="3097" t="s">
        <v>3968</v>
      </c>
      <c r="E149" s="3097" t="s">
        <v>3979</v>
      </c>
      <c r="F149" s="3097">
        <v>85.5</v>
      </c>
      <c r="G149" s="3097">
        <v>2548670.36</v>
      </c>
      <c r="H149" s="3156">
        <v>29809</v>
      </c>
      <c r="I149" s="3155">
        <f t="shared" ca="1" si="98"/>
        <v>16652</v>
      </c>
      <c r="J149" s="3156">
        <f t="shared" ca="1" si="99"/>
        <v>142</v>
      </c>
      <c r="K149" s="3177"/>
      <c r="L149" s="3177"/>
      <c r="M149" s="3177"/>
      <c r="N149" s="3177"/>
      <c r="O149" s="3177"/>
    </row>
    <row r="150" spans="1:15">
      <c r="A150" s="3157" t="s">
        <v>4192</v>
      </c>
      <c r="B150" s="3329"/>
      <c r="C150" s="3096" t="s">
        <v>4180</v>
      </c>
      <c r="D150" s="3097" t="s">
        <v>3968</v>
      </c>
      <c r="E150" s="3097" t="s">
        <v>3980</v>
      </c>
      <c r="F150" s="3097">
        <v>84.66</v>
      </c>
      <c r="G150" s="3097">
        <v>2529907.48</v>
      </c>
      <c r="H150" s="3156">
        <v>29883</v>
      </c>
      <c r="I150" s="3155">
        <f t="shared" ca="1" si="98"/>
        <v>16652</v>
      </c>
      <c r="J150" s="3156">
        <f t="shared" ca="1" si="99"/>
        <v>141</v>
      </c>
      <c r="K150" s="3177">
        <f t="shared" ref="K150" ca="1" si="106">J150</f>
        <v>141</v>
      </c>
      <c r="L150" s="3177"/>
      <c r="M150" s="3177"/>
      <c r="N150" s="3177"/>
      <c r="O150" s="3177"/>
    </row>
    <row r="151" spans="1:15">
      <c r="A151" s="3157" t="s">
        <v>4192</v>
      </c>
      <c r="B151" s="3329">
        <v>51</v>
      </c>
      <c r="C151" s="3096" t="s">
        <v>3209</v>
      </c>
      <c r="D151" s="3097" t="s">
        <v>3985</v>
      </c>
      <c r="E151" s="3097" t="s">
        <v>3987</v>
      </c>
      <c r="F151" s="3097">
        <v>135.43</v>
      </c>
      <c r="G151" s="3097">
        <v>8546858.6400000006</v>
      </c>
      <c r="H151" s="3156">
        <v>63109</v>
      </c>
      <c r="I151" s="3155">
        <f t="shared" ca="1" si="98"/>
        <v>54321</v>
      </c>
      <c r="J151" s="3156">
        <f t="shared" ca="1" si="99"/>
        <v>736</v>
      </c>
      <c r="K151" s="3177">
        <f t="shared" ref="K151" ca="1" si="107">J151+J152</f>
        <v>878</v>
      </c>
      <c r="L151" s="3177"/>
      <c r="M151" s="3177"/>
      <c r="N151" s="3177"/>
      <c r="O151" s="3177"/>
    </row>
    <row r="152" spans="1:15" ht="24">
      <c r="A152" s="3157" t="s">
        <v>4192</v>
      </c>
      <c r="B152" s="3329"/>
      <c r="C152" s="3096" t="s">
        <v>4180</v>
      </c>
      <c r="D152" s="3097" t="s">
        <v>3985</v>
      </c>
      <c r="E152" s="3097" t="s">
        <v>3988</v>
      </c>
      <c r="F152" s="3097">
        <v>85.13</v>
      </c>
      <c r="G152" s="3097">
        <v>2537578.88</v>
      </c>
      <c r="H152" s="3156">
        <v>29808</v>
      </c>
      <c r="I152" s="3155">
        <f t="shared" ca="1" si="98"/>
        <v>16652</v>
      </c>
      <c r="J152" s="3156">
        <f t="shared" ca="1" si="99"/>
        <v>142</v>
      </c>
      <c r="K152" s="3177"/>
      <c r="L152" s="3177"/>
      <c r="M152" s="3177"/>
      <c r="N152" s="3177"/>
      <c r="O152" s="3177"/>
    </row>
    <row r="153" spans="1:15">
      <c r="A153" s="3157" t="s">
        <v>4192</v>
      </c>
      <c r="B153" s="3329"/>
      <c r="C153" s="3096" t="s">
        <v>4180</v>
      </c>
      <c r="D153" s="3097" t="s">
        <v>3985</v>
      </c>
      <c r="E153" s="3097" t="s">
        <v>3989</v>
      </c>
      <c r="F153" s="3097">
        <v>83.94</v>
      </c>
      <c r="G153" s="3097">
        <v>2508608.1800000002</v>
      </c>
      <c r="H153" s="3156">
        <v>29886</v>
      </c>
      <c r="I153" s="3155">
        <f t="shared" ca="1" si="98"/>
        <v>16652</v>
      </c>
      <c r="J153" s="3156">
        <f t="shared" ca="1" si="99"/>
        <v>140</v>
      </c>
      <c r="K153" s="3177">
        <f t="shared" ref="K153" ca="1" si="108">J153</f>
        <v>140</v>
      </c>
      <c r="L153" s="3177"/>
      <c r="M153" s="3177"/>
      <c r="N153" s="3177"/>
      <c r="O153" s="3177"/>
    </row>
    <row r="154" spans="1:15">
      <c r="A154" s="3157" t="s">
        <v>4192</v>
      </c>
      <c r="B154" s="3329">
        <v>52</v>
      </c>
      <c r="C154" s="3096" t="s">
        <v>3209</v>
      </c>
      <c r="D154" s="3097" t="s">
        <v>3985</v>
      </c>
      <c r="E154" s="3097" t="s">
        <v>3995</v>
      </c>
      <c r="F154" s="3097">
        <v>135.79</v>
      </c>
      <c r="G154" s="3097">
        <v>7743286.2400000002</v>
      </c>
      <c r="H154" s="3156">
        <v>57024</v>
      </c>
      <c r="I154" s="3155">
        <f t="shared" ca="1" si="98"/>
        <v>54321</v>
      </c>
      <c r="J154" s="3156">
        <f t="shared" ca="1" si="99"/>
        <v>738</v>
      </c>
      <c r="K154" s="3177">
        <f t="shared" ref="K154" ca="1" si="109">J154+J155</f>
        <v>880</v>
      </c>
      <c r="L154" s="3177"/>
      <c r="M154" s="3177"/>
      <c r="N154" s="3177"/>
      <c r="O154" s="3177"/>
    </row>
    <row r="155" spans="1:15" ht="24">
      <c r="A155" s="3157" t="s">
        <v>4192</v>
      </c>
      <c r="B155" s="3329"/>
      <c r="C155" s="3096" t="s">
        <v>4180</v>
      </c>
      <c r="D155" s="3097" t="s">
        <v>3985</v>
      </c>
      <c r="E155" s="3097" t="s">
        <v>3996</v>
      </c>
      <c r="F155" s="3097">
        <v>85.54</v>
      </c>
      <c r="G155" s="3097">
        <v>2550152.7000000002</v>
      </c>
      <c r="H155" s="3156">
        <v>29812</v>
      </c>
      <c r="I155" s="3155">
        <f t="shared" ca="1" si="98"/>
        <v>16652</v>
      </c>
      <c r="J155" s="3156">
        <f t="shared" ca="1" si="99"/>
        <v>142</v>
      </c>
      <c r="K155" s="3177"/>
      <c r="L155" s="3177"/>
      <c r="M155" s="3177"/>
      <c r="N155" s="3177"/>
      <c r="O155" s="3177"/>
    </row>
    <row r="156" spans="1:15">
      <c r="A156" s="3157" t="s">
        <v>4192</v>
      </c>
      <c r="B156" s="3329"/>
      <c r="C156" s="3096" t="s">
        <v>4180</v>
      </c>
      <c r="D156" s="3097" t="s">
        <v>3985</v>
      </c>
      <c r="E156" s="3097" t="s">
        <v>3997</v>
      </c>
      <c r="F156" s="3097">
        <v>84.67</v>
      </c>
      <c r="G156" s="3097">
        <v>2530206.31</v>
      </c>
      <c r="H156" s="3156">
        <v>29883</v>
      </c>
      <c r="I156" s="3155">
        <f t="shared" ca="1" si="98"/>
        <v>16652</v>
      </c>
      <c r="J156" s="3156">
        <f t="shared" ca="1" si="99"/>
        <v>141</v>
      </c>
      <c r="K156" s="3177">
        <f t="shared" ref="K156" ca="1" si="110">J156</f>
        <v>141</v>
      </c>
      <c r="L156" s="3177"/>
      <c r="M156" s="3177"/>
      <c r="N156" s="3177"/>
      <c r="O156" s="3177"/>
    </row>
    <row r="157" spans="1:15">
      <c r="A157" s="3157" t="s">
        <v>4192</v>
      </c>
      <c r="B157" s="3329">
        <v>53</v>
      </c>
      <c r="C157" s="3096" t="s">
        <v>3209</v>
      </c>
      <c r="D157" s="3097" t="s">
        <v>3985</v>
      </c>
      <c r="E157" s="3097" t="s">
        <v>4003</v>
      </c>
      <c r="F157" s="3097">
        <v>135.43</v>
      </c>
      <c r="G157" s="3097">
        <v>8546858.6400000006</v>
      </c>
      <c r="H157" s="3156">
        <v>63109</v>
      </c>
      <c r="I157" s="3155">
        <f t="shared" ca="1" si="98"/>
        <v>54321</v>
      </c>
      <c r="J157" s="3156">
        <f t="shared" ca="1" si="99"/>
        <v>736</v>
      </c>
      <c r="K157" s="3177">
        <f t="shared" ref="K157" ca="1" si="111">J157+J158</f>
        <v>878</v>
      </c>
      <c r="L157" s="3177"/>
      <c r="M157" s="3177"/>
      <c r="N157" s="3177"/>
      <c r="O157" s="3177"/>
    </row>
    <row r="158" spans="1:15" ht="24">
      <c r="A158" s="3157" t="s">
        <v>4192</v>
      </c>
      <c r="B158" s="3329"/>
      <c r="C158" s="3096" t="s">
        <v>4180</v>
      </c>
      <c r="D158" s="3097" t="s">
        <v>3985</v>
      </c>
      <c r="E158" s="3097" t="s">
        <v>4004</v>
      </c>
      <c r="F158" s="3097">
        <v>85.13</v>
      </c>
      <c r="G158" s="3097">
        <v>2537578.88</v>
      </c>
      <c r="H158" s="3156">
        <v>29808</v>
      </c>
      <c r="I158" s="3155">
        <f t="shared" ca="1" si="98"/>
        <v>16652</v>
      </c>
      <c r="J158" s="3156">
        <f t="shared" ca="1" si="99"/>
        <v>142</v>
      </c>
      <c r="K158" s="3177"/>
      <c r="L158" s="3177"/>
      <c r="M158" s="3177"/>
      <c r="N158" s="3177"/>
      <c r="O158" s="3177"/>
    </row>
    <row r="159" spans="1:15">
      <c r="A159" s="3157" t="s">
        <v>4192</v>
      </c>
      <c r="B159" s="3329"/>
      <c r="C159" s="3096" t="s">
        <v>4180</v>
      </c>
      <c r="D159" s="3097" t="s">
        <v>3985</v>
      </c>
      <c r="E159" s="3097" t="s">
        <v>4005</v>
      </c>
      <c r="F159" s="3097">
        <v>83.94</v>
      </c>
      <c r="G159" s="3097">
        <v>2508608.1800000002</v>
      </c>
      <c r="H159" s="3156">
        <v>29886</v>
      </c>
      <c r="I159" s="3155">
        <f t="shared" ca="1" si="98"/>
        <v>16652</v>
      </c>
      <c r="J159" s="3156">
        <f t="shared" ca="1" si="99"/>
        <v>140</v>
      </c>
      <c r="K159" s="3177">
        <f t="shared" ref="K159" ca="1" si="112">J159</f>
        <v>140</v>
      </c>
      <c r="L159" s="3177"/>
      <c r="M159" s="3177"/>
      <c r="N159" s="3177"/>
      <c r="O159" s="3177"/>
    </row>
    <row r="160" spans="1:15">
      <c r="A160" s="3157" t="s">
        <v>4192</v>
      </c>
      <c r="B160" s="3329">
        <v>54</v>
      </c>
      <c r="C160" s="3096" t="s">
        <v>3209</v>
      </c>
      <c r="D160" s="3097" t="s">
        <v>3985</v>
      </c>
      <c r="E160" s="3097" t="s">
        <v>4011</v>
      </c>
      <c r="F160" s="3097">
        <v>135.79</v>
      </c>
      <c r="G160" s="3097">
        <v>7941974.1699999999</v>
      </c>
      <c r="H160" s="3156">
        <v>58487</v>
      </c>
      <c r="I160" s="3155">
        <f t="shared" ca="1" si="98"/>
        <v>54321</v>
      </c>
      <c r="J160" s="3156">
        <f t="shared" ca="1" si="99"/>
        <v>738</v>
      </c>
      <c r="K160" s="3177">
        <f t="shared" ref="K160" ca="1" si="113">J160+J161</f>
        <v>880</v>
      </c>
      <c r="L160" s="3177"/>
      <c r="M160" s="3177"/>
      <c r="N160" s="3177"/>
      <c r="O160" s="3177"/>
    </row>
    <row r="161" spans="1:15" ht="24">
      <c r="A161" s="3157" t="s">
        <v>4192</v>
      </c>
      <c r="B161" s="3329"/>
      <c r="C161" s="3096" t="s">
        <v>4180</v>
      </c>
      <c r="D161" s="3097" t="s">
        <v>3985</v>
      </c>
      <c r="E161" s="3097" t="s">
        <v>4012</v>
      </c>
      <c r="F161" s="3097">
        <v>85.54</v>
      </c>
      <c r="G161" s="3097">
        <v>2550152.7000000002</v>
      </c>
      <c r="H161" s="3156">
        <v>29812</v>
      </c>
      <c r="I161" s="3155">
        <f t="shared" ca="1" si="98"/>
        <v>16652</v>
      </c>
      <c r="J161" s="3156">
        <f t="shared" ca="1" si="99"/>
        <v>142</v>
      </c>
      <c r="K161" s="3177"/>
      <c r="L161" s="3177"/>
      <c r="M161" s="3177"/>
      <c r="N161" s="3177"/>
      <c r="O161" s="3177"/>
    </row>
    <row r="162" spans="1:15">
      <c r="A162" s="3157" t="s">
        <v>4192</v>
      </c>
      <c r="B162" s="3329"/>
      <c r="C162" s="3096" t="s">
        <v>4180</v>
      </c>
      <c r="D162" s="3097" t="s">
        <v>3985</v>
      </c>
      <c r="E162" s="3097" t="s">
        <v>4013</v>
      </c>
      <c r="F162" s="3097">
        <v>84.67</v>
      </c>
      <c r="G162" s="3097">
        <v>2530206.31</v>
      </c>
      <c r="H162" s="3156">
        <v>29883</v>
      </c>
      <c r="I162" s="3155">
        <f t="shared" ca="1" si="98"/>
        <v>16652</v>
      </c>
      <c r="J162" s="3156">
        <f t="shared" ca="1" si="99"/>
        <v>141</v>
      </c>
      <c r="K162" s="3177">
        <f t="shared" ref="K162" ca="1" si="114">J162</f>
        <v>141</v>
      </c>
      <c r="L162" s="3177"/>
      <c r="M162" s="3177"/>
      <c r="N162" s="3177"/>
      <c r="O162" s="3177"/>
    </row>
    <row r="163" spans="1:15">
      <c r="A163" s="3334" t="s">
        <v>4454</v>
      </c>
      <c r="B163" s="3334"/>
      <c r="C163" s="3334"/>
      <c r="D163" s="3334"/>
      <c r="E163" s="3334"/>
      <c r="F163" s="3156">
        <f>SUM(F70:F162)</f>
        <v>9442.630000000001</v>
      </c>
      <c r="G163" s="3156"/>
      <c r="H163" s="3156"/>
      <c r="I163" s="3155"/>
      <c r="J163" s="3156">
        <f ca="1">SUM(J70:J162)</f>
        <v>31533</v>
      </c>
      <c r="K163" s="3199">
        <f ca="1">SUM(K70:K162)</f>
        <v>31533</v>
      </c>
      <c r="L163" s="3177"/>
      <c r="M163" s="3177"/>
      <c r="N163" s="3177"/>
      <c r="O163" s="3177"/>
    </row>
    <row r="164" spans="1:15">
      <c r="A164" s="3157" t="s">
        <v>4193</v>
      </c>
      <c r="B164" s="3329">
        <v>55</v>
      </c>
      <c r="C164" s="3096" t="s">
        <v>3209</v>
      </c>
      <c r="D164" s="3097" t="s">
        <v>3462</v>
      </c>
      <c r="E164" s="3097" t="s">
        <v>3464</v>
      </c>
      <c r="F164" s="3097">
        <v>134.69999999999999</v>
      </c>
      <c r="G164" s="3097">
        <v>8459549.2799999993</v>
      </c>
      <c r="H164" s="3156">
        <v>62803</v>
      </c>
      <c r="I164" s="3155">
        <f t="shared" ca="1" si="98"/>
        <v>54321</v>
      </c>
      <c r="J164" s="3156">
        <f t="shared" ca="1" si="99"/>
        <v>732</v>
      </c>
      <c r="K164" s="3177">
        <f ca="1">J164+J165</f>
        <v>873</v>
      </c>
      <c r="L164" s="3177"/>
      <c r="M164" s="3177"/>
      <c r="N164" s="3177"/>
      <c r="O164" s="3177"/>
    </row>
    <row r="165" spans="1:15" ht="24">
      <c r="A165" s="3157" t="s">
        <v>4193</v>
      </c>
      <c r="B165" s="3329"/>
      <c r="C165" s="3096" t="s">
        <v>4180</v>
      </c>
      <c r="D165" s="3097" t="s">
        <v>3462</v>
      </c>
      <c r="E165" s="3097" t="s">
        <v>3465</v>
      </c>
      <c r="F165" s="3097">
        <v>84.65</v>
      </c>
      <c r="G165" s="3097">
        <v>2526763.56</v>
      </c>
      <c r="H165" s="3156">
        <v>29850</v>
      </c>
      <c r="I165" s="3155">
        <f t="shared" ca="1" si="98"/>
        <v>16652</v>
      </c>
      <c r="J165" s="3156">
        <f t="shared" ca="1" si="99"/>
        <v>141</v>
      </c>
      <c r="K165" s="3177"/>
      <c r="L165" s="3177"/>
      <c r="M165" s="3177"/>
      <c r="N165" s="3177"/>
      <c r="O165" s="3177"/>
    </row>
    <row r="166" spans="1:15">
      <c r="A166" s="3157" t="s">
        <v>4193</v>
      </c>
      <c r="B166" s="3329"/>
      <c r="C166" s="3096" t="s">
        <v>4180</v>
      </c>
      <c r="D166" s="3097" t="s">
        <v>3462</v>
      </c>
      <c r="E166" s="3097" t="s">
        <v>3466</v>
      </c>
      <c r="F166" s="3097">
        <v>83.45</v>
      </c>
      <c r="G166" s="3097">
        <v>2502904.17</v>
      </c>
      <c r="H166" s="3156">
        <v>29993</v>
      </c>
      <c r="I166" s="3155">
        <f t="shared" ca="1" si="98"/>
        <v>16652</v>
      </c>
      <c r="J166" s="3156">
        <f t="shared" ca="1" si="99"/>
        <v>139</v>
      </c>
      <c r="K166" s="3177">
        <f ca="1">J166</f>
        <v>139</v>
      </c>
      <c r="L166" s="3177"/>
      <c r="M166" s="3177"/>
      <c r="N166" s="3177"/>
      <c r="O166" s="3177"/>
    </row>
    <row r="167" spans="1:15">
      <c r="A167" s="3157" t="s">
        <v>4193</v>
      </c>
      <c r="B167" s="3329">
        <v>56</v>
      </c>
      <c r="C167" s="3096" t="s">
        <v>3209</v>
      </c>
      <c r="D167" s="3097" t="s">
        <v>3471</v>
      </c>
      <c r="E167" s="3097" t="s">
        <v>3473</v>
      </c>
      <c r="F167" s="3097">
        <v>134.76</v>
      </c>
      <c r="G167" s="3097">
        <v>8515093.5999999996</v>
      </c>
      <c r="H167" s="3156">
        <v>63187</v>
      </c>
      <c r="I167" s="3155">
        <f t="shared" ca="1" si="98"/>
        <v>54321</v>
      </c>
      <c r="J167" s="3156">
        <f t="shared" ca="1" si="99"/>
        <v>732</v>
      </c>
      <c r="K167" s="3177">
        <f t="shared" ref="K167" ca="1" si="115">J167+J168</f>
        <v>873</v>
      </c>
      <c r="L167" s="3177"/>
      <c r="M167" s="3177"/>
      <c r="N167" s="3177"/>
      <c r="O167" s="3177"/>
    </row>
    <row r="168" spans="1:15" ht="24">
      <c r="A168" s="3157" t="s">
        <v>4193</v>
      </c>
      <c r="B168" s="3329"/>
      <c r="C168" s="3096" t="s">
        <v>4180</v>
      </c>
      <c r="D168" s="3097" t="s">
        <v>3471</v>
      </c>
      <c r="E168" s="3097" t="s">
        <v>3474</v>
      </c>
      <c r="F168" s="3097">
        <v>84.69</v>
      </c>
      <c r="G168" s="3097">
        <v>2527930.44</v>
      </c>
      <c r="H168" s="3156">
        <v>29849</v>
      </c>
      <c r="I168" s="3155">
        <f t="shared" ca="1" si="98"/>
        <v>16652</v>
      </c>
      <c r="J168" s="3156">
        <f t="shared" ca="1" si="99"/>
        <v>141</v>
      </c>
      <c r="K168" s="3177"/>
      <c r="L168" s="3177"/>
      <c r="M168" s="3177"/>
      <c r="N168" s="3177"/>
      <c r="O168" s="3177"/>
    </row>
    <row r="169" spans="1:15">
      <c r="A169" s="3157" t="s">
        <v>4193</v>
      </c>
      <c r="B169" s="3329"/>
      <c r="C169" s="3096" t="s">
        <v>4180</v>
      </c>
      <c r="D169" s="3097" t="s">
        <v>3471</v>
      </c>
      <c r="E169" s="3097" t="s">
        <v>3475</v>
      </c>
      <c r="F169" s="3097">
        <v>83.46</v>
      </c>
      <c r="G169" s="3097">
        <v>2503200.7599999998</v>
      </c>
      <c r="H169" s="3156">
        <v>29993</v>
      </c>
      <c r="I169" s="3155">
        <f t="shared" ca="1" si="98"/>
        <v>16652</v>
      </c>
      <c r="J169" s="3156">
        <f t="shared" ca="1" si="99"/>
        <v>139</v>
      </c>
      <c r="K169" s="3177">
        <f t="shared" ref="K169" ca="1" si="116">J169</f>
        <v>139</v>
      </c>
      <c r="L169" s="3177"/>
      <c r="M169" s="3177"/>
      <c r="N169" s="3177"/>
      <c r="O169" s="3177"/>
    </row>
    <row r="170" spans="1:15">
      <c r="A170" s="3157" t="s">
        <v>4193</v>
      </c>
      <c r="B170" s="3329">
        <v>57</v>
      </c>
      <c r="C170" s="3096" t="s">
        <v>3209</v>
      </c>
      <c r="D170" s="3097" t="s">
        <v>3471</v>
      </c>
      <c r="E170" s="3097" t="s">
        <v>3481</v>
      </c>
      <c r="F170" s="3097">
        <v>134.91</v>
      </c>
      <c r="G170" s="3097">
        <v>7696304.3899999997</v>
      </c>
      <c r="H170" s="3156">
        <v>57048</v>
      </c>
      <c r="I170" s="3155">
        <f t="shared" ca="1" si="98"/>
        <v>54321</v>
      </c>
      <c r="J170" s="3156">
        <f t="shared" ca="1" si="99"/>
        <v>733</v>
      </c>
      <c r="K170" s="3177">
        <f t="shared" ref="K170" ca="1" si="117">J170+J171</f>
        <v>874</v>
      </c>
      <c r="L170" s="3177"/>
      <c r="M170" s="3177"/>
      <c r="N170" s="3177"/>
      <c r="O170" s="3177"/>
    </row>
    <row r="171" spans="1:15" ht="24">
      <c r="A171" s="3157" t="s">
        <v>4193</v>
      </c>
      <c r="B171" s="3329"/>
      <c r="C171" s="3096" t="s">
        <v>4180</v>
      </c>
      <c r="D171" s="3097" t="s">
        <v>3471</v>
      </c>
      <c r="E171" s="3097" t="s">
        <v>3482</v>
      </c>
      <c r="F171" s="3097">
        <v>84.83</v>
      </c>
      <c r="G171" s="3097">
        <v>2532167.02</v>
      </c>
      <c r="H171" s="3156">
        <v>29850</v>
      </c>
      <c r="I171" s="3155">
        <f t="shared" ca="1" si="98"/>
        <v>16652</v>
      </c>
      <c r="J171" s="3156">
        <f t="shared" ca="1" si="99"/>
        <v>141</v>
      </c>
      <c r="K171" s="3177"/>
      <c r="L171" s="3177"/>
      <c r="M171" s="3177"/>
      <c r="N171" s="3177"/>
      <c r="O171" s="3177"/>
    </row>
    <row r="172" spans="1:15">
      <c r="A172" s="3157" t="s">
        <v>4193</v>
      </c>
      <c r="B172" s="3329"/>
      <c r="C172" s="3096" t="s">
        <v>4180</v>
      </c>
      <c r="D172" s="3097" t="s">
        <v>3471</v>
      </c>
      <c r="E172" s="3097" t="s">
        <v>3483</v>
      </c>
      <c r="F172" s="3097">
        <v>84.18</v>
      </c>
      <c r="G172" s="3097">
        <v>2524807.48</v>
      </c>
      <c r="H172" s="3156">
        <v>29993</v>
      </c>
      <c r="I172" s="3155">
        <f t="shared" ca="1" si="98"/>
        <v>16652</v>
      </c>
      <c r="J172" s="3156">
        <f t="shared" ca="1" si="99"/>
        <v>140</v>
      </c>
      <c r="K172" s="3177">
        <f t="shared" ref="K172" ca="1" si="118">J172</f>
        <v>140</v>
      </c>
      <c r="L172" s="3177"/>
      <c r="M172" s="3177"/>
      <c r="N172" s="3177"/>
      <c r="O172" s="3177"/>
    </row>
    <row r="173" spans="1:15">
      <c r="A173" s="3157" t="s">
        <v>4193</v>
      </c>
      <c r="B173" s="3329">
        <v>58</v>
      </c>
      <c r="C173" s="3096" t="s">
        <v>3209</v>
      </c>
      <c r="D173" s="3097" t="s">
        <v>3488</v>
      </c>
      <c r="E173" s="3097" t="s">
        <v>3490</v>
      </c>
      <c r="F173" s="3097">
        <v>134.96</v>
      </c>
      <c r="G173" s="3097">
        <v>7531083.8099999996</v>
      </c>
      <c r="H173" s="3156">
        <v>55802</v>
      </c>
      <c r="I173" s="3155">
        <f t="shared" ca="1" si="98"/>
        <v>54321</v>
      </c>
      <c r="J173" s="3156">
        <f t="shared" ca="1" si="99"/>
        <v>733</v>
      </c>
      <c r="K173" s="3177">
        <f t="shared" ref="K173" ca="1" si="119">J173+J174</f>
        <v>874</v>
      </c>
      <c r="L173" s="3177"/>
      <c r="M173" s="3177"/>
      <c r="N173" s="3177"/>
      <c r="O173" s="3177"/>
    </row>
    <row r="174" spans="1:15" ht="24">
      <c r="A174" s="3157" t="s">
        <v>4193</v>
      </c>
      <c r="B174" s="3329"/>
      <c r="C174" s="3096" t="s">
        <v>4180</v>
      </c>
      <c r="D174" s="3097" t="s">
        <v>3488</v>
      </c>
      <c r="E174" s="3097" t="s">
        <v>3491</v>
      </c>
      <c r="F174" s="3097">
        <v>84.86</v>
      </c>
      <c r="G174" s="3097">
        <v>2533029.42</v>
      </c>
      <c r="H174" s="3156">
        <v>29850</v>
      </c>
      <c r="I174" s="3155">
        <f t="shared" ca="1" si="98"/>
        <v>16652</v>
      </c>
      <c r="J174" s="3156">
        <f t="shared" ca="1" si="99"/>
        <v>141</v>
      </c>
      <c r="K174" s="3177"/>
      <c r="L174" s="3177"/>
      <c r="M174" s="3177"/>
      <c r="N174" s="3177"/>
      <c r="O174" s="3177"/>
    </row>
    <row r="175" spans="1:15">
      <c r="A175" s="3157" t="s">
        <v>4193</v>
      </c>
      <c r="B175" s="3329"/>
      <c r="C175" s="3096" t="s">
        <v>4180</v>
      </c>
      <c r="D175" s="3097" t="s">
        <v>3488</v>
      </c>
      <c r="E175" s="3097" t="s">
        <v>3492</v>
      </c>
      <c r="F175" s="3097">
        <v>84.19</v>
      </c>
      <c r="G175" s="3097">
        <v>2525106.46</v>
      </c>
      <c r="H175" s="3156">
        <v>29993</v>
      </c>
      <c r="I175" s="3155">
        <f t="shared" ca="1" si="98"/>
        <v>16652</v>
      </c>
      <c r="J175" s="3156">
        <f t="shared" ca="1" si="99"/>
        <v>140</v>
      </c>
      <c r="K175" s="3177">
        <f t="shared" ref="K175" ca="1" si="120">J175</f>
        <v>140</v>
      </c>
      <c r="L175" s="3177"/>
      <c r="M175" s="3177"/>
      <c r="N175" s="3177"/>
      <c r="O175" s="3177"/>
    </row>
    <row r="176" spans="1:15">
      <c r="A176" s="3157" t="s">
        <v>4193</v>
      </c>
      <c r="B176" s="3329">
        <v>59</v>
      </c>
      <c r="C176" s="3096" t="s">
        <v>3209</v>
      </c>
      <c r="D176" s="3097" t="s">
        <v>3488</v>
      </c>
      <c r="E176" s="3097" t="s">
        <v>3498</v>
      </c>
      <c r="F176" s="3097">
        <v>135.15</v>
      </c>
      <c r="G176" s="3097">
        <v>7925701.46</v>
      </c>
      <c r="H176" s="3156">
        <v>58644</v>
      </c>
      <c r="I176" s="3155">
        <f t="shared" ca="1" si="98"/>
        <v>54321</v>
      </c>
      <c r="J176" s="3156">
        <f t="shared" ca="1" si="99"/>
        <v>734</v>
      </c>
      <c r="K176" s="3177">
        <f t="shared" ref="K176" ca="1" si="121">J176+J177</f>
        <v>876</v>
      </c>
      <c r="L176" s="3177"/>
      <c r="M176" s="3177"/>
      <c r="N176" s="3177"/>
      <c r="O176" s="3177"/>
    </row>
    <row r="177" spans="1:15" ht="24">
      <c r="A177" s="3157" t="s">
        <v>4193</v>
      </c>
      <c r="B177" s="3329"/>
      <c r="C177" s="3096" t="s">
        <v>4180</v>
      </c>
      <c r="D177" s="3097" t="s">
        <v>3488</v>
      </c>
      <c r="E177" s="3097" t="s">
        <v>3499</v>
      </c>
      <c r="F177" s="3097">
        <v>85.14</v>
      </c>
      <c r="G177" s="3097">
        <v>2541445.1800000002</v>
      </c>
      <c r="H177" s="3156">
        <v>29850</v>
      </c>
      <c r="I177" s="3155">
        <f t="shared" ca="1" si="98"/>
        <v>16652</v>
      </c>
      <c r="J177" s="3156">
        <f t="shared" ca="1" si="99"/>
        <v>142</v>
      </c>
      <c r="K177" s="3177"/>
      <c r="L177" s="3177"/>
      <c r="M177" s="3177"/>
      <c r="N177" s="3177"/>
      <c r="O177" s="3177"/>
    </row>
    <row r="178" spans="1:15">
      <c r="A178" s="3157" t="s">
        <v>4193</v>
      </c>
      <c r="B178" s="3329"/>
      <c r="C178" s="3096" t="s">
        <v>4180</v>
      </c>
      <c r="D178" s="3097" t="s">
        <v>3488</v>
      </c>
      <c r="E178" s="3097" t="s">
        <v>3500</v>
      </c>
      <c r="F178" s="3097">
        <v>84.19</v>
      </c>
      <c r="G178" s="3097">
        <v>2525106.46</v>
      </c>
      <c r="H178" s="3156">
        <v>29993</v>
      </c>
      <c r="I178" s="3155">
        <f t="shared" ca="1" si="98"/>
        <v>16652</v>
      </c>
      <c r="J178" s="3156">
        <f t="shared" ca="1" si="99"/>
        <v>140</v>
      </c>
      <c r="K178" s="3177">
        <f t="shared" ref="K178" ca="1" si="122">J178</f>
        <v>140</v>
      </c>
      <c r="L178" s="3177"/>
      <c r="M178" s="3177"/>
      <c r="N178" s="3177"/>
      <c r="O178" s="3177"/>
    </row>
    <row r="179" spans="1:15">
      <c r="A179" s="3157" t="s">
        <v>4193</v>
      </c>
      <c r="B179" s="3329">
        <v>60</v>
      </c>
      <c r="C179" s="3096" t="s">
        <v>3209</v>
      </c>
      <c r="D179" s="3097" t="s">
        <v>3505</v>
      </c>
      <c r="E179" s="3097" t="s">
        <v>3507</v>
      </c>
      <c r="F179" s="3097">
        <v>135.15</v>
      </c>
      <c r="G179" s="3097">
        <v>7925701.46</v>
      </c>
      <c r="H179" s="3156">
        <v>58644</v>
      </c>
      <c r="I179" s="3155">
        <f t="shared" ca="1" si="98"/>
        <v>54321</v>
      </c>
      <c r="J179" s="3156">
        <f t="shared" ca="1" si="99"/>
        <v>734</v>
      </c>
      <c r="K179" s="3177">
        <f t="shared" ref="K179" ca="1" si="123">J179+J180</f>
        <v>876</v>
      </c>
      <c r="L179" s="3177"/>
      <c r="M179" s="3177"/>
      <c r="N179" s="3177"/>
      <c r="O179" s="3177"/>
    </row>
    <row r="180" spans="1:15" ht="24">
      <c r="A180" s="3157" t="s">
        <v>4193</v>
      </c>
      <c r="B180" s="3329"/>
      <c r="C180" s="3096" t="s">
        <v>4180</v>
      </c>
      <c r="D180" s="3097" t="s">
        <v>3505</v>
      </c>
      <c r="E180" s="3097" t="s">
        <v>3508</v>
      </c>
      <c r="F180" s="3097">
        <v>85.14</v>
      </c>
      <c r="G180" s="3097">
        <v>2541445.1800000002</v>
      </c>
      <c r="H180" s="3156">
        <v>29850</v>
      </c>
      <c r="I180" s="3155">
        <f t="shared" ca="1" si="98"/>
        <v>16652</v>
      </c>
      <c r="J180" s="3156">
        <f t="shared" ca="1" si="99"/>
        <v>142</v>
      </c>
      <c r="K180" s="3177"/>
      <c r="L180" s="3177"/>
      <c r="M180" s="3177"/>
      <c r="N180" s="3177"/>
      <c r="O180" s="3177"/>
    </row>
    <row r="181" spans="1:15">
      <c r="A181" s="3157" t="s">
        <v>4193</v>
      </c>
      <c r="B181" s="3329"/>
      <c r="C181" s="3096" t="s">
        <v>4180</v>
      </c>
      <c r="D181" s="3097" t="s">
        <v>3505</v>
      </c>
      <c r="E181" s="3097" t="s">
        <v>3509</v>
      </c>
      <c r="F181" s="3097">
        <v>84.19</v>
      </c>
      <c r="G181" s="3097">
        <v>2525106.46</v>
      </c>
      <c r="H181" s="3156">
        <v>29993</v>
      </c>
      <c r="I181" s="3155">
        <f t="shared" ca="1" si="98"/>
        <v>16652</v>
      </c>
      <c r="J181" s="3156">
        <f t="shared" ca="1" si="99"/>
        <v>140</v>
      </c>
      <c r="K181" s="3177">
        <f t="shared" ref="K181" ca="1" si="124">J181</f>
        <v>140</v>
      </c>
      <c r="L181" s="3177"/>
      <c r="M181" s="3177"/>
      <c r="N181" s="3177"/>
      <c r="O181" s="3177"/>
    </row>
    <row r="182" spans="1:15">
      <c r="A182" s="3157" t="s">
        <v>4193</v>
      </c>
      <c r="B182" s="3329">
        <v>61</v>
      </c>
      <c r="C182" s="3096" t="s">
        <v>3209</v>
      </c>
      <c r="D182" s="3097" t="s">
        <v>3505</v>
      </c>
      <c r="E182" s="3097" t="s">
        <v>3515</v>
      </c>
      <c r="F182" s="3097">
        <v>134.96</v>
      </c>
      <c r="G182" s="3097">
        <v>7699144.0999999996</v>
      </c>
      <c r="H182" s="3156">
        <v>57048</v>
      </c>
      <c r="I182" s="3155">
        <f t="shared" ca="1" si="98"/>
        <v>54321</v>
      </c>
      <c r="J182" s="3156">
        <f t="shared" ca="1" si="99"/>
        <v>733</v>
      </c>
      <c r="K182" s="3177">
        <f t="shared" ref="K182" ca="1" si="125">J182+J183</f>
        <v>874</v>
      </c>
      <c r="L182" s="3177"/>
      <c r="M182" s="3177"/>
      <c r="N182" s="3177"/>
      <c r="O182" s="3177"/>
    </row>
    <row r="183" spans="1:15" ht="24">
      <c r="A183" s="3157" t="s">
        <v>4193</v>
      </c>
      <c r="B183" s="3329"/>
      <c r="C183" s="3096" t="s">
        <v>4180</v>
      </c>
      <c r="D183" s="3097" t="s">
        <v>3505</v>
      </c>
      <c r="E183" s="3097" t="s">
        <v>3516</v>
      </c>
      <c r="F183" s="3097">
        <v>84.86</v>
      </c>
      <c r="G183" s="3097">
        <v>2533029.42</v>
      </c>
      <c r="H183" s="3156">
        <v>29850</v>
      </c>
      <c r="I183" s="3155">
        <f t="shared" ca="1" si="98"/>
        <v>16652</v>
      </c>
      <c r="J183" s="3156">
        <f t="shared" ca="1" si="99"/>
        <v>141</v>
      </c>
      <c r="K183" s="3177"/>
      <c r="L183" s="3177"/>
      <c r="M183" s="3177"/>
      <c r="N183" s="3177"/>
      <c r="O183" s="3177"/>
    </row>
    <row r="184" spans="1:15">
      <c r="A184" s="3157" t="s">
        <v>4193</v>
      </c>
      <c r="B184" s="3329"/>
      <c r="C184" s="3096" t="s">
        <v>4180</v>
      </c>
      <c r="D184" s="3097" t="s">
        <v>3505</v>
      </c>
      <c r="E184" s="3097" t="s">
        <v>3517</v>
      </c>
      <c r="F184" s="3097">
        <v>84.19</v>
      </c>
      <c r="G184" s="3097">
        <v>2525106.46</v>
      </c>
      <c r="H184" s="3156">
        <v>29993</v>
      </c>
      <c r="I184" s="3155">
        <f t="shared" ca="1" si="98"/>
        <v>16652</v>
      </c>
      <c r="J184" s="3156">
        <f t="shared" ca="1" si="99"/>
        <v>140</v>
      </c>
      <c r="K184" s="3177">
        <f t="shared" ref="K184" ca="1" si="126">J184</f>
        <v>140</v>
      </c>
      <c r="L184" s="3177"/>
      <c r="M184" s="3177"/>
      <c r="N184" s="3177"/>
      <c r="O184" s="3177"/>
    </row>
    <row r="185" spans="1:15">
      <c r="A185" s="3157" t="s">
        <v>4193</v>
      </c>
      <c r="B185" s="3329">
        <v>62</v>
      </c>
      <c r="C185" s="3096" t="s">
        <v>3209</v>
      </c>
      <c r="D185" s="3097" t="s">
        <v>3522</v>
      </c>
      <c r="E185" s="3097" t="s">
        <v>3524</v>
      </c>
      <c r="F185" s="3097">
        <v>135.63</v>
      </c>
      <c r="G185" s="3097">
        <v>7841013.0800000001</v>
      </c>
      <c r="H185" s="3156">
        <v>57812</v>
      </c>
      <c r="I185" s="3155">
        <f t="shared" ca="1" si="98"/>
        <v>54321</v>
      </c>
      <c r="J185" s="3156">
        <f t="shared" ca="1" si="99"/>
        <v>737</v>
      </c>
      <c r="K185" s="3177">
        <f t="shared" ref="K185" ca="1" si="127">J185+J186</f>
        <v>879</v>
      </c>
      <c r="L185" s="3177"/>
      <c r="M185" s="3177"/>
      <c r="N185" s="3177"/>
      <c r="O185" s="3177"/>
    </row>
    <row r="186" spans="1:15" ht="24">
      <c r="A186" s="3157" t="s">
        <v>4193</v>
      </c>
      <c r="B186" s="3329"/>
      <c r="C186" s="3096" t="s">
        <v>4180</v>
      </c>
      <c r="D186" s="3097" t="s">
        <v>3522</v>
      </c>
      <c r="E186" s="3097" t="s">
        <v>3525</v>
      </c>
      <c r="F186" s="3097">
        <v>85.44</v>
      </c>
      <c r="G186" s="3097">
        <v>2546879.25</v>
      </c>
      <c r="H186" s="3156">
        <v>29809</v>
      </c>
      <c r="I186" s="3155">
        <f t="shared" ca="1" si="98"/>
        <v>16652</v>
      </c>
      <c r="J186" s="3156">
        <f t="shared" ca="1" si="99"/>
        <v>142</v>
      </c>
      <c r="K186" s="3177"/>
      <c r="L186" s="3177"/>
      <c r="M186" s="3177"/>
      <c r="N186" s="3177"/>
      <c r="O186" s="3177"/>
    </row>
    <row r="187" spans="1:15">
      <c r="A187" s="3157" t="s">
        <v>4193</v>
      </c>
      <c r="B187" s="3329"/>
      <c r="C187" s="3096" t="s">
        <v>4180</v>
      </c>
      <c r="D187" s="3097" t="s">
        <v>3522</v>
      </c>
      <c r="E187" s="3097" t="s">
        <v>3526</v>
      </c>
      <c r="F187" s="3097">
        <v>84.64</v>
      </c>
      <c r="G187" s="3097">
        <v>2529291.2000000002</v>
      </c>
      <c r="H187" s="3156">
        <v>29883</v>
      </c>
      <c r="I187" s="3155">
        <f t="shared" ca="1" si="98"/>
        <v>16652</v>
      </c>
      <c r="J187" s="3156">
        <f t="shared" ca="1" si="99"/>
        <v>141</v>
      </c>
      <c r="K187" s="3177">
        <f t="shared" ref="K187" ca="1" si="128">J187</f>
        <v>141</v>
      </c>
      <c r="L187" s="3177"/>
      <c r="M187" s="3177"/>
      <c r="N187" s="3177"/>
      <c r="O187" s="3177"/>
    </row>
    <row r="188" spans="1:15">
      <c r="A188" s="3157" t="s">
        <v>4193</v>
      </c>
      <c r="B188" s="3329">
        <v>63</v>
      </c>
      <c r="C188" s="3096" t="s">
        <v>3209</v>
      </c>
      <c r="D188" s="3097" t="s">
        <v>3531</v>
      </c>
      <c r="E188" s="3097" t="s">
        <v>3533</v>
      </c>
      <c r="F188" s="3097">
        <v>139.38999999999999</v>
      </c>
      <c r="G188" s="3097">
        <v>8794550</v>
      </c>
      <c r="H188" s="3156">
        <v>63093</v>
      </c>
      <c r="I188" s="3155">
        <f t="shared" ca="1" si="98"/>
        <v>54321</v>
      </c>
      <c r="J188" s="3156">
        <f t="shared" ca="1" si="99"/>
        <v>757</v>
      </c>
      <c r="K188" s="3177">
        <f t="shared" ref="K188" ca="1" si="129">J188+J189</f>
        <v>902</v>
      </c>
      <c r="L188" s="3177"/>
      <c r="M188" s="3177"/>
      <c r="N188" s="3177"/>
      <c r="O188" s="3177"/>
    </row>
    <row r="189" spans="1:15" ht="24">
      <c r="A189" s="3157" t="s">
        <v>4193</v>
      </c>
      <c r="B189" s="3329"/>
      <c r="C189" s="3096" t="s">
        <v>4180</v>
      </c>
      <c r="D189" s="3097" t="s">
        <v>3531</v>
      </c>
      <c r="E189" s="3097" t="s">
        <v>3534</v>
      </c>
      <c r="F189" s="3097">
        <v>87.13</v>
      </c>
      <c r="G189" s="3097">
        <v>2597234.64</v>
      </c>
      <c r="H189" s="3156">
        <v>29809</v>
      </c>
      <c r="I189" s="3155">
        <f t="shared" ca="1" si="98"/>
        <v>16652</v>
      </c>
      <c r="J189" s="3156">
        <f t="shared" ca="1" si="99"/>
        <v>145</v>
      </c>
      <c r="K189" s="3177"/>
      <c r="L189" s="3177"/>
      <c r="M189" s="3177"/>
      <c r="N189" s="3177"/>
      <c r="O189" s="3177"/>
    </row>
    <row r="190" spans="1:15">
      <c r="A190" s="3157" t="s">
        <v>4193</v>
      </c>
      <c r="B190" s="3329"/>
      <c r="C190" s="3096" t="s">
        <v>4180</v>
      </c>
      <c r="D190" s="3097" t="s">
        <v>3531</v>
      </c>
      <c r="E190" s="3097" t="s">
        <v>3535</v>
      </c>
      <c r="F190" s="3097">
        <v>85.14</v>
      </c>
      <c r="G190" s="3097">
        <v>2552401.84</v>
      </c>
      <c r="H190" s="3156">
        <v>29979</v>
      </c>
      <c r="I190" s="3155">
        <f t="shared" ca="1" si="98"/>
        <v>16652</v>
      </c>
      <c r="J190" s="3156">
        <f t="shared" ca="1" si="99"/>
        <v>142</v>
      </c>
      <c r="K190" s="3177">
        <f t="shared" ref="K190" ca="1" si="130">J190</f>
        <v>142</v>
      </c>
      <c r="L190" s="3177"/>
      <c r="M190" s="3177"/>
      <c r="N190" s="3177"/>
      <c r="O190" s="3177"/>
    </row>
    <row r="191" spans="1:15">
      <c r="A191" s="3157" t="s">
        <v>4193</v>
      </c>
      <c r="B191" s="3329">
        <v>64</v>
      </c>
      <c r="C191" s="3096" t="s">
        <v>3209</v>
      </c>
      <c r="D191" s="3097" t="s">
        <v>3531</v>
      </c>
      <c r="E191" s="3097" t="s">
        <v>3541</v>
      </c>
      <c r="F191" s="3097">
        <v>139.38</v>
      </c>
      <c r="G191" s="3097">
        <v>8794550.4600000009</v>
      </c>
      <c r="H191" s="3156">
        <v>63098</v>
      </c>
      <c r="I191" s="3155">
        <f t="shared" ca="1" si="98"/>
        <v>54321</v>
      </c>
      <c r="J191" s="3156">
        <f t="shared" ca="1" si="99"/>
        <v>757</v>
      </c>
      <c r="K191" s="3177">
        <f t="shared" ref="K191" ca="1" si="131">J191+J192</f>
        <v>902</v>
      </c>
      <c r="L191" s="3177"/>
      <c r="M191" s="3177"/>
      <c r="N191" s="3177"/>
      <c r="O191" s="3177"/>
    </row>
    <row r="192" spans="1:15" ht="24">
      <c r="A192" s="3157" t="s">
        <v>4193</v>
      </c>
      <c r="B192" s="3329"/>
      <c r="C192" s="3096" t="s">
        <v>4180</v>
      </c>
      <c r="D192" s="3097" t="s">
        <v>3531</v>
      </c>
      <c r="E192" s="3097" t="s">
        <v>3542</v>
      </c>
      <c r="F192" s="3097">
        <v>87.28</v>
      </c>
      <c r="G192" s="3097">
        <v>2601429.2799999998</v>
      </c>
      <c r="H192" s="3156">
        <v>29806</v>
      </c>
      <c r="I192" s="3155">
        <f t="shared" ca="1" si="98"/>
        <v>16652</v>
      </c>
      <c r="J192" s="3156">
        <f t="shared" ca="1" si="99"/>
        <v>145</v>
      </c>
      <c r="K192" s="3177"/>
      <c r="L192" s="3177"/>
      <c r="M192" s="3177"/>
      <c r="N192" s="3177"/>
      <c r="O192" s="3177"/>
    </row>
    <row r="193" spans="1:15">
      <c r="A193" s="3157" t="s">
        <v>4193</v>
      </c>
      <c r="B193" s="3329"/>
      <c r="C193" s="3096" t="s">
        <v>4180</v>
      </c>
      <c r="D193" s="3097" t="s">
        <v>3531</v>
      </c>
      <c r="E193" s="3097" t="s">
        <v>3543</v>
      </c>
      <c r="F193" s="3097">
        <v>85.14</v>
      </c>
      <c r="G193" s="3097">
        <v>2552401.84</v>
      </c>
      <c r="H193" s="3156">
        <v>29979</v>
      </c>
      <c r="I193" s="3155">
        <f t="shared" ca="1" si="98"/>
        <v>16652</v>
      </c>
      <c r="J193" s="3156">
        <f t="shared" ca="1" si="99"/>
        <v>142</v>
      </c>
      <c r="K193" s="3177">
        <f t="shared" ref="K193" ca="1" si="132">J193</f>
        <v>142</v>
      </c>
      <c r="L193" s="3177"/>
      <c r="M193" s="3177"/>
      <c r="N193" s="3177"/>
      <c r="O193" s="3177"/>
    </row>
    <row r="194" spans="1:15">
      <c r="A194" s="3157" t="s">
        <v>4193</v>
      </c>
      <c r="B194" s="3329">
        <v>65</v>
      </c>
      <c r="C194" s="3096" t="s">
        <v>3209</v>
      </c>
      <c r="D194" s="3097" t="s">
        <v>3531</v>
      </c>
      <c r="E194" s="3097" t="s">
        <v>3549</v>
      </c>
      <c r="F194" s="3097">
        <v>139.6</v>
      </c>
      <c r="G194" s="3097">
        <v>8808166.6999999993</v>
      </c>
      <c r="H194" s="3156">
        <v>63096</v>
      </c>
      <c r="I194" s="3155">
        <f t="shared" ca="1" si="98"/>
        <v>54321</v>
      </c>
      <c r="J194" s="3156">
        <f t="shared" ca="1" si="99"/>
        <v>758</v>
      </c>
      <c r="K194" s="3177">
        <f t="shared" ref="K194" ca="1" si="133">J194+J195</f>
        <v>904</v>
      </c>
      <c r="L194" s="3177"/>
      <c r="M194" s="3177"/>
      <c r="N194" s="3177"/>
      <c r="O194" s="3177"/>
    </row>
    <row r="195" spans="1:15" ht="24">
      <c r="A195" s="3157" t="s">
        <v>4193</v>
      </c>
      <c r="B195" s="3329"/>
      <c r="C195" s="3096" t="s">
        <v>4180</v>
      </c>
      <c r="D195" s="3097" t="s">
        <v>3531</v>
      </c>
      <c r="E195" s="3097" t="s">
        <v>3550</v>
      </c>
      <c r="F195" s="3097">
        <v>87.66</v>
      </c>
      <c r="G195" s="3097">
        <v>2612505.56</v>
      </c>
      <c r="H195" s="3156">
        <v>29803</v>
      </c>
      <c r="I195" s="3155">
        <f t="shared" ca="1" si="98"/>
        <v>16652</v>
      </c>
      <c r="J195" s="3156">
        <f t="shared" ca="1" si="99"/>
        <v>146</v>
      </c>
      <c r="K195" s="3177"/>
      <c r="L195" s="3177"/>
      <c r="M195" s="3177"/>
      <c r="N195" s="3177"/>
      <c r="O195" s="3177"/>
    </row>
    <row r="196" spans="1:15">
      <c r="A196" s="3157" t="s">
        <v>4193</v>
      </c>
      <c r="B196" s="3329"/>
      <c r="C196" s="3096" t="s">
        <v>4180</v>
      </c>
      <c r="D196" s="3097" t="s">
        <v>3531</v>
      </c>
      <c r="E196" s="3097" t="s">
        <v>3551</v>
      </c>
      <c r="F196" s="3097">
        <v>85.14</v>
      </c>
      <c r="G196" s="3097">
        <v>2552401.84</v>
      </c>
      <c r="H196" s="3156">
        <v>29979</v>
      </c>
      <c r="I196" s="3155">
        <f t="shared" ca="1" si="98"/>
        <v>16652</v>
      </c>
      <c r="J196" s="3156">
        <f t="shared" ca="1" si="99"/>
        <v>142</v>
      </c>
      <c r="K196" s="3177">
        <f t="shared" ref="K196" ca="1" si="134">J196</f>
        <v>142</v>
      </c>
      <c r="L196" s="3177"/>
      <c r="M196" s="3177"/>
      <c r="N196" s="3177"/>
      <c r="O196" s="3177"/>
    </row>
    <row r="197" spans="1:15">
      <c r="A197" s="3157" t="s">
        <v>4193</v>
      </c>
      <c r="B197" s="3329">
        <v>66</v>
      </c>
      <c r="C197" s="3096" t="s">
        <v>3209</v>
      </c>
      <c r="D197" s="3097" t="s">
        <v>3556</v>
      </c>
      <c r="E197" s="3097" t="s">
        <v>3558</v>
      </c>
      <c r="F197" s="3097">
        <v>134.76</v>
      </c>
      <c r="G197" s="3097">
        <v>8211213.8399999999</v>
      </c>
      <c r="H197" s="3156">
        <v>60932</v>
      </c>
      <c r="I197" s="3155">
        <f t="shared" ca="1" si="98"/>
        <v>54321</v>
      </c>
      <c r="J197" s="3156">
        <f t="shared" ca="1" si="99"/>
        <v>732</v>
      </c>
      <c r="K197" s="3177">
        <f t="shared" ref="K197" ca="1" si="135">J197+J198</f>
        <v>873</v>
      </c>
      <c r="L197" s="3177"/>
      <c r="M197" s="3177"/>
      <c r="N197" s="3177"/>
      <c r="O197" s="3177"/>
    </row>
    <row r="198" spans="1:15" ht="24">
      <c r="A198" s="3157" t="s">
        <v>4193</v>
      </c>
      <c r="B198" s="3329"/>
      <c r="C198" s="3096" t="s">
        <v>4180</v>
      </c>
      <c r="D198" s="3097" t="s">
        <v>3556</v>
      </c>
      <c r="E198" s="3097" t="s">
        <v>3559</v>
      </c>
      <c r="F198" s="3097">
        <v>84.69</v>
      </c>
      <c r="G198" s="3097">
        <v>2527930.44</v>
      </c>
      <c r="H198" s="3156">
        <v>29849</v>
      </c>
      <c r="I198" s="3155">
        <f t="shared" ca="1" si="98"/>
        <v>16652</v>
      </c>
      <c r="J198" s="3156">
        <f t="shared" ca="1" si="99"/>
        <v>141</v>
      </c>
      <c r="K198" s="3177"/>
      <c r="L198" s="3177"/>
      <c r="M198" s="3177"/>
      <c r="N198" s="3177"/>
      <c r="O198" s="3177"/>
    </row>
    <row r="199" spans="1:15">
      <c r="A199" s="3157" t="s">
        <v>4193</v>
      </c>
      <c r="B199" s="3329"/>
      <c r="C199" s="3096" t="s">
        <v>4180</v>
      </c>
      <c r="D199" s="3097" t="s">
        <v>3556</v>
      </c>
      <c r="E199" s="3097" t="s">
        <v>3560</v>
      </c>
      <c r="F199" s="3097">
        <v>83.46</v>
      </c>
      <c r="G199" s="3097">
        <v>2503200.7599999998</v>
      </c>
      <c r="H199" s="3156">
        <v>29993</v>
      </c>
      <c r="I199" s="3155">
        <f t="shared" ca="1" si="98"/>
        <v>16652</v>
      </c>
      <c r="J199" s="3156">
        <f t="shared" ca="1" si="99"/>
        <v>139</v>
      </c>
      <c r="K199" s="3177">
        <f t="shared" ref="K199" ca="1" si="136">J199</f>
        <v>139</v>
      </c>
      <c r="L199" s="3177"/>
      <c r="M199" s="3177"/>
      <c r="N199" s="3177"/>
      <c r="O199" s="3177"/>
    </row>
    <row r="200" spans="1:15">
      <c r="A200" s="3157" t="s">
        <v>4193</v>
      </c>
      <c r="B200" s="3329">
        <v>67</v>
      </c>
      <c r="C200" s="3096" t="s">
        <v>3209</v>
      </c>
      <c r="D200" s="3097" t="s">
        <v>3556</v>
      </c>
      <c r="E200" s="3097" t="s">
        <v>3566</v>
      </c>
      <c r="F200" s="3097">
        <v>135.1</v>
      </c>
      <c r="G200" s="3097">
        <v>7822388.6200000001</v>
      </c>
      <c r="H200" s="3156">
        <v>57901</v>
      </c>
      <c r="I200" s="3155">
        <f t="shared" ca="1" si="98"/>
        <v>54321</v>
      </c>
      <c r="J200" s="3156">
        <f t="shared" ca="1" si="99"/>
        <v>734</v>
      </c>
      <c r="K200" s="3177">
        <f t="shared" ref="K200" ca="1" si="137">J200+J201</f>
        <v>876</v>
      </c>
      <c r="L200" s="3177"/>
      <c r="M200" s="3177"/>
      <c r="N200" s="3177"/>
      <c r="O200" s="3177"/>
    </row>
    <row r="201" spans="1:15" ht="24">
      <c r="A201" s="3157" t="s">
        <v>4193</v>
      </c>
      <c r="B201" s="3329"/>
      <c r="C201" s="3096" t="s">
        <v>4180</v>
      </c>
      <c r="D201" s="3097" t="s">
        <v>3556</v>
      </c>
      <c r="E201" s="3097" t="s">
        <v>3567</v>
      </c>
      <c r="F201" s="3097">
        <v>85.11</v>
      </c>
      <c r="G201" s="3097">
        <v>2540272.21</v>
      </c>
      <c r="H201" s="3156">
        <v>29847</v>
      </c>
      <c r="I201" s="3155">
        <f t="shared" ca="1" si="98"/>
        <v>16652</v>
      </c>
      <c r="J201" s="3156">
        <f t="shared" ca="1" si="99"/>
        <v>142</v>
      </c>
      <c r="K201" s="3177"/>
      <c r="L201" s="3177"/>
      <c r="M201" s="3177"/>
      <c r="N201" s="3177"/>
      <c r="O201" s="3177"/>
    </row>
    <row r="202" spans="1:15">
      <c r="A202" s="3157" t="s">
        <v>4193</v>
      </c>
      <c r="B202" s="3329"/>
      <c r="C202" s="3096" t="s">
        <v>4180</v>
      </c>
      <c r="D202" s="3097" t="s">
        <v>3556</v>
      </c>
      <c r="E202" s="3097" t="s">
        <v>3568</v>
      </c>
      <c r="F202" s="3097">
        <v>84.18</v>
      </c>
      <c r="G202" s="3097">
        <v>2524807.66</v>
      </c>
      <c r="H202" s="3156">
        <v>29993</v>
      </c>
      <c r="I202" s="3155">
        <f t="shared" ca="1" si="98"/>
        <v>16652</v>
      </c>
      <c r="J202" s="3156">
        <f t="shared" ca="1" si="99"/>
        <v>140</v>
      </c>
      <c r="K202" s="3177">
        <f t="shared" ref="K202" ca="1" si="138">J202</f>
        <v>140</v>
      </c>
      <c r="L202" s="3177"/>
      <c r="M202" s="3177"/>
      <c r="N202" s="3177"/>
      <c r="O202" s="3177"/>
    </row>
    <row r="203" spans="1:15">
      <c r="A203" s="3157" t="s">
        <v>4193</v>
      </c>
      <c r="B203" s="3329">
        <v>68</v>
      </c>
      <c r="C203" s="3096" t="s">
        <v>3209</v>
      </c>
      <c r="D203" s="3097" t="s">
        <v>3556</v>
      </c>
      <c r="E203" s="3097" t="s">
        <v>3572</v>
      </c>
      <c r="F203" s="3097">
        <v>134.76</v>
      </c>
      <c r="G203" s="3097">
        <v>8378693.5700000003</v>
      </c>
      <c r="H203" s="3156">
        <v>62175</v>
      </c>
      <c r="I203" s="3155">
        <f t="shared" ca="1" si="98"/>
        <v>54321</v>
      </c>
      <c r="J203" s="3156">
        <f t="shared" ca="1" si="99"/>
        <v>732</v>
      </c>
      <c r="K203" s="3177">
        <f t="shared" ref="K203" ca="1" si="139">J203+J204</f>
        <v>873</v>
      </c>
      <c r="L203" s="3177"/>
      <c r="M203" s="3177"/>
      <c r="N203" s="3177"/>
      <c r="O203" s="3177"/>
    </row>
    <row r="204" spans="1:15" ht="24">
      <c r="A204" s="3157" t="s">
        <v>4193</v>
      </c>
      <c r="B204" s="3329"/>
      <c r="C204" s="3096" t="s">
        <v>4180</v>
      </c>
      <c r="D204" s="3097" t="s">
        <v>3556</v>
      </c>
      <c r="E204" s="3097" t="s">
        <v>3573</v>
      </c>
      <c r="F204" s="3097">
        <v>84.69</v>
      </c>
      <c r="G204" s="3097">
        <v>2527930.44</v>
      </c>
      <c r="H204" s="3156">
        <v>29849</v>
      </c>
      <c r="I204" s="3155">
        <f t="shared" ca="1" si="98"/>
        <v>16652</v>
      </c>
      <c r="J204" s="3156">
        <f t="shared" ca="1" si="99"/>
        <v>141</v>
      </c>
      <c r="K204" s="3177"/>
      <c r="L204" s="3177"/>
      <c r="M204" s="3177"/>
      <c r="N204" s="3177"/>
      <c r="O204" s="3177"/>
    </row>
    <row r="205" spans="1:15">
      <c r="A205" s="3157" t="s">
        <v>4193</v>
      </c>
      <c r="B205" s="3329"/>
      <c r="C205" s="3096" t="s">
        <v>4180</v>
      </c>
      <c r="D205" s="3097" t="s">
        <v>3556</v>
      </c>
      <c r="E205" s="3097" t="s">
        <v>3574</v>
      </c>
      <c r="F205" s="3097">
        <v>83.46</v>
      </c>
      <c r="G205" s="3097">
        <v>2503200.7599999998</v>
      </c>
      <c r="H205" s="3156">
        <v>29993</v>
      </c>
      <c r="I205" s="3155">
        <f t="shared" ref="I205:I268" ca="1" si="140">IF(C205="大证住宅",$R$2,IF(C205="仓储",$R$3,$R$4))</f>
        <v>16652</v>
      </c>
      <c r="J205" s="3156">
        <f t="shared" ref="J205:J268" ca="1" si="141">ROUND(I205*F205/10000,0)</f>
        <v>139</v>
      </c>
      <c r="K205" s="3177">
        <f t="shared" ref="K205" ca="1" si="142">J205</f>
        <v>139</v>
      </c>
      <c r="L205" s="3177"/>
      <c r="M205" s="3177"/>
      <c r="N205" s="3177"/>
      <c r="O205" s="3177"/>
    </row>
    <row r="206" spans="1:15">
      <c r="A206" s="3157" t="s">
        <v>4193</v>
      </c>
      <c r="B206" s="3329">
        <v>69</v>
      </c>
      <c r="C206" s="3096" t="s">
        <v>3209</v>
      </c>
      <c r="D206" s="3097" t="s">
        <v>3556</v>
      </c>
      <c r="E206" s="3097" t="s">
        <v>3580</v>
      </c>
      <c r="F206" s="3097">
        <v>135.1</v>
      </c>
      <c r="G206" s="3097">
        <v>7990688.0999999996</v>
      </c>
      <c r="H206" s="3156">
        <v>59146</v>
      </c>
      <c r="I206" s="3155">
        <f t="shared" ca="1" si="140"/>
        <v>54321</v>
      </c>
      <c r="J206" s="3156">
        <f t="shared" ca="1" si="141"/>
        <v>734</v>
      </c>
      <c r="K206" s="3177">
        <f t="shared" ref="K206" ca="1" si="143">J206+J207</f>
        <v>876</v>
      </c>
      <c r="L206" s="3177"/>
      <c r="M206" s="3177"/>
      <c r="N206" s="3177"/>
      <c r="O206" s="3177"/>
    </row>
    <row r="207" spans="1:15" ht="24">
      <c r="A207" s="3157" t="s">
        <v>4193</v>
      </c>
      <c r="B207" s="3329"/>
      <c r="C207" s="3096" t="s">
        <v>4180</v>
      </c>
      <c r="D207" s="3097" t="s">
        <v>3556</v>
      </c>
      <c r="E207" s="3097" t="s">
        <v>3581</v>
      </c>
      <c r="F207" s="3097">
        <v>85.11</v>
      </c>
      <c r="G207" s="3097">
        <v>2540272.21</v>
      </c>
      <c r="H207" s="3156">
        <v>29847</v>
      </c>
      <c r="I207" s="3155">
        <f t="shared" ca="1" si="140"/>
        <v>16652</v>
      </c>
      <c r="J207" s="3156">
        <f t="shared" ca="1" si="141"/>
        <v>142</v>
      </c>
      <c r="K207" s="3177"/>
      <c r="L207" s="3177"/>
      <c r="M207" s="3177"/>
      <c r="N207" s="3177"/>
      <c r="O207" s="3177"/>
    </row>
    <row r="208" spans="1:15">
      <c r="A208" s="3157" t="s">
        <v>4193</v>
      </c>
      <c r="B208" s="3329"/>
      <c r="C208" s="3096" t="s">
        <v>4180</v>
      </c>
      <c r="D208" s="3097" t="s">
        <v>3556</v>
      </c>
      <c r="E208" s="3097" t="s">
        <v>3582</v>
      </c>
      <c r="F208" s="3097">
        <v>84.18</v>
      </c>
      <c r="G208" s="3097">
        <v>2524807.66</v>
      </c>
      <c r="H208" s="3156">
        <v>29993</v>
      </c>
      <c r="I208" s="3155">
        <f t="shared" ca="1" si="140"/>
        <v>16652</v>
      </c>
      <c r="J208" s="3156">
        <f t="shared" ca="1" si="141"/>
        <v>140</v>
      </c>
      <c r="K208" s="3177">
        <f t="shared" ref="K208" ca="1" si="144">J208</f>
        <v>140</v>
      </c>
      <c r="L208" s="3177"/>
      <c r="M208" s="3177"/>
      <c r="N208" s="3177"/>
      <c r="O208" s="3177"/>
    </row>
    <row r="209" spans="1:15">
      <c r="A209" s="3157" t="s">
        <v>4193</v>
      </c>
      <c r="B209" s="3329">
        <v>70</v>
      </c>
      <c r="C209" s="3096" t="s">
        <v>3209</v>
      </c>
      <c r="D209" s="3097" t="s">
        <v>3587</v>
      </c>
      <c r="E209" s="3097" t="s">
        <v>3589</v>
      </c>
      <c r="F209" s="3097">
        <v>139.13999999999999</v>
      </c>
      <c r="G209" s="3097">
        <v>8779144.0500000007</v>
      </c>
      <c r="H209" s="3156">
        <v>63096</v>
      </c>
      <c r="I209" s="3155">
        <f t="shared" ca="1" si="140"/>
        <v>54321</v>
      </c>
      <c r="J209" s="3156">
        <f t="shared" ca="1" si="141"/>
        <v>756</v>
      </c>
      <c r="K209" s="3177">
        <f t="shared" ref="K209" ca="1" si="145">J209+J210</f>
        <v>901</v>
      </c>
      <c r="L209" s="3177"/>
      <c r="M209" s="3177"/>
      <c r="N209" s="3177"/>
      <c r="O209" s="3177"/>
    </row>
    <row r="210" spans="1:15" ht="24">
      <c r="A210" s="3157" t="s">
        <v>4193</v>
      </c>
      <c r="B210" s="3329"/>
      <c r="C210" s="3096" t="s">
        <v>4180</v>
      </c>
      <c r="D210" s="3097" t="s">
        <v>3587</v>
      </c>
      <c r="E210" s="3097" t="s">
        <v>3590</v>
      </c>
      <c r="F210" s="3097">
        <v>87.08</v>
      </c>
      <c r="G210" s="3097">
        <v>2595253.08</v>
      </c>
      <c r="H210" s="3156">
        <v>29803</v>
      </c>
      <c r="I210" s="3155">
        <f t="shared" ca="1" si="140"/>
        <v>16652</v>
      </c>
      <c r="J210" s="3156">
        <f t="shared" ca="1" si="141"/>
        <v>145</v>
      </c>
      <c r="K210" s="3177"/>
      <c r="L210" s="3177"/>
      <c r="M210" s="3177"/>
      <c r="N210" s="3177"/>
      <c r="O210" s="3177"/>
    </row>
    <row r="211" spans="1:15">
      <c r="A211" s="3157" t="s">
        <v>4193</v>
      </c>
      <c r="B211" s="3329"/>
      <c r="C211" s="3096" t="s">
        <v>4180</v>
      </c>
      <c r="D211" s="3097" t="s">
        <v>3587</v>
      </c>
      <c r="E211" s="3097" t="s">
        <v>3591</v>
      </c>
      <c r="F211" s="3097">
        <v>84.52</v>
      </c>
      <c r="G211" s="3097">
        <v>2533791.27</v>
      </c>
      <c r="H211" s="3156">
        <v>29979</v>
      </c>
      <c r="I211" s="3155">
        <f t="shared" ca="1" si="140"/>
        <v>16652</v>
      </c>
      <c r="J211" s="3156">
        <f t="shared" ca="1" si="141"/>
        <v>141</v>
      </c>
      <c r="K211" s="3177">
        <f t="shared" ref="K211" ca="1" si="146">J211</f>
        <v>141</v>
      </c>
      <c r="L211" s="3177"/>
      <c r="M211" s="3177"/>
      <c r="N211" s="3177"/>
      <c r="O211" s="3177"/>
    </row>
    <row r="212" spans="1:15">
      <c r="A212" s="3157" t="s">
        <v>4193</v>
      </c>
      <c r="B212" s="3329">
        <v>71</v>
      </c>
      <c r="C212" s="3096" t="s">
        <v>3209</v>
      </c>
      <c r="D212" s="3097" t="s">
        <v>3587</v>
      </c>
      <c r="E212" s="3097" t="s">
        <v>3597</v>
      </c>
      <c r="F212" s="3097">
        <v>139.29</v>
      </c>
      <c r="G212" s="3097">
        <v>8788905.0999999996</v>
      </c>
      <c r="H212" s="3156">
        <v>63098</v>
      </c>
      <c r="I212" s="3155">
        <f t="shared" ca="1" si="140"/>
        <v>54321</v>
      </c>
      <c r="J212" s="3156">
        <f t="shared" ca="1" si="141"/>
        <v>757</v>
      </c>
      <c r="K212" s="3177">
        <f t="shared" ref="K212" ca="1" si="147">J212+J213</f>
        <v>902</v>
      </c>
      <c r="L212" s="3177"/>
      <c r="M212" s="3177"/>
      <c r="N212" s="3177"/>
      <c r="O212" s="3177"/>
    </row>
    <row r="213" spans="1:15" ht="24">
      <c r="A213" s="3157" t="s">
        <v>4193</v>
      </c>
      <c r="B213" s="3329"/>
      <c r="C213" s="3096" t="s">
        <v>4180</v>
      </c>
      <c r="D213" s="3097" t="s">
        <v>3587</v>
      </c>
      <c r="E213" s="3097" t="s">
        <v>3598</v>
      </c>
      <c r="F213" s="3097">
        <v>87.22</v>
      </c>
      <c r="G213" s="3097">
        <v>2599630.48</v>
      </c>
      <c r="H213" s="3156">
        <v>29805</v>
      </c>
      <c r="I213" s="3155">
        <f t="shared" ca="1" si="140"/>
        <v>16652</v>
      </c>
      <c r="J213" s="3156">
        <f t="shared" ca="1" si="141"/>
        <v>145</v>
      </c>
      <c r="K213" s="3177"/>
      <c r="L213" s="3177"/>
      <c r="M213" s="3177"/>
      <c r="N213" s="3177"/>
      <c r="O213" s="3177"/>
    </row>
    <row r="214" spans="1:15">
      <c r="A214" s="3157" t="s">
        <v>4193</v>
      </c>
      <c r="B214" s="3329"/>
      <c r="C214" s="3096" t="s">
        <v>4180</v>
      </c>
      <c r="D214" s="3097" t="s">
        <v>3587</v>
      </c>
      <c r="E214" s="3097" t="s">
        <v>3599</v>
      </c>
      <c r="F214" s="3097">
        <v>85.25</v>
      </c>
      <c r="G214" s="3097">
        <v>2555409.67</v>
      </c>
      <c r="H214" s="3156">
        <v>29975</v>
      </c>
      <c r="I214" s="3155">
        <f t="shared" ca="1" si="140"/>
        <v>16652</v>
      </c>
      <c r="J214" s="3156">
        <f t="shared" ca="1" si="141"/>
        <v>142</v>
      </c>
      <c r="K214" s="3177">
        <f t="shared" ref="K214" ca="1" si="148">J214</f>
        <v>142</v>
      </c>
      <c r="L214" s="3177"/>
      <c r="M214" s="3177"/>
      <c r="N214" s="3177"/>
      <c r="O214" s="3177"/>
    </row>
    <row r="215" spans="1:15">
      <c r="A215" s="3157" t="s">
        <v>4193</v>
      </c>
      <c r="B215" s="3329">
        <v>72</v>
      </c>
      <c r="C215" s="3096" t="s">
        <v>3209</v>
      </c>
      <c r="D215" s="3097" t="s">
        <v>3587</v>
      </c>
      <c r="E215" s="3097" t="s">
        <v>3605</v>
      </c>
      <c r="F215" s="3097">
        <v>139.29</v>
      </c>
      <c r="G215" s="3097">
        <v>8788905.0999999996</v>
      </c>
      <c r="H215" s="3156">
        <v>63098</v>
      </c>
      <c r="I215" s="3155">
        <f t="shared" ca="1" si="140"/>
        <v>54321</v>
      </c>
      <c r="J215" s="3156">
        <f t="shared" ca="1" si="141"/>
        <v>757</v>
      </c>
      <c r="K215" s="3177">
        <f t="shared" ref="K215" ca="1" si="149">J215+J216</f>
        <v>902</v>
      </c>
      <c r="L215" s="3177"/>
      <c r="M215" s="3177"/>
      <c r="N215" s="3177"/>
      <c r="O215" s="3177"/>
    </row>
    <row r="216" spans="1:15" ht="24">
      <c r="A216" s="3157" t="s">
        <v>4193</v>
      </c>
      <c r="B216" s="3329"/>
      <c r="C216" s="3096" t="s">
        <v>4180</v>
      </c>
      <c r="D216" s="3097" t="s">
        <v>3587</v>
      </c>
      <c r="E216" s="3097" t="s">
        <v>3606</v>
      </c>
      <c r="F216" s="3097">
        <v>87.22</v>
      </c>
      <c r="G216" s="3097">
        <v>2599630.48</v>
      </c>
      <c r="H216" s="3156">
        <v>29805</v>
      </c>
      <c r="I216" s="3155">
        <f t="shared" ca="1" si="140"/>
        <v>16652</v>
      </c>
      <c r="J216" s="3156">
        <f t="shared" ca="1" si="141"/>
        <v>145</v>
      </c>
      <c r="K216" s="3177"/>
      <c r="L216" s="3177"/>
      <c r="M216" s="3177"/>
      <c r="N216" s="3177"/>
      <c r="O216" s="3177"/>
    </row>
    <row r="217" spans="1:15">
      <c r="A217" s="3157" t="s">
        <v>4193</v>
      </c>
      <c r="B217" s="3329"/>
      <c r="C217" s="3096" t="s">
        <v>4180</v>
      </c>
      <c r="D217" s="3097" t="s">
        <v>3587</v>
      </c>
      <c r="E217" s="3097" t="s">
        <v>3607</v>
      </c>
      <c r="F217" s="3097">
        <v>85.25</v>
      </c>
      <c r="G217" s="3097">
        <v>2555409.67</v>
      </c>
      <c r="H217" s="3156">
        <v>29975</v>
      </c>
      <c r="I217" s="3155">
        <f t="shared" ca="1" si="140"/>
        <v>16652</v>
      </c>
      <c r="J217" s="3156">
        <f t="shared" ca="1" si="141"/>
        <v>142</v>
      </c>
      <c r="K217" s="3177">
        <f t="shared" ref="K217" ca="1" si="150">J217</f>
        <v>142</v>
      </c>
      <c r="L217" s="3177"/>
      <c r="M217" s="3177"/>
      <c r="N217" s="3177"/>
      <c r="O217" s="3177"/>
    </row>
    <row r="218" spans="1:15">
      <c r="A218" s="3157" t="s">
        <v>4193</v>
      </c>
      <c r="B218" s="3329">
        <v>73</v>
      </c>
      <c r="C218" s="3096" t="s">
        <v>3209</v>
      </c>
      <c r="D218" s="3097" t="s">
        <v>3612</v>
      </c>
      <c r="E218" s="3097" t="s">
        <v>3614</v>
      </c>
      <c r="F218" s="3097">
        <v>134.66999999999999</v>
      </c>
      <c r="G218" s="3097">
        <v>7684755.0099999998</v>
      </c>
      <c r="H218" s="3156">
        <v>57064</v>
      </c>
      <c r="I218" s="3155">
        <f t="shared" ca="1" si="140"/>
        <v>54321</v>
      </c>
      <c r="J218" s="3156">
        <f t="shared" ca="1" si="141"/>
        <v>732</v>
      </c>
      <c r="K218" s="3177">
        <f t="shared" ref="K218" ca="1" si="151">J218+J219</f>
        <v>873</v>
      </c>
      <c r="L218" s="3177"/>
      <c r="M218" s="3177"/>
      <c r="N218" s="3177"/>
      <c r="O218" s="3177"/>
    </row>
    <row r="219" spans="1:15" ht="24">
      <c r="A219" s="3157" t="s">
        <v>4193</v>
      </c>
      <c r="B219" s="3329"/>
      <c r="C219" s="3096" t="s">
        <v>4180</v>
      </c>
      <c r="D219" s="3097" t="s">
        <v>3612</v>
      </c>
      <c r="E219" s="3097" t="s">
        <v>3615</v>
      </c>
      <c r="F219" s="3097">
        <v>84.7</v>
      </c>
      <c r="G219" s="3097">
        <v>2528228.09</v>
      </c>
      <c r="H219" s="3156">
        <v>29849</v>
      </c>
      <c r="I219" s="3155">
        <f t="shared" ca="1" si="140"/>
        <v>16652</v>
      </c>
      <c r="J219" s="3156">
        <f t="shared" ca="1" si="141"/>
        <v>141</v>
      </c>
      <c r="K219" s="3177"/>
      <c r="L219" s="3177"/>
      <c r="M219" s="3177"/>
      <c r="N219" s="3177"/>
      <c r="O219" s="3177"/>
    </row>
    <row r="220" spans="1:15">
      <c r="A220" s="3157" t="s">
        <v>4193</v>
      </c>
      <c r="B220" s="3329"/>
      <c r="C220" s="3096" t="s">
        <v>4180</v>
      </c>
      <c r="D220" s="3097" t="s">
        <v>3612</v>
      </c>
      <c r="E220" s="3097" t="s">
        <v>3616</v>
      </c>
      <c r="F220" s="3097">
        <v>84.1</v>
      </c>
      <c r="G220" s="3097">
        <v>2522398.69</v>
      </c>
      <c r="H220" s="3156">
        <v>29993</v>
      </c>
      <c r="I220" s="3155">
        <f t="shared" ca="1" si="140"/>
        <v>16652</v>
      </c>
      <c r="J220" s="3156">
        <f t="shared" ca="1" si="141"/>
        <v>140</v>
      </c>
      <c r="K220" s="3177">
        <f t="shared" ref="K220" ca="1" si="152">J220</f>
        <v>140</v>
      </c>
      <c r="L220" s="3177"/>
      <c r="M220" s="3177"/>
      <c r="N220" s="3177"/>
      <c r="O220" s="3177"/>
    </row>
    <row r="221" spans="1:15">
      <c r="A221" s="3157" t="s">
        <v>4193</v>
      </c>
      <c r="B221" s="3329">
        <v>74</v>
      </c>
      <c r="C221" s="3096" t="s">
        <v>3209</v>
      </c>
      <c r="D221" s="3097" t="s">
        <v>3621</v>
      </c>
      <c r="E221" s="3097" t="s">
        <v>3623</v>
      </c>
      <c r="F221" s="3097">
        <v>135.04</v>
      </c>
      <c r="G221" s="3097">
        <v>7919233.0899999999</v>
      </c>
      <c r="H221" s="3156">
        <v>58644</v>
      </c>
      <c r="I221" s="3155">
        <f t="shared" ca="1" si="140"/>
        <v>54321</v>
      </c>
      <c r="J221" s="3156">
        <f t="shared" ca="1" si="141"/>
        <v>734</v>
      </c>
      <c r="K221" s="3177">
        <f t="shared" ref="K221" ca="1" si="153">J221+J222</f>
        <v>876</v>
      </c>
      <c r="L221" s="3177"/>
      <c r="M221" s="3177"/>
      <c r="N221" s="3177"/>
      <c r="O221" s="3177"/>
    </row>
    <row r="222" spans="1:15" ht="24">
      <c r="A222" s="3157" t="s">
        <v>4193</v>
      </c>
      <c r="B222" s="3329"/>
      <c r="C222" s="3096" t="s">
        <v>4180</v>
      </c>
      <c r="D222" s="3097" t="s">
        <v>3621</v>
      </c>
      <c r="E222" s="3097" t="s">
        <v>3624</v>
      </c>
      <c r="F222" s="3097">
        <v>85.07</v>
      </c>
      <c r="G222" s="3097">
        <v>2539345.4500000002</v>
      </c>
      <c r="H222" s="3156">
        <v>29850</v>
      </c>
      <c r="I222" s="3155">
        <f t="shared" ca="1" si="140"/>
        <v>16652</v>
      </c>
      <c r="J222" s="3156">
        <f t="shared" ca="1" si="141"/>
        <v>142</v>
      </c>
      <c r="K222" s="3177"/>
      <c r="L222" s="3177"/>
      <c r="M222" s="3177"/>
      <c r="N222" s="3177"/>
      <c r="O222" s="3177"/>
    </row>
    <row r="223" spans="1:15">
      <c r="A223" s="3157" t="s">
        <v>4193</v>
      </c>
      <c r="B223" s="3329"/>
      <c r="C223" s="3096" t="s">
        <v>4180</v>
      </c>
      <c r="D223" s="3097" t="s">
        <v>3621</v>
      </c>
      <c r="E223" s="3097" t="s">
        <v>3625</v>
      </c>
      <c r="F223" s="3097">
        <v>84.17</v>
      </c>
      <c r="G223" s="3097">
        <v>2524509.13</v>
      </c>
      <c r="H223" s="3156">
        <v>29993</v>
      </c>
      <c r="I223" s="3155">
        <f t="shared" ca="1" si="140"/>
        <v>16652</v>
      </c>
      <c r="J223" s="3156">
        <f t="shared" ca="1" si="141"/>
        <v>140</v>
      </c>
      <c r="K223" s="3177">
        <f t="shared" ref="K223" ca="1" si="154">J223</f>
        <v>140</v>
      </c>
      <c r="L223" s="3177"/>
      <c r="M223" s="3177"/>
      <c r="N223" s="3177"/>
      <c r="O223" s="3177"/>
    </row>
    <row r="224" spans="1:15">
      <c r="A224" s="3157" t="s">
        <v>4193</v>
      </c>
      <c r="B224" s="3329">
        <v>75</v>
      </c>
      <c r="C224" s="3096" t="s">
        <v>3209</v>
      </c>
      <c r="D224" s="3097" t="s">
        <v>3630</v>
      </c>
      <c r="E224" s="3097" t="s">
        <v>3632</v>
      </c>
      <c r="F224" s="3097">
        <v>134.72</v>
      </c>
      <c r="G224" s="3097">
        <v>7694249.8899999997</v>
      </c>
      <c r="H224" s="3156">
        <v>57113</v>
      </c>
      <c r="I224" s="3155">
        <f t="shared" ca="1" si="140"/>
        <v>54321</v>
      </c>
      <c r="J224" s="3156">
        <f t="shared" ca="1" si="141"/>
        <v>732</v>
      </c>
      <c r="K224" s="3177">
        <f t="shared" ref="K224" ca="1" si="155">J224+J225</f>
        <v>873</v>
      </c>
      <c r="L224" s="3177"/>
      <c r="M224" s="3177"/>
      <c r="N224" s="3177"/>
      <c r="O224" s="3177"/>
    </row>
    <row r="225" spans="1:15" ht="24">
      <c r="A225" s="3157" t="s">
        <v>4193</v>
      </c>
      <c r="B225" s="3329"/>
      <c r="C225" s="3096" t="s">
        <v>4180</v>
      </c>
      <c r="D225" s="3097" t="s">
        <v>3630</v>
      </c>
      <c r="E225" s="3097" t="s">
        <v>3633</v>
      </c>
      <c r="F225" s="3097">
        <v>84.72</v>
      </c>
      <c r="G225" s="3097">
        <v>2528843.71</v>
      </c>
      <c r="H225" s="3156">
        <v>29849</v>
      </c>
      <c r="I225" s="3155">
        <f t="shared" ca="1" si="140"/>
        <v>16652</v>
      </c>
      <c r="J225" s="3156">
        <f t="shared" ca="1" si="141"/>
        <v>141</v>
      </c>
      <c r="K225" s="3177"/>
      <c r="L225" s="3177"/>
      <c r="M225" s="3177"/>
      <c r="N225" s="3177"/>
      <c r="O225" s="3177"/>
    </row>
    <row r="226" spans="1:15">
      <c r="A226" s="3157" t="s">
        <v>4193</v>
      </c>
      <c r="B226" s="3329"/>
      <c r="C226" s="3096" t="s">
        <v>4180</v>
      </c>
      <c r="D226" s="3097" t="s">
        <v>3630</v>
      </c>
      <c r="E226" s="3097" t="s">
        <v>3634</v>
      </c>
      <c r="F226" s="3097">
        <v>84.1</v>
      </c>
      <c r="G226" s="3097">
        <v>2522697.2400000002</v>
      </c>
      <c r="H226" s="3156">
        <v>29996</v>
      </c>
      <c r="I226" s="3155">
        <f t="shared" ca="1" si="140"/>
        <v>16652</v>
      </c>
      <c r="J226" s="3156">
        <f t="shared" ca="1" si="141"/>
        <v>140</v>
      </c>
      <c r="K226" s="3177">
        <f t="shared" ref="K226" ca="1" si="156">J226</f>
        <v>140</v>
      </c>
      <c r="L226" s="3177"/>
      <c r="M226" s="3177"/>
      <c r="N226" s="3177"/>
      <c r="O226" s="3177"/>
    </row>
    <row r="227" spans="1:15">
      <c r="A227" s="3157" t="s">
        <v>4193</v>
      </c>
      <c r="B227" s="3329">
        <v>76</v>
      </c>
      <c r="C227" s="3096" t="s">
        <v>3209</v>
      </c>
      <c r="D227" s="3097" t="s">
        <v>3630</v>
      </c>
      <c r="E227" s="3097" t="s">
        <v>3640</v>
      </c>
      <c r="F227" s="3097">
        <v>134.72</v>
      </c>
      <c r="G227" s="3097">
        <v>7694249.8899999997</v>
      </c>
      <c r="H227" s="3156">
        <v>57113</v>
      </c>
      <c r="I227" s="3155">
        <f t="shared" ca="1" si="140"/>
        <v>54321</v>
      </c>
      <c r="J227" s="3156">
        <f t="shared" ca="1" si="141"/>
        <v>732</v>
      </c>
      <c r="K227" s="3177">
        <f t="shared" ref="K227" ca="1" si="157">J227+J228</f>
        <v>873</v>
      </c>
      <c r="L227" s="3177"/>
      <c r="M227" s="3177"/>
      <c r="N227" s="3177"/>
      <c r="O227" s="3177"/>
    </row>
    <row r="228" spans="1:15" ht="24">
      <c r="A228" s="3157" t="s">
        <v>4193</v>
      </c>
      <c r="B228" s="3329"/>
      <c r="C228" s="3096" t="s">
        <v>4180</v>
      </c>
      <c r="D228" s="3097" t="s">
        <v>3630</v>
      </c>
      <c r="E228" s="3097" t="s">
        <v>3641</v>
      </c>
      <c r="F228" s="3097">
        <v>84.72</v>
      </c>
      <c r="G228" s="3097">
        <v>2528843.71</v>
      </c>
      <c r="H228" s="3156">
        <v>29849</v>
      </c>
      <c r="I228" s="3155">
        <f t="shared" ca="1" si="140"/>
        <v>16652</v>
      </c>
      <c r="J228" s="3156">
        <f t="shared" ca="1" si="141"/>
        <v>141</v>
      </c>
      <c r="K228" s="3177"/>
      <c r="L228" s="3177"/>
      <c r="M228" s="3177"/>
      <c r="N228" s="3177"/>
      <c r="O228" s="3177"/>
    </row>
    <row r="229" spans="1:15">
      <c r="A229" s="3157" t="s">
        <v>4193</v>
      </c>
      <c r="B229" s="3329"/>
      <c r="C229" s="3096" t="s">
        <v>4180</v>
      </c>
      <c r="D229" s="3097" t="s">
        <v>3630</v>
      </c>
      <c r="E229" s="3097" t="s">
        <v>3642</v>
      </c>
      <c r="F229" s="3097">
        <v>84.1</v>
      </c>
      <c r="G229" s="3097">
        <v>2522697.2400000002</v>
      </c>
      <c r="H229" s="3156">
        <v>29996</v>
      </c>
      <c r="I229" s="3155">
        <f t="shared" ca="1" si="140"/>
        <v>16652</v>
      </c>
      <c r="J229" s="3156">
        <f t="shared" ca="1" si="141"/>
        <v>140</v>
      </c>
      <c r="K229" s="3177">
        <f t="shared" ref="K229" ca="1" si="158">J229</f>
        <v>140</v>
      </c>
      <c r="L229" s="3177"/>
      <c r="M229" s="3177"/>
      <c r="N229" s="3177"/>
      <c r="O229" s="3177"/>
    </row>
    <row r="230" spans="1:15">
      <c r="A230" s="3157" t="s">
        <v>4193</v>
      </c>
      <c r="B230" s="3329">
        <v>77</v>
      </c>
      <c r="C230" s="3096" t="s">
        <v>3209</v>
      </c>
      <c r="D230" s="3097" t="s">
        <v>3647</v>
      </c>
      <c r="E230" s="3097" t="s">
        <v>3650</v>
      </c>
      <c r="F230" s="3097">
        <v>134.52000000000001</v>
      </c>
      <c r="G230" s="3097">
        <v>8501786.4100000001</v>
      </c>
      <c r="H230" s="3156">
        <v>63201</v>
      </c>
      <c r="I230" s="3155">
        <f t="shared" ca="1" si="140"/>
        <v>54321</v>
      </c>
      <c r="J230" s="3156">
        <f t="shared" ca="1" si="141"/>
        <v>731</v>
      </c>
      <c r="K230" s="3177">
        <f t="shared" ref="K230" ca="1" si="159">J230+J231</f>
        <v>872</v>
      </c>
      <c r="L230" s="3177"/>
      <c r="M230" s="3177"/>
      <c r="N230" s="3177"/>
      <c r="O230" s="3177"/>
    </row>
    <row r="231" spans="1:15" ht="24">
      <c r="A231" s="3157" t="s">
        <v>4193</v>
      </c>
      <c r="B231" s="3329"/>
      <c r="C231" s="3096" t="s">
        <v>4180</v>
      </c>
      <c r="D231" s="3097" t="s">
        <v>3647</v>
      </c>
      <c r="E231" s="3097" t="s">
        <v>3652</v>
      </c>
      <c r="F231" s="3097">
        <v>84.56</v>
      </c>
      <c r="G231" s="3097">
        <v>2524181.96</v>
      </c>
      <c r="H231" s="3156">
        <v>29851</v>
      </c>
      <c r="I231" s="3155">
        <f t="shared" ca="1" si="140"/>
        <v>16652</v>
      </c>
      <c r="J231" s="3156">
        <f t="shared" ca="1" si="141"/>
        <v>141</v>
      </c>
      <c r="K231" s="3177"/>
      <c r="L231" s="3177"/>
      <c r="M231" s="3177"/>
      <c r="N231" s="3177"/>
      <c r="O231" s="3177"/>
    </row>
    <row r="232" spans="1:15">
      <c r="A232" s="3157" t="s">
        <v>4193</v>
      </c>
      <c r="B232" s="3329"/>
      <c r="C232" s="3096" t="s">
        <v>4180</v>
      </c>
      <c r="D232" s="3097" t="s">
        <v>3647</v>
      </c>
      <c r="E232" s="3097" t="s">
        <v>3654</v>
      </c>
      <c r="F232" s="3097">
        <v>83.38</v>
      </c>
      <c r="G232" s="3097">
        <v>2500793.83</v>
      </c>
      <c r="H232" s="3156">
        <v>29993</v>
      </c>
      <c r="I232" s="3155">
        <f t="shared" ca="1" si="140"/>
        <v>16652</v>
      </c>
      <c r="J232" s="3156">
        <f t="shared" ca="1" si="141"/>
        <v>139</v>
      </c>
      <c r="K232" s="3177">
        <f t="shared" ref="K232" ca="1" si="160">J232</f>
        <v>139</v>
      </c>
      <c r="L232" s="3177"/>
      <c r="M232" s="3177"/>
      <c r="N232" s="3177"/>
      <c r="O232" s="3177"/>
    </row>
    <row r="233" spans="1:15">
      <c r="A233" s="3157" t="s">
        <v>4193</v>
      </c>
      <c r="B233" s="3329">
        <v>78</v>
      </c>
      <c r="C233" s="3096" t="s">
        <v>3209</v>
      </c>
      <c r="D233" s="3097" t="s">
        <v>3647</v>
      </c>
      <c r="E233" s="3097" t="s">
        <v>3660</v>
      </c>
      <c r="F233" s="3097">
        <v>134.66999999999999</v>
      </c>
      <c r="G233" s="3097">
        <v>7967726.3099999996</v>
      </c>
      <c r="H233" s="3156">
        <v>59165</v>
      </c>
      <c r="I233" s="3155">
        <f t="shared" ca="1" si="140"/>
        <v>54321</v>
      </c>
      <c r="J233" s="3156">
        <f t="shared" ca="1" si="141"/>
        <v>732</v>
      </c>
      <c r="K233" s="3177">
        <f t="shared" ref="K233" ca="1" si="161">J233+J234</f>
        <v>873</v>
      </c>
      <c r="L233" s="3177"/>
      <c r="M233" s="3177"/>
      <c r="N233" s="3177"/>
      <c r="O233" s="3177"/>
    </row>
    <row r="234" spans="1:15" ht="24">
      <c r="A234" s="3157" t="s">
        <v>4193</v>
      </c>
      <c r="B234" s="3329"/>
      <c r="C234" s="3096" t="s">
        <v>4180</v>
      </c>
      <c r="D234" s="3097" t="s">
        <v>3647</v>
      </c>
      <c r="E234" s="3097" t="s">
        <v>3661</v>
      </c>
      <c r="F234" s="3097">
        <v>84.7</v>
      </c>
      <c r="G234" s="3097">
        <v>2528228.09</v>
      </c>
      <c r="H234" s="3156">
        <v>29849</v>
      </c>
      <c r="I234" s="3155">
        <f t="shared" ca="1" si="140"/>
        <v>16652</v>
      </c>
      <c r="J234" s="3156">
        <f t="shared" ca="1" si="141"/>
        <v>141</v>
      </c>
      <c r="K234" s="3177"/>
      <c r="L234" s="3177"/>
      <c r="M234" s="3177"/>
      <c r="N234" s="3177"/>
      <c r="O234" s="3177"/>
    </row>
    <row r="235" spans="1:15">
      <c r="A235" s="3157" t="s">
        <v>4193</v>
      </c>
      <c r="B235" s="3329"/>
      <c r="C235" s="3096" t="s">
        <v>4180</v>
      </c>
      <c r="D235" s="3097" t="s">
        <v>3647</v>
      </c>
      <c r="E235" s="3097" t="s">
        <v>3662</v>
      </c>
      <c r="F235" s="3097">
        <v>84.1</v>
      </c>
      <c r="G235" s="3097">
        <v>2522398.69</v>
      </c>
      <c r="H235" s="3156">
        <v>29993</v>
      </c>
      <c r="I235" s="3155">
        <f t="shared" ca="1" si="140"/>
        <v>16652</v>
      </c>
      <c r="J235" s="3156">
        <f t="shared" ca="1" si="141"/>
        <v>140</v>
      </c>
      <c r="K235" s="3177">
        <f t="shared" ref="K235" ca="1" si="162">J235</f>
        <v>140</v>
      </c>
      <c r="L235" s="3177"/>
      <c r="M235" s="3177"/>
      <c r="N235" s="3177"/>
      <c r="O235" s="3177"/>
    </row>
    <row r="236" spans="1:15">
      <c r="A236" s="3157" t="s">
        <v>4193</v>
      </c>
      <c r="B236" s="3329">
        <v>79</v>
      </c>
      <c r="C236" s="3096" t="s">
        <v>3209</v>
      </c>
      <c r="D236" s="3097" t="s">
        <v>4018</v>
      </c>
      <c r="E236" s="3097" t="s">
        <v>4020</v>
      </c>
      <c r="F236" s="3097">
        <v>134.81</v>
      </c>
      <c r="G236" s="3097">
        <v>8518897.3399999999</v>
      </c>
      <c r="H236" s="3156">
        <v>63192</v>
      </c>
      <c r="I236" s="3155">
        <f t="shared" ca="1" si="140"/>
        <v>54321</v>
      </c>
      <c r="J236" s="3156">
        <f t="shared" ca="1" si="141"/>
        <v>732</v>
      </c>
      <c r="K236" s="3177">
        <f t="shared" ref="K236" ca="1" si="163">J236+J237</f>
        <v>873</v>
      </c>
      <c r="L236" s="3177"/>
      <c r="M236" s="3177"/>
      <c r="N236" s="3177"/>
      <c r="O236" s="3177"/>
    </row>
    <row r="237" spans="1:15" ht="24">
      <c r="A237" s="3157" t="s">
        <v>4193</v>
      </c>
      <c r="B237" s="3329"/>
      <c r="C237" s="3096" t="s">
        <v>4180</v>
      </c>
      <c r="D237" s="3097" t="s">
        <v>4018</v>
      </c>
      <c r="E237" s="3097" t="s">
        <v>4021</v>
      </c>
      <c r="F237" s="3097">
        <v>84.72</v>
      </c>
      <c r="G237" s="3097">
        <v>2528852.1800000002</v>
      </c>
      <c r="H237" s="3156">
        <v>29850</v>
      </c>
      <c r="I237" s="3155">
        <f t="shared" ca="1" si="140"/>
        <v>16652</v>
      </c>
      <c r="J237" s="3156">
        <f t="shared" ca="1" si="141"/>
        <v>141</v>
      </c>
      <c r="K237" s="3177"/>
      <c r="L237" s="3177"/>
      <c r="M237" s="3177"/>
      <c r="N237" s="3177"/>
      <c r="O237" s="3177"/>
    </row>
    <row r="238" spans="1:15">
      <c r="A238" s="3157" t="s">
        <v>4193</v>
      </c>
      <c r="B238" s="3329"/>
      <c r="C238" s="3096" t="s">
        <v>4180</v>
      </c>
      <c r="D238" s="3097" t="s">
        <v>4018</v>
      </c>
      <c r="E238" s="3097" t="s">
        <v>4022</v>
      </c>
      <c r="F238" s="3097">
        <v>83.47</v>
      </c>
      <c r="G238" s="3097">
        <v>2503497.35</v>
      </c>
      <c r="H238" s="3156">
        <v>29993</v>
      </c>
      <c r="I238" s="3155">
        <f t="shared" ca="1" si="140"/>
        <v>16652</v>
      </c>
      <c r="J238" s="3156">
        <f t="shared" ca="1" si="141"/>
        <v>139</v>
      </c>
      <c r="K238" s="3177">
        <f t="shared" ref="K238" ca="1" si="164">J238</f>
        <v>139</v>
      </c>
      <c r="L238" s="3177"/>
      <c r="M238" s="3177"/>
      <c r="N238" s="3177"/>
      <c r="O238" s="3177"/>
    </row>
    <row r="239" spans="1:15">
      <c r="A239" s="3157" t="s">
        <v>4193</v>
      </c>
      <c r="B239" s="3329">
        <v>80</v>
      </c>
      <c r="C239" s="3096" t="s">
        <v>3209</v>
      </c>
      <c r="D239" s="3097" t="s">
        <v>4018</v>
      </c>
      <c r="E239" s="3097" t="s">
        <v>4028</v>
      </c>
      <c r="F239" s="3097">
        <v>134.96</v>
      </c>
      <c r="G239" s="3097">
        <v>7587755.4699999997</v>
      </c>
      <c r="H239" s="3156">
        <v>56222</v>
      </c>
      <c r="I239" s="3155">
        <f t="shared" ca="1" si="140"/>
        <v>54321</v>
      </c>
      <c r="J239" s="3156">
        <f t="shared" ca="1" si="141"/>
        <v>733</v>
      </c>
      <c r="K239" s="3177">
        <f t="shared" ref="K239" ca="1" si="165">J239+J240</f>
        <v>874</v>
      </c>
      <c r="L239" s="3177"/>
      <c r="M239" s="3177"/>
      <c r="N239" s="3177"/>
      <c r="O239" s="3177"/>
    </row>
    <row r="240" spans="1:15" ht="24">
      <c r="A240" s="3157" t="s">
        <v>4193</v>
      </c>
      <c r="B240" s="3329"/>
      <c r="C240" s="3096" t="s">
        <v>4180</v>
      </c>
      <c r="D240" s="3097" t="s">
        <v>4018</v>
      </c>
      <c r="E240" s="3097" t="s">
        <v>4029</v>
      </c>
      <c r="F240" s="3097">
        <v>84.86</v>
      </c>
      <c r="G240" s="3097">
        <v>2533029.42</v>
      </c>
      <c r="H240" s="3156">
        <v>29850</v>
      </c>
      <c r="I240" s="3155">
        <f t="shared" ca="1" si="140"/>
        <v>16652</v>
      </c>
      <c r="J240" s="3156">
        <f t="shared" ca="1" si="141"/>
        <v>141</v>
      </c>
      <c r="K240" s="3177"/>
      <c r="L240" s="3177"/>
      <c r="M240" s="3177"/>
      <c r="N240" s="3177"/>
      <c r="O240" s="3177"/>
    </row>
    <row r="241" spans="1:15">
      <c r="A241" s="3157" t="s">
        <v>4193</v>
      </c>
      <c r="B241" s="3329"/>
      <c r="C241" s="3096" t="s">
        <v>4180</v>
      </c>
      <c r="D241" s="3097" t="s">
        <v>4018</v>
      </c>
      <c r="E241" s="3097" t="s">
        <v>4030</v>
      </c>
      <c r="F241" s="3097">
        <v>84.19</v>
      </c>
      <c r="G241" s="3097">
        <v>2525106.46</v>
      </c>
      <c r="H241" s="3156">
        <v>29993</v>
      </c>
      <c r="I241" s="3155">
        <f t="shared" ca="1" si="140"/>
        <v>16652</v>
      </c>
      <c r="J241" s="3156">
        <f t="shared" ca="1" si="141"/>
        <v>140</v>
      </c>
      <c r="K241" s="3177">
        <f t="shared" ref="K241" ca="1" si="166">J241</f>
        <v>140</v>
      </c>
      <c r="L241" s="3177"/>
      <c r="M241" s="3177"/>
      <c r="N241" s="3177"/>
      <c r="O241" s="3177"/>
    </row>
    <row r="242" spans="1:15">
      <c r="A242" s="3157" t="s">
        <v>4193</v>
      </c>
      <c r="B242" s="3329">
        <v>81</v>
      </c>
      <c r="C242" s="3096" t="s">
        <v>3209</v>
      </c>
      <c r="D242" s="3097" t="s">
        <v>4018</v>
      </c>
      <c r="E242" s="3097" t="s">
        <v>4036</v>
      </c>
      <c r="F242" s="3097">
        <v>135.15</v>
      </c>
      <c r="G242" s="3097">
        <v>7717508.29</v>
      </c>
      <c r="H242" s="3156">
        <v>57103</v>
      </c>
      <c r="I242" s="3155">
        <f t="shared" ca="1" si="140"/>
        <v>54321</v>
      </c>
      <c r="J242" s="3156">
        <f t="shared" ca="1" si="141"/>
        <v>734</v>
      </c>
      <c r="K242" s="3177">
        <f t="shared" ref="K242" ca="1" si="167">J242+J243</f>
        <v>876</v>
      </c>
      <c r="L242" s="3177"/>
      <c r="M242" s="3177"/>
      <c r="N242" s="3177"/>
      <c r="O242" s="3177"/>
    </row>
    <row r="243" spans="1:15" ht="24">
      <c r="A243" s="3157" t="s">
        <v>4193</v>
      </c>
      <c r="B243" s="3329"/>
      <c r="C243" s="3096" t="s">
        <v>4180</v>
      </c>
      <c r="D243" s="3097" t="s">
        <v>4018</v>
      </c>
      <c r="E243" s="3097" t="s">
        <v>4037</v>
      </c>
      <c r="F243" s="3097">
        <v>85.14</v>
      </c>
      <c r="G243" s="3097">
        <v>2541445.1800000002</v>
      </c>
      <c r="H243" s="3156">
        <v>29850</v>
      </c>
      <c r="I243" s="3155">
        <f t="shared" ca="1" si="140"/>
        <v>16652</v>
      </c>
      <c r="J243" s="3156">
        <f t="shared" ca="1" si="141"/>
        <v>142</v>
      </c>
      <c r="K243" s="3177"/>
      <c r="L243" s="3177"/>
      <c r="M243" s="3177"/>
      <c r="N243" s="3177"/>
      <c r="O243" s="3177"/>
    </row>
    <row r="244" spans="1:15">
      <c r="A244" s="3157" t="s">
        <v>4193</v>
      </c>
      <c r="B244" s="3329"/>
      <c r="C244" s="3096" t="s">
        <v>4180</v>
      </c>
      <c r="D244" s="3097" t="s">
        <v>4018</v>
      </c>
      <c r="E244" s="3097" t="s">
        <v>4038</v>
      </c>
      <c r="F244" s="3097">
        <v>84.19</v>
      </c>
      <c r="G244" s="3097">
        <v>2525106.46</v>
      </c>
      <c r="H244" s="3156">
        <v>29993</v>
      </c>
      <c r="I244" s="3155">
        <f t="shared" ca="1" si="140"/>
        <v>16652</v>
      </c>
      <c r="J244" s="3156">
        <f t="shared" ca="1" si="141"/>
        <v>140</v>
      </c>
      <c r="K244" s="3177">
        <f t="shared" ref="K244" ca="1" si="168">J244</f>
        <v>140</v>
      </c>
      <c r="L244" s="3177"/>
      <c r="M244" s="3177"/>
      <c r="N244" s="3177"/>
      <c r="O244" s="3177"/>
    </row>
    <row r="245" spans="1:15">
      <c r="A245" s="3157" t="s">
        <v>4193</v>
      </c>
      <c r="B245" s="3329">
        <v>82</v>
      </c>
      <c r="C245" s="3096" t="s">
        <v>3209</v>
      </c>
      <c r="D245" s="3097" t="s">
        <v>4018</v>
      </c>
      <c r="E245" s="3097" t="s">
        <v>4044</v>
      </c>
      <c r="F245" s="3097">
        <v>134.96</v>
      </c>
      <c r="G245" s="3097">
        <v>7785473.96</v>
      </c>
      <c r="H245" s="3156">
        <v>57687</v>
      </c>
      <c r="I245" s="3155">
        <f t="shared" ca="1" si="140"/>
        <v>54321</v>
      </c>
      <c r="J245" s="3156">
        <f t="shared" ca="1" si="141"/>
        <v>733</v>
      </c>
      <c r="K245" s="3177">
        <f t="shared" ref="K245" ca="1" si="169">J245+J246</f>
        <v>874</v>
      </c>
      <c r="L245" s="3177"/>
      <c r="M245" s="3177"/>
      <c r="N245" s="3177"/>
      <c r="O245" s="3177"/>
    </row>
    <row r="246" spans="1:15" ht="24">
      <c r="A246" s="3157" t="s">
        <v>4193</v>
      </c>
      <c r="B246" s="3329"/>
      <c r="C246" s="3096" t="s">
        <v>4180</v>
      </c>
      <c r="D246" s="3097" t="s">
        <v>4018</v>
      </c>
      <c r="E246" s="3097" t="s">
        <v>4045</v>
      </c>
      <c r="F246" s="3097">
        <v>84.86</v>
      </c>
      <c r="G246" s="3097">
        <v>2533029.42</v>
      </c>
      <c r="H246" s="3156">
        <v>29850</v>
      </c>
      <c r="I246" s="3155">
        <f t="shared" ca="1" si="140"/>
        <v>16652</v>
      </c>
      <c r="J246" s="3156">
        <f t="shared" ca="1" si="141"/>
        <v>141</v>
      </c>
      <c r="K246" s="3177"/>
      <c r="L246" s="3177"/>
      <c r="M246" s="3177"/>
      <c r="N246" s="3177"/>
      <c r="O246" s="3177"/>
    </row>
    <row r="247" spans="1:15">
      <c r="A247" s="3157" t="s">
        <v>4193</v>
      </c>
      <c r="B247" s="3329"/>
      <c r="C247" s="3096" t="s">
        <v>4180</v>
      </c>
      <c r="D247" s="3097" t="s">
        <v>4018</v>
      </c>
      <c r="E247" s="3097" t="s">
        <v>4046</v>
      </c>
      <c r="F247" s="3097">
        <v>84.19</v>
      </c>
      <c r="G247" s="3097">
        <v>2525106.46</v>
      </c>
      <c r="H247" s="3156">
        <v>29993</v>
      </c>
      <c r="I247" s="3155">
        <f t="shared" ca="1" si="140"/>
        <v>16652</v>
      </c>
      <c r="J247" s="3156">
        <f t="shared" ca="1" si="141"/>
        <v>140</v>
      </c>
      <c r="K247" s="3177">
        <f t="shared" ref="K247" ca="1" si="170">J247</f>
        <v>140</v>
      </c>
      <c r="L247" s="3177"/>
      <c r="M247" s="3177"/>
      <c r="N247" s="3177"/>
      <c r="O247" s="3177"/>
    </row>
    <row r="248" spans="1:15">
      <c r="A248" s="3157" t="s">
        <v>4193</v>
      </c>
      <c r="B248" s="3329">
        <v>83</v>
      </c>
      <c r="C248" s="3096" t="s">
        <v>3209</v>
      </c>
      <c r="D248" s="3097" t="s">
        <v>4018</v>
      </c>
      <c r="E248" s="3097" t="s">
        <v>4052</v>
      </c>
      <c r="F248" s="3097">
        <v>135.15</v>
      </c>
      <c r="G248" s="3097">
        <v>7915507.0999999996</v>
      </c>
      <c r="H248" s="3156">
        <v>58568</v>
      </c>
      <c r="I248" s="3155">
        <f t="shared" ca="1" si="140"/>
        <v>54321</v>
      </c>
      <c r="J248" s="3156">
        <f t="shared" ca="1" si="141"/>
        <v>734</v>
      </c>
      <c r="K248" s="3177">
        <f t="shared" ref="K248" ca="1" si="171">J248+J249</f>
        <v>876</v>
      </c>
      <c r="L248" s="3177"/>
      <c r="M248" s="3177"/>
      <c r="N248" s="3177"/>
      <c r="O248" s="3177"/>
    </row>
    <row r="249" spans="1:15" ht="24">
      <c r="A249" s="3157" t="s">
        <v>4193</v>
      </c>
      <c r="B249" s="3329"/>
      <c r="C249" s="3096" t="s">
        <v>4180</v>
      </c>
      <c r="D249" s="3097" t="s">
        <v>4018</v>
      </c>
      <c r="E249" s="3097" t="s">
        <v>4053</v>
      </c>
      <c r="F249" s="3097">
        <v>85.14</v>
      </c>
      <c r="G249" s="3097">
        <v>2541445.1800000002</v>
      </c>
      <c r="H249" s="3156">
        <v>29850</v>
      </c>
      <c r="I249" s="3155">
        <f t="shared" ca="1" si="140"/>
        <v>16652</v>
      </c>
      <c r="J249" s="3156">
        <f t="shared" ca="1" si="141"/>
        <v>142</v>
      </c>
      <c r="K249" s="3177"/>
      <c r="L249" s="3177"/>
      <c r="M249" s="3177"/>
      <c r="N249" s="3177"/>
      <c r="O249" s="3177"/>
    </row>
    <row r="250" spans="1:15">
      <c r="A250" s="3157" t="s">
        <v>4193</v>
      </c>
      <c r="B250" s="3329"/>
      <c r="C250" s="3096" t="s">
        <v>4180</v>
      </c>
      <c r="D250" s="3097" t="s">
        <v>4018</v>
      </c>
      <c r="E250" s="3097" t="s">
        <v>4054</v>
      </c>
      <c r="F250" s="3097">
        <v>84.19</v>
      </c>
      <c r="G250" s="3097">
        <v>2525106.46</v>
      </c>
      <c r="H250" s="3156">
        <v>29993</v>
      </c>
      <c r="I250" s="3155">
        <f t="shared" ca="1" si="140"/>
        <v>16652</v>
      </c>
      <c r="J250" s="3156">
        <f t="shared" ca="1" si="141"/>
        <v>140</v>
      </c>
      <c r="K250" s="3177">
        <f t="shared" ref="K250" ca="1" si="172">J250</f>
        <v>140</v>
      </c>
      <c r="L250" s="3177"/>
      <c r="M250" s="3177"/>
      <c r="N250" s="3177"/>
      <c r="O250" s="3177"/>
    </row>
    <row r="251" spans="1:15">
      <c r="A251" s="3157" t="s">
        <v>4193</v>
      </c>
      <c r="B251" s="3329">
        <v>84</v>
      </c>
      <c r="C251" s="3096" t="s">
        <v>3209</v>
      </c>
      <c r="D251" s="3097" t="s">
        <v>4059</v>
      </c>
      <c r="E251" s="3097" t="s">
        <v>4061</v>
      </c>
      <c r="F251" s="3097">
        <v>134.96</v>
      </c>
      <c r="G251" s="3097">
        <v>7587756.21</v>
      </c>
      <c r="H251" s="3156">
        <v>56222</v>
      </c>
      <c r="I251" s="3155">
        <f t="shared" ca="1" si="140"/>
        <v>54321</v>
      </c>
      <c r="J251" s="3156">
        <f t="shared" ca="1" si="141"/>
        <v>733</v>
      </c>
      <c r="K251" s="3177">
        <f t="shared" ref="K251" ca="1" si="173">J251+J252</f>
        <v>874</v>
      </c>
      <c r="L251" s="3177"/>
      <c r="M251" s="3177"/>
      <c r="N251" s="3177"/>
      <c r="O251" s="3177"/>
    </row>
    <row r="252" spans="1:15" ht="24">
      <c r="A252" s="3157" t="s">
        <v>4193</v>
      </c>
      <c r="B252" s="3329"/>
      <c r="C252" s="3096" t="s">
        <v>4180</v>
      </c>
      <c r="D252" s="3097" t="s">
        <v>4059</v>
      </c>
      <c r="E252" s="3097" t="s">
        <v>4062</v>
      </c>
      <c r="F252" s="3097">
        <v>84.86</v>
      </c>
      <c r="G252" s="3097">
        <v>2533029.42</v>
      </c>
      <c r="H252" s="3156">
        <v>29850</v>
      </c>
      <c r="I252" s="3155">
        <f t="shared" ca="1" si="140"/>
        <v>16652</v>
      </c>
      <c r="J252" s="3156">
        <f t="shared" ca="1" si="141"/>
        <v>141</v>
      </c>
      <c r="K252" s="3177"/>
      <c r="L252" s="3177"/>
      <c r="M252" s="3177"/>
      <c r="N252" s="3177"/>
      <c r="O252" s="3177"/>
    </row>
    <row r="253" spans="1:15">
      <c r="A253" s="3157" t="s">
        <v>4193</v>
      </c>
      <c r="B253" s="3329"/>
      <c r="C253" s="3096" t="s">
        <v>4180</v>
      </c>
      <c r="D253" s="3097" t="s">
        <v>4059</v>
      </c>
      <c r="E253" s="3097" t="s">
        <v>4063</v>
      </c>
      <c r="F253" s="3097">
        <v>84.19</v>
      </c>
      <c r="G253" s="3097">
        <v>2525106.46</v>
      </c>
      <c r="H253" s="3156">
        <v>29993</v>
      </c>
      <c r="I253" s="3155">
        <f t="shared" ca="1" si="140"/>
        <v>16652</v>
      </c>
      <c r="J253" s="3156">
        <f t="shared" ca="1" si="141"/>
        <v>140</v>
      </c>
      <c r="K253" s="3177">
        <f t="shared" ref="K253" ca="1" si="174">J253</f>
        <v>140</v>
      </c>
      <c r="L253" s="3177"/>
      <c r="M253" s="3177"/>
      <c r="N253" s="3177"/>
      <c r="O253" s="3177"/>
    </row>
    <row r="254" spans="1:15">
      <c r="A254" s="3157" t="s">
        <v>4193</v>
      </c>
      <c r="B254" s="3329">
        <v>85</v>
      </c>
      <c r="C254" s="3096" t="s">
        <v>3209</v>
      </c>
      <c r="D254" s="3097" t="s">
        <v>4059</v>
      </c>
      <c r="E254" s="3097" t="s">
        <v>4069</v>
      </c>
      <c r="F254" s="3097">
        <v>135.15</v>
      </c>
      <c r="G254" s="3097">
        <v>7717508.29</v>
      </c>
      <c r="H254" s="3156">
        <v>57103</v>
      </c>
      <c r="I254" s="3155">
        <f t="shared" ca="1" si="140"/>
        <v>54321</v>
      </c>
      <c r="J254" s="3156">
        <f t="shared" ca="1" si="141"/>
        <v>734</v>
      </c>
      <c r="K254" s="3177">
        <f t="shared" ref="K254" ca="1" si="175">J254+J255</f>
        <v>876</v>
      </c>
      <c r="L254" s="3177"/>
      <c r="M254" s="3177"/>
      <c r="N254" s="3177"/>
      <c r="O254" s="3177"/>
    </row>
    <row r="255" spans="1:15" ht="24">
      <c r="A255" s="3157" t="s">
        <v>4193</v>
      </c>
      <c r="B255" s="3329"/>
      <c r="C255" s="3096" t="s">
        <v>4180</v>
      </c>
      <c r="D255" s="3097" t="s">
        <v>4059</v>
      </c>
      <c r="E255" s="3097" t="s">
        <v>4070</v>
      </c>
      <c r="F255" s="3097">
        <v>85.14</v>
      </c>
      <c r="G255" s="3097">
        <v>2541445.1800000002</v>
      </c>
      <c r="H255" s="3156">
        <v>29850</v>
      </c>
      <c r="I255" s="3155">
        <f t="shared" ca="1" si="140"/>
        <v>16652</v>
      </c>
      <c r="J255" s="3156">
        <f t="shared" ca="1" si="141"/>
        <v>142</v>
      </c>
      <c r="K255" s="3177"/>
      <c r="L255" s="3177"/>
      <c r="M255" s="3177"/>
      <c r="N255" s="3177"/>
      <c r="O255" s="3177"/>
    </row>
    <row r="256" spans="1:15">
      <c r="A256" s="3157" t="s">
        <v>4193</v>
      </c>
      <c r="B256" s="3329"/>
      <c r="C256" s="3096" t="s">
        <v>4180</v>
      </c>
      <c r="D256" s="3097" t="s">
        <v>4059</v>
      </c>
      <c r="E256" s="3097" t="s">
        <v>4071</v>
      </c>
      <c r="F256" s="3097">
        <v>84.19</v>
      </c>
      <c r="G256" s="3097">
        <v>2525106.46</v>
      </c>
      <c r="H256" s="3156">
        <v>29993</v>
      </c>
      <c r="I256" s="3155">
        <f t="shared" ca="1" si="140"/>
        <v>16652</v>
      </c>
      <c r="J256" s="3156">
        <f t="shared" ca="1" si="141"/>
        <v>140</v>
      </c>
      <c r="K256" s="3177">
        <f t="shared" ref="K256" ca="1" si="176">J256</f>
        <v>140</v>
      </c>
      <c r="L256" s="3177"/>
      <c r="M256" s="3177"/>
      <c r="N256" s="3177"/>
      <c r="O256" s="3177"/>
    </row>
    <row r="257" spans="1:15">
      <c r="A257" s="3157" t="s">
        <v>4193</v>
      </c>
      <c r="B257" s="3329">
        <v>86</v>
      </c>
      <c r="C257" s="3096" t="s">
        <v>3209</v>
      </c>
      <c r="D257" s="3097" t="s">
        <v>4059</v>
      </c>
      <c r="E257" s="3097" t="s">
        <v>4077</v>
      </c>
      <c r="F257" s="3097">
        <v>134.81</v>
      </c>
      <c r="G257" s="3097">
        <v>8518897.3399999999</v>
      </c>
      <c r="H257" s="3156">
        <v>63192</v>
      </c>
      <c r="I257" s="3155">
        <f t="shared" ca="1" si="140"/>
        <v>54321</v>
      </c>
      <c r="J257" s="3156">
        <f t="shared" ca="1" si="141"/>
        <v>732</v>
      </c>
      <c r="K257" s="3177">
        <f t="shared" ref="K257" ca="1" si="177">J257+J258</f>
        <v>873</v>
      </c>
      <c r="L257" s="3177"/>
      <c r="M257" s="3177"/>
      <c r="N257" s="3177"/>
      <c r="O257" s="3177"/>
    </row>
    <row r="258" spans="1:15" ht="24">
      <c r="A258" s="3157" t="s">
        <v>4193</v>
      </c>
      <c r="B258" s="3329"/>
      <c r="C258" s="3096" t="s">
        <v>4180</v>
      </c>
      <c r="D258" s="3097" t="s">
        <v>4059</v>
      </c>
      <c r="E258" s="3097" t="s">
        <v>4078</v>
      </c>
      <c r="F258" s="3097">
        <v>84.72</v>
      </c>
      <c r="G258" s="3097">
        <v>2528852.1800000002</v>
      </c>
      <c r="H258" s="3156">
        <v>29850</v>
      </c>
      <c r="I258" s="3155">
        <f t="shared" ca="1" si="140"/>
        <v>16652</v>
      </c>
      <c r="J258" s="3156">
        <f t="shared" ca="1" si="141"/>
        <v>141</v>
      </c>
      <c r="K258" s="3177"/>
      <c r="L258" s="3177"/>
      <c r="M258" s="3177"/>
      <c r="N258" s="3177"/>
      <c r="O258" s="3177"/>
    </row>
    <row r="259" spans="1:15">
      <c r="A259" s="3157" t="s">
        <v>4193</v>
      </c>
      <c r="B259" s="3329"/>
      <c r="C259" s="3096" t="s">
        <v>4180</v>
      </c>
      <c r="D259" s="3097" t="s">
        <v>4059</v>
      </c>
      <c r="E259" s="3097" t="s">
        <v>4079</v>
      </c>
      <c r="F259" s="3097">
        <v>83.47</v>
      </c>
      <c r="G259" s="3097">
        <v>2503497.35</v>
      </c>
      <c r="H259" s="3156">
        <v>29993</v>
      </c>
      <c r="I259" s="3155">
        <f t="shared" ca="1" si="140"/>
        <v>16652</v>
      </c>
      <c r="J259" s="3156">
        <f t="shared" ca="1" si="141"/>
        <v>139</v>
      </c>
      <c r="K259" s="3177">
        <f t="shared" ref="K259" ca="1" si="178">J259</f>
        <v>139</v>
      </c>
      <c r="L259" s="3177"/>
      <c r="M259" s="3177"/>
      <c r="N259" s="3177"/>
      <c r="O259" s="3177"/>
    </row>
    <row r="260" spans="1:15">
      <c r="A260" s="3157" t="s">
        <v>4193</v>
      </c>
      <c r="B260" s="3329">
        <v>87</v>
      </c>
      <c r="C260" s="3096" t="s">
        <v>3209</v>
      </c>
      <c r="D260" s="3097" t="s">
        <v>4059</v>
      </c>
      <c r="E260" s="3097" t="s">
        <v>4085</v>
      </c>
      <c r="F260" s="3097">
        <v>134.96</v>
      </c>
      <c r="G260" s="3097">
        <v>7785473.96</v>
      </c>
      <c r="H260" s="3156">
        <v>57687</v>
      </c>
      <c r="I260" s="3155">
        <f t="shared" ca="1" si="140"/>
        <v>54321</v>
      </c>
      <c r="J260" s="3156">
        <f t="shared" ca="1" si="141"/>
        <v>733</v>
      </c>
      <c r="K260" s="3177">
        <f t="shared" ref="K260" ca="1" si="179">J260+J261</f>
        <v>874</v>
      </c>
      <c r="L260" s="3177"/>
      <c r="M260" s="3177"/>
      <c r="N260" s="3177"/>
      <c r="O260" s="3177"/>
    </row>
    <row r="261" spans="1:15" ht="24">
      <c r="A261" s="3157" t="s">
        <v>4193</v>
      </c>
      <c r="B261" s="3329"/>
      <c r="C261" s="3096" t="s">
        <v>4180</v>
      </c>
      <c r="D261" s="3097" t="s">
        <v>4059</v>
      </c>
      <c r="E261" s="3097" t="s">
        <v>4086</v>
      </c>
      <c r="F261" s="3097">
        <v>84.86</v>
      </c>
      <c r="G261" s="3097">
        <v>2533029.42</v>
      </c>
      <c r="H261" s="3156">
        <v>29850</v>
      </c>
      <c r="I261" s="3155">
        <f t="shared" ca="1" si="140"/>
        <v>16652</v>
      </c>
      <c r="J261" s="3156">
        <f t="shared" ca="1" si="141"/>
        <v>141</v>
      </c>
      <c r="K261" s="3177"/>
      <c r="L261" s="3177"/>
      <c r="M261" s="3177"/>
      <c r="N261" s="3177"/>
      <c r="O261" s="3177"/>
    </row>
    <row r="262" spans="1:15">
      <c r="A262" s="3157" t="s">
        <v>4193</v>
      </c>
      <c r="B262" s="3329"/>
      <c r="C262" s="3096" t="s">
        <v>4180</v>
      </c>
      <c r="D262" s="3097" t="s">
        <v>4059</v>
      </c>
      <c r="E262" s="3097" t="s">
        <v>4087</v>
      </c>
      <c r="F262" s="3097">
        <v>84.19</v>
      </c>
      <c r="G262" s="3097">
        <v>2525106.46</v>
      </c>
      <c r="H262" s="3156">
        <v>29993</v>
      </c>
      <c r="I262" s="3155">
        <f t="shared" ca="1" si="140"/>
        <v>16652</v>
      </c>
      <c r="J262" s="3156">
        <f t="shared" ca="1" si="141"/>
        <v>140</v>
      </c>
      <c r="K262" s="3177">
        <f t="shared" ref="K262" ca="1" si="180">J262</f>
        <v>140</v>
      </c>
      <c r="L262" s="3177"/>
      <c r="M262" s="3177"/>
      <c r="N262" s="3177"/>
      <c r="O262" s="3177"/>
    </row>
    <row r="263" spans="1:15">
      <c r="A263" s="3157" t="s">
        <v>4193</v>
      </c>
      <c r="B263" s="3329">
        <v>88</v>
      </c>
      <c r="C263" s="3096" t="s">
        <v>3209</v>
      </c>
      <c r="D263" s="3097" t="s">
        <v>4059</v>
      </c>
      <c r="E263" s="3097" t="s">
        <v>4093</v>
      </c>
      <c r="F263" s="3097">
        <v>135.15</v>
      </c>
      <c r="G263" s="3097">
        <v>7940992.3300000001</v>
      </c>
      <c r="H263" s="3156">
        <v>58757</v>
      </c>
      <c r="I263" s="3155">
        <f t="shared" ca="1" si="140"/>
        <v>54321</v>
      </c>
      <c r="J263" s="3156">
        <f t="shared" ca="1" si="141"/>
        <v>734</v>
      </c>
      <c r="K263" s="3177">
        <f t="shared" ref="K263" ca="1" si="181">J263+J264</f>
        <v>876</v>
      </c>
      <c r="L263" s="3177"/>
      <c r="M263" s="3177"/>
      <c r="N263" s="3177"/>
      <c r="O263" s="3177"/>
    </row>
    <row r="264" spans="1:15" ht="24">
      <c r="A264" s="3157" t="s">
        <v>4193</v>
      </c>
      <c r="B264" s="3329"/>
      <c r="C264" s="3096" t="s">
        <v>4180</v>
      </c>
      <c r="D264" s="3097" t="s">
        <v>4059</v>
      </c>
      <c r="E264" s="3097" t="s">
        <v>4094</v>
      </c>
      <c r="F264" s="3097">
        <v>85.14</v>
      </c>
      <c r="G264" s="3097">
        <v>2541445.1800000002</v>
      </c>
      <c r="H264" s="3156">
        <v>29850</v>
      </c>
      <c r="I264" s="3155">
        <f t="shared" ca="1" si="140"/>
        <v>16652</v>
      </c>
      <c r="J264" s="3156">
        <f t="shared" ca="1" si="141"/>
        <v>142</v>
      </c>
      <c r="K264" s="3177"/>
      <c r="L264" s="3177"/>
      <c r="M264" s="3177"/>
      <c r="N264" s="3177"/>
      <c r="O264" s="3177"/>
    </row>
    <row r="265" spans="1:15">
      <c r="A265" s="3157" t="s">
        <v>4193</v>
      </c>
      <c r="B265" s="3329"/>
      <c r="C265" s="3096" t="s">
        <v>4180</v>
      </c>
      <c r="D265" s="3097" t="s">
        <v>4059</v>
      </c>
      <c r="E265" s="3097" t="s">
        <v>4095</v>
      </c>
      <c r="F265" s="3097">
        <v>84.19</v>
      </c>
      <c r="G265" s="3097">
        <v>2525106.46</v>
      </c>
      <c r="H265" s="3156">
        <v>29993</v>
      </c>
      <c r="I265" s="3155">
        <f t="shared" ca="1" si="140"/>
        <v>16652</v>
      </c>
      <c r="J265" s="3156">
        <f t="shared" ca="1" si="141"/>
        <v>140</v>
      </c>
      <c r="K265" s="3177">
        <f t="shared" ref="K265" ca="1" si="182">J265</f>
        <v>140</v>
      </c>
      <c r="L265" s="3177"/>
      <c r="M265" s="3177"/>
      <c r="N265" s="3177"/>
      <c r="O265" s="3177"/>
    </row>
    <row r="266" spans="1:15">
      <c r="A266" s="3157" t="s">
        <v>4193</v>
      </c>
      <c r="B266" s="3329">
        <v>89</v>
      </c>
      <c r="C266" s="3096" t="s">
        <v>3209</v>
      </c>
      <c r="D266" s="3097" t="s">
        <v>4100</v>
      </c>
      <c r="E266" s="3097" t="s">
        <v>4102</v>
      </c>
      <c r="F266" s="3097">
        <v>135.36000000000001</v>
      </c>
      <c r="G266" s="3097">
        <v>8541090.1199999992</v>
      </c>
      <c r="H266" s="3156">
        <v>63099</v>
      </c>
      <c r="I266" s="3155">
        <f t="shared" ca="1" si="140"/>
        <v>54321</v>
      </c>
      <c r="J266" s="3156">
        <f t="shared" ca="1" si="141"/>
        <v>735</v>
      </c>
      <c r="K266" s="3177">
        <f t="shared" ref="K266" ca="1" si="183">J266+J267</f>
        <v>877</v>
      </c>
      <c r="L266" s="3177"/>
      <c r="M266" s="3177"/>
      <c r="N266" s="3177"/>
      <c r="O266" s="3177"/>
    </row>
    <row r="267" spans="1:15" ht="24">
      <c r="A267" s="3157" t="s">
        <v>4193</v>
      </c>
      <c r="B267" s="3329"/>
      <c r="C267" s="3096" t="s">
        <v>4180</v>
      </c>
      <c r="D267" s="3097" t="s">
        <v>4100</v>
      </c>
      <c r="E267" s="3097" t="s">
        <v>4103</v>
      </c>
      <c r="F267" s="3097">
        <v>85.07</v>
      </c>
      <c r="G267" s="3097">
        <v>2535734.23</v>
      </c>
      <c r="H267" s="3156">
        <v>29808</v>
      </c>
      <c r="I267" s="3155">
        <f t="shared" ca="1" si="140"/>
        <v>16652</v>
      </c>
      <c r="J267" s="3156">
        <f t="shared" ca="1" si="141"/>
        <v>142</v>
      </c>
      <c r="K267" s="3177"/>
      <c r="L267" s="3177"/>
      <c r="M267" s="3177"/>
      <c r="N267" s="3177"/>
      <c r="O267" s="3177"/>
    </row>
    <row r="268" spans="1:15">
      <c r="A268" s="3157" t="s">
        <v>4193</v>
      </c>
      <c r="B268" s="3329"/>
      <c r="C268" s="3096" t="s">
        <v>4180</v>
      </c>
      <c r="D268" s="3097" t="s">
        <v>4100</v>
      </c>
      <c r="E268" s="3097" t="s">
        <v>4104</v>
      </c>
      <c r="F268" s="3097">
        <v>83.93</v>
      </c>
      <c r="G268" s="3097">
        <v>2507997.1</v>
      </c>
      <c r="H268" s="3156">
        <v>29882</v>
      </c>
      <c r="I268" s="3155">
        <f t="shared" ca="1" si="140"/>
        <v>16652</v>
      </c>
      <c r="J268" s="3156">
        <f t="shared" ca="1" si="141"/>
        <v>140</v>
      </c>
      <c r="K268" s="3177">
        <f t="shared" ref="K268" ca="1" si="184">J268</f>
        <v>140</v>
      </c>
      <c r="L268" s="3177"/>
      <c r="M268" s="3177"/>
      <c r="N268" s="3177"/>
      <c r="O268" s="3177"/>
    </row>
    <row r="269" spans="1:15">
      <c r="A269" s="3157" t="s">
        <v>4193</v>
      </c>
      <c r="B269" s="3329">
        <v>90</v>
      </c>
      <c r="C269" s="3096" t="s">
        <v>3209</v>
      </c>
      <c r="D269" s="3097" t="s">
        <v>4100</v>
      </c>
      <c r="E269" s="3097" t="s">
        <v>4110</v>
      </c>
      <c r="F269" s="3097">
        <v>135.69999999999999</v>
      </c>
      <c r="G269" s="3097">
        <v>7857283.7599999998</v>
      </c>
      <c r="H269" s="3156">
        <v>57902</v>
      </c>
      <c r="I269" s="3155">
        <f t="shared" ref="I269:I333" ca="1" si="185">IF(C269="大证住宅",$R$2,IF(C269="仓储",$R$3,$R$4))</f>
        <v>54321</v>
      </c>
      <c r="J269" s="3156">
        <f t="shared" ref="J269:J333" ca="1" si="186">ROUND(I269*F269/10000,0)</f>
        <v>737</v>
      </c>
      <c r="K269" s="3177">
        <f t="shared" ref="K269" ca="1" si="187">J269+J270</f>
        <v>879</v>
      </c>
      <c r="L269" s="3177"/>
      <c r="M269" s="3177"/>
      <c r="N269" s="3177"/>
      <c r="O269" s="3177"/>
    </row>
    <row r="270" spans="1:15" ht="24">
      <c r="A270" s="3157" t="s">
        <v>4193</v>
      </c>
      <c r="B270" s="3329"/>
      <c r="C270" s="3096" t="s">
        <v>4180</v>
      </c>
      <c r="D270" s="3097" t="s">
        <v>4100</v>
      </c>
      <c r="E270" s="3097" t="s">
        <v>4111</v>
      </c>
      <c r="F270" s="3097">
        <v>85.49</v>
      </c>
      <c r="G270" s="3097">
        <v>2548361.15</v>
      </c>
      <c r="H270" s="3156">
        <v>29809</v>
      </c>
      <c r="I270" s="3155">
        <f t="shared" ca="1" si="185"/>
        <v>16652</v>
      </c>
      <c r="J270" s="3156">
        <f t="shared" ca="1" si="186"/>
        <v>142</v>
      </c>
      <c r="K270" s="3177"/>
      <c r="L270" s="3177"/>
      <c r="M270" s="3177"/>
      <c r="N270" s="3177"/>
      <c r="O270" s="3177"/>
    </row>
    <row r="271" spans="1:15">
      <c r="A271" s="3157" t="s">
        <v>4193</v>
      </c>
      <c r="B271" s="3329"/>
      <c r="C271" s="3096" t="s">
        <v>4180</v>
      </c>
      <c r="D271" s="3097" t="s">
        <v>4100</v>
      </c>
      <c r="E271" s="3097" t="s">
        <v>4112</v>
      </c>
      <c r="F271" s="3097">
        <v>84.66</v>
      </c>
      <c r="G271" s="3097">
        <v>2529608.63</v>
      </c>
      <c r="H271" s="3156">
        <v>29880</v>
      </c>
      <c r="I271" s="3155">
        <f t="shared" ca="1" si="185"/>
        <v>16652</v>
      </c>
      <c r="J271" s="3156">
        <f t="shared" ca="1" si="186"/>
        <v>141</v>
      </c>
      <c r="K271" s="3177">
        <f t="shared" ref="K271" ca="1" si="188">J271</f>
        <v>141</v>
      </c>
      <c r="L271" s="3177"/>
      <c r="M271" s="3177"/>
      <c r="N271" s="3177"/>
      <c r="O271" s="3177"/>
    </row>
    <row r="272" spans="1:15">
      <c r="A272" s="3157" t="s">
        <v>4193</v>
      </c>
      <c r="B272" s="3329">
        <v>91</v>
      </c>
      <c r="C272" s="3096" t="s">
        <v>3209</v>
      </c>
      <c r="D272" s="3097" t="s">
        <v>4117</v>
      </c>
      <c r="E272" s="3097" t="s">
        <v>4119</v>
      </c>
      <c r="F272" s="3097">
        <v>135.68</v>
      </c>
      <c r="G272" s="3097">
        <v>7737013.6100000003</v>
      </c>
      <c r="H272" s="3156">
        <v>57024</v>
      </c>
      <c r="I272" s="3155">
        <f t="shared" ca="1" si="185"/>
        <v>54321</v>
      </c>
      <c r="J272" s="3156">
        <f t="shared" ca="1" si="186"/>
        <v>737</v>
      </c>
      <c r="K272" s="3177">
        <f t="shared" ref="K272" ca="1" si="189">J272+J273</f>
        <v>879</v>
      </c>
      <c r="L272" s="3177"/>
      <c r="M272" s="3177"/>
      <c r="N272" s="3177"/>
      <c r="O272" s="3177"/>
    </row>
    <row r="273" spans="1:15" ht="24">
      <c r="A273" s="3157" t="s">
        <v>4193</v>
      </c>
      <c r="B273" s="3329"/>
      <c r="C273" s="3096" t="s">
        <v>4180</v>
      </c>
      <c r="D273" s="3097" t="s">
        <v>4117</v>
      </c>
      <c r="E273" s="3097" t="s">
        <v>4120</v>
      </c>
      <c r="F273" s="3097">
        <v>85.47</v>
      </c>
      <c r="G273" s="3097">
        <v>2547743.61</v>
      </c>
      <c r="H273" s="3156">
        <v>29809</v>
      </c>
      <c r="I273" s="3155">
        <f t="shared" ca="1" si="185"/>
        <v>16652</v>
      </c>
      <c r="J273" s="3156">
        <f t="shared" ca="1" si="186"/>
        <v>142</v>
      </c>
      <c r="K273" s="3177"/>
      <c r="L273" s="3177"/>
      <c r="M273" s="3177"/>
      <c r="N273" s="3177"/>
      <c r="O273" s="3177"/>
    </row>
    <row r="274" spans="1:15">
      <c r="A274" s="3157" t="s">
        <v>4193</v>
      </c>
      <c r="B274" s="3329"/>
      <c r="C274" s="3096" t="s">
        <v>4180</v>
      </c>
      <c r="D274" s="3097" t="s">
        <v>4117</v>
      </c>
      <c r="E274" s="3097" t="s">
        <v>4121</v>
      </c>
      <c r="F274" s="3097">
        <v>84.65</v>
      </c>
      <c r="G274" s="3097">
        <v>2529608.65</v>
      </c>
      <c r="H274" s="3156">
        <v>29883</v>
      </c>
      <c r="I274" s="3155">
        <f t="shared" ca="1" si="185"/>
        <v>16652</v>
      </c>
      <c r="J274" s="3156">
        <f t="shared" ca="1" si="186"/>
        <v>141</v>
      </c>
      <c r="K274" s="3177">
        <f t="shared" ref="K274" ca="1" si="190">J274</f>
        <v>141</v>
      </c>
      <c r="L274" s="3177"/>
      <c r="M274" s="3177"/>
      <c r="N274" s="3177"/>
      <c r="O274" s="3177"/>
    </row>
    <row r="275" spans="1:15">
      <c r="A275" s="3157" t="s">
        <v>4193</v>
      </c>
      <c r="B275" s="3329">
        <v>92</v>
      </c>
      <c r="C275" s="3096" t="s">
        <v>3209</v>
      </c>
      <c r="D275" s="3097" t="s">
        <v>4117</v>
      </c>
      <c r="E275" s="3097" t="s">
        <v>4127</v>
      </c>
      <c r="F275" s="3097">
        <v>135.33000000000001</v>
      </c>
      <c r="G275" s="3097">
        <v>8539818.4199999999</v>
      </c>
      <c r="H275" s="3156">
        <v>63104</v>
      </c>
      <c r="I275" s="3155">
        <f t="shared" ca="1" si="185"/>
        <v>54321</v>
      </c>
      <c r="J275" s="3156">
        <f t="shared" ca="1" si="186"/>
        <v>735</v>
      </c>
      <c r="K275" s="3177">
        <f t="shared" ref="K275" ca="1" si="191">J275+J276</f>
        <v>877</v>
      </c>
      <c r="L275" s="3177"/>
      <c r="M275" s="3177"/>
      <c r="N275" s="3177"/>
      <c r="O275" s="3177"/>
    </row>
    <row r="276" spans="1:15" ht="24">
      <c r="A276" s="3157" t="s">
        <v>4193</v>
      </c>
      <c r="B276" s="3329"/>
      <c r="C276" s="3096" t="s">
        <v>4180</v>
      </c>
      <c r="D276" s="3097" t="s">
        <v>4117</v>
      </c>
      <c r="E276" s="3097" t="s">
        <v>4128</v>
      </c>
      <c r="F276" s="3097">
        <v>85.06</v>
      </c>
      <c r="G276" s="3097">
        <v>2535120.58</v>
      </c>
      <c r="H276" s="3156">
        <v>29804</v>
      </c>
      <c r="I276" s="3155">
        <f t="shared" ca="1" si="185"/>
        <v>16652</v>
      </c>
      <c r="J276" s="3156">
        <f t="shared" ca="1" si="186"/>
        <v>142</v>
      </c>
      <c r="K276" s="3177"/>
      <c r="L276" s="3177"/>
      <c r="M276" s="3177"/>
      <c r="N276" s="3177"/>
      <c r="O276" s="3177"/>
    </row>
    <row r="277" spans="1:15">
      <c r="A277" s="3157" t="s">
        <v>4193</v>
      </c>
      <c r="B277" s="3329"/>
      <c r="C277" s="3096" t="s">
        <v>4180</v>
      </c>
      <c r="D277" s="3097" t="s">
        <v>4117</v>
      </c>
      <c r="E277" s="3097" t="s">
        <v>4129</v>
      </c>
      <c r="F277" s="3097">
        <v>83.92</v>
      </c>
      <c r="G277" s="3097">
        <v>2507997.0299999998</v>
      </c>
      <c r="H277" s="3156">
        <v>29886</v>
      </c>
      <c r="I277" s="3155">
        <f t="shared" ca="1" si="185"/>
        <v>16652</v>
      </c>
      <c r="J277" s="3156">
        <f t="shared" ca="1" si="186"/>
        <v>140</v>
      </c>
      <c r="K277" s="3177">
        <f t="shared" ref="K277" ca="1" si="192">J277</f>
        <v>140</v>
      </c>
      <c r="L277" s="3177"/>
      <c r="M277" s="3177"/>
      <c r="N277" s="3177"/>
      <c r="O277" s="3177"/>
    </row>
    <row r="278" spans="1:15">
      <c r="A278" s="3157" t="s">
        <v>4193</v>
      </c>
      <c r="B278" s="3329">
        <v>93</v>
      </c>
      <c r="C278" s="3096" t="s">
        <v>3209</v>
      </c>
      <c r="D278" s="3097" t="s">
        <v>4134</v>
      </c>
      <c r="E278" s="3097" t="s">
        <v>4136</v>
      </c>
      <c r="F278" s="3097">
        <v>134.76</v>
      </c>
      <c r="G278" s="3097">
        <v>8515084.1600000001</v>
      </c>
      <c r="H278" s="3156">
        <v>63187</v>
      </c>
      <c r="I278" s="3155">
        <f t="shared" ca="1" si="185"/>
        <v>54321</v>
      </c>
      <c r="J278" s="3156">
        <f t="shared" ca="1" si="186"/>
        <v>732</v>
      </c>
      <c r="K278" s="3177">
        <f t="shared" ref="K278" ca="1" si="193">J278+J279</f>
        <v>873</v>
      </c>
      <c r="L278" s="3177"/>
      <c r="M278" s="3177"/>
      <c r="N278" s="3177"/>
      <c r="O278" s="3177"/>
    </row>
    <row r="279" spans="1:15" ht="24">
      <c r="A279" s="3157" t="s">
        <v>4193</v>
      </c>
      <c r="B279" s="3329"/>
      <c r="C279" s="3096" t="s">
        <v>4180</v>
      </c>
      <c r="D279" s="3097" t="s">
        <v>4134</v>
      </c>
      <c r="E279" s="3097" t="s">
        <v>4137</v>
      </c>
      <c r="F279" s="3097">
        <v>84.69</v>
      </c>
      <c r="G279" s="3097">
        <v>2527930.44</v>
      </c>
      <c r="H279" s="3156">
        <v>29849</v>
      </c>
      <c r="I279" s="3155">
        <f t="shared" ca="1" si="185"/>
        <v>16652</v>
      </c>
      <c r="J279" s="3156">
        <f t="shared" ca="1" si="186"/>
        <v>141</v>
      </c>
      <c r="K279" s="3177"/>
      <c r="L279" s="3177"/>
      <c r="M279" s="3177"/>
      <c r="N279" s="3177"/>
      <c r="O279" s="3177"/>
    </row>
    <row r="280" spans="1:15">
      <c r="A280" s="3157" t="s">
        <v>4193</v>
      </c>
      <c r="B280" s="3329"/>
      <c r="C280" s="3096" t="s">
        <v>4180</v>
      </c>
      <c r="D280" s="3097" t="s">
        <v>4134</v>
      </c>
      <c r="E280" s="3097" t="s">
        <v>4138</v>
      </c>
      <c r="F280" s="3097">
        <v>83.46</v>
      </c>
      <c r="G280" s="3097">
        <v>2503200.7599999998</v>
      </c>
      <c r="H280" s="3156">
        <v>29993</v>
      </c>
      <c r="I280" s="3155">
        <f t="shared" ca="1" si="185"/>
        <v>16652</v>
      </c>
      <c r="J280" s="3156">
        <f t="shared" ca="1" si="186"/>
        <v>139</v>
      </c>
      <c r="K280" s="3177">
        <f t="shared" ref="K280" ca="1" si="194">J280</f>
        <v>139</v>
      </c>
      <c r="L280" s="3177"/>
      <c r="M280" s="3177"/>
      <c r="N280" s="3177"/>
      <c r="O280" s="3177"/>
    </row>
    <row r="281" spans="1:15">
      <c r="A281" s="3157" t="s">
        <v>4193</v>
      </c>
      <c r="B281" s="3329">
        <v>94</v>
      </c>
      <c r="C281" s="3096" t="s">
        <v>3209</v>
      </c>
      <c r="D281" s="3097" t="s">
        <v>4134</v>
      </c>
      <c r="E281" s="3097" t="s">
        <v>4144</v>
      </c>
      <c r="F281" s="3097">
        <v>135.1</v>
      </c>
      <c r="G281" s="3097">
        <v>7715154.3499999996</v>
      </c>
      <c r="H281" s="3156">
        <v>57107</v>
      </c>
      <c r="I281" s="3155">
        <f t="shared" ca="1" si="185"/>
        <v>54321</v>
      </c>
      <c r="J281" s="3156">
        <f t="shared" ca="1" si="186"/>
        <v>734</v>
      </c>
      <c r="K281" s="3177">
        <f t="shared" ref="K281" ca="1" si="195">J281+J282</f>
        <v>876</v>
      </c>
      <c r="L281" s="3177"/>
      <c r="M281" s="3177"/>
      <c r="N281" s="3177"/>
      <c r="O281" s="3177"/>
    </row>
    <row r="282" spans="1:15" ht="24">
      <c r="A282" s="3157" t="s">
        <v>4193</v>
      </c>
      <c r="B282" s="3329"/>
      <c r="C282" s="3096" t="s">
        <v>4180</v>
      </c>
      <c r="D282" s="3097" t="s">
        <v>4134</v>
      </c>
      <c r="E282" s="3097" t="s">
        <v>4145</v>
      </c>
      <c r="F282" s="3097">
        <v>85.11</v>
      </c>
      <c r="G282" s="3097">
        <v>2540272.21</v>
      </c>
      <c r="H282" s="3156">
        <v>29847</v>
      </c>
      <c r="I282" s="3155">
        <f t="shared" ca="1" si="185"/>
        <v>16652</v>
      </c>
      <c r="J282" s="3156">
        <f t="shared" ca="1" si="186"/>
        <v>142</v>
      </c>
      <c r="K282" s="3177"/>
      <c r="L282" s="3177"/>
      <c r="M282" s="3177"/>
      <c r="N282" s="3177"/>
      <c r="O282" s="3177"/>
    </row>
    <row r="283" spans="1:15">
      <c r="A283" s="3157" t="s">
        <v>4193</v>
      </c>
      <c r="B283" s="3329"/>
      <c r="C283" s="3096" t="s">
        <v>4180</v>
      </c>
      <c r="D283" s="3097" t="s">
        <v>4134</v>
      </c>
      <c r="E283" s="3097" t="s">
        <v>4146</v>
      </c>
      <c r="F283" s="3097">
        <v>84.18</v>
      </c>
      <c r="G283" s="3097">
        <v>2524807.66</v>
      </c>
      <c r="H283" s="3156">
        <v>29993</v>
      </c>
      <c r="I283" s="3155">
        <f t="shared" ca="1" si="185"/>
        <v>16652</v>
      </c>
      <c r="J283" s="3156">
        <f t="shared" ca="1" si="186"/>
        <v>140</v>
      </c>
      <c r="K283" s="3177">
        <f t="shared" ref="K283" ca="1" si="196">J283</f>
        <v>140</v>
      </c>
      <c r="L283" s="3177"/>
      <c r="M283" s="3177"/>
      <c r="N283" s="3177"/>
      <c r="O283" s="3177"/>
    </row>
    <row r="284" spans="1:15">
      <c r="A284" s="3157" t="s">
        <v>4193</v>
      </c>
      <c r="B284" s="3329">
        <v>95</v>
      </c>
      <c r="C284" s="3096" t="s">
        <v>3209</v>
      </c>
      <c r="D284" s="3097" t="s">
        <v>4134</v>
      </c>
      <c r="E284" s="3097" t="s">
        <v>4152</v>
      </c>
      <c r="F284" s="3097">
        <v>134.76</v>
      </c>
      <c r="G284" s="3097">
        <v>8515084.1600000001</v>
      </c>
      <c r="H284" s="3156">
        <v>63187</v>
      </c>
      <c r="I284" s="3155">
        <f t="shared" ca="1" si="185"/>
        <v>54321</v>
      </c>
      <c r="J284" s="3156">
        <f t="shared" ca="1" si="186"/>
        <v>732</v>
      </c>
      <c r="K284" s="3177">
        <f t="shared" ref="K284" ca="1" si="197">J284+J285</f>
        <v>873</v>
      </c>
      <c r="L284" s="3177"/>
      <c r="M284" s="3177"/>
      <c r="N284" s="3177"/>
      <c r="O284" s="3177"/>
    </row>
    <row r="285" spans="1:15" ht="24">
      <c r="A285" s="3157" t="s">
        <v>4193</v>
      </c>
      <c r="B285" s="3329"/>
      <c r="C285" s="3096" t="s">
        <v>4180</v>
      </c>
      <c r="D285" s="3097" t="s">
        <v>4134</v>
      </c>
      <c r="E285" s="3097" t="s">
        <v>4153</v>
      </c>
      <c r="F285" s="3097">
        <v>84.69</v>
      </c>
      <c r="G285" s="3097">
        <v>2527930.44</v>
      </c>
      <c r="H285" s="3156">
        <v>29849</v>
      </c>
      <c r="I285" s="3155">
        <f t="shared" ca="1" si="185"/>
        <v>16652</v>
      </c>
      <c r="J285" s="3156">
        <f t="shared" ca="1" si="186"/>
        <v>141</v>
      </c>
      <c r="K285" s="3177"/>
      <c r="L285" s="3177"/>
      <c r="M285" s="3177"/>
      <c r="N285" s="3177"/>
      <c r="O285" s="3177"/>
    </row>
    <row r="286" spans="1:15">
      <c r="A286" s="3157" t="s">
        <v>4193</v>
      </c>
      <c r="B286" s="3329"/>
      <c r="C286" s="3096" t="s">
        <v>4180</v>
      </c>
      <c r="D286" s="3097" t="s">
        <v>4134</v>
      </c>
      <c r="E286" s="3097" t="s">
        <v>4154</v>
      </c>
      <c r="F286" s="3097">
        <v>83.46</v>
      </c>
      <c r="G286" s="3097">
        <v>2503200.7599999998</v>
      </c>
      <c r="H286" s="3156">
        <v>29993</v>
      </c>
      <c r="I286" s="3155">
        <f t="shared" ca="1" si="185"/>
        <v>16652</v>
      </c>
      <c r="J286" s="3156">
        <f t="shared" ca="1" si="186"/>
        <v>139</v>
      </c>
      <c r="K286" s="3177">
        <f t="shared" ref="K286" ca="1" si="198">J286</f>
        <v>139</v>
      </c>
      <c r="L286" s="3177"/>
      <c r="M286" s="3177"/>
      <c r="N286" s="3177"/>
      <c r="O286" s="3177"/>
    </row>
    <row r="287" spans="1:15">
      <c r="A287" s="3157" t="s">
        <v>4193</v>
      </c>
      <c r="B287" s="3329">
        <v>96</v>
      </c>
      <c r="C287" s="3096" t="s">
        <v>3209</v>
      </c>
      <c r="D287" s="3097" t="s">
        <v>4134</v>
      </c>
      <c r="E287" s="3097" t="s">
        <v>4160</v>
      </c>
      <c r="F287" s="3097">
        <v>134.91</v>
      </c>
      <c r="G287" s="3097">
        <v>7782538.3300000001</v>
      </c>
      <c r="H287" s="3156">
        <v>57687</v>
      </c>
      <c r="I287" s="3155">
        <f t="shared" ca="1" si="185"/>
        <v>54321</v>
      </c>
      <c r="J287" s="3156">
        <f t="shared" ca="1" si="186"/>
        <v>733</v>
      </c>
      <c r="K287" s="3177">
        <f t="shared" ref="K287" ca="1" si="199">J287+J288</f>
        <v>874</v>
      </c>
      <c r="L287" s="3177"/>
      <c r="M287" s="3177"/>
      <c r="N287" s="3177"/>
      <c r="O287" s="3177"/>
    </row>
    <row r="288" spans="1:15" ht="24">
      <c r="A288" s="3157" t="s">
        <v>4193</v>
      </c>
      <c r="B288" s="3329"/>
      <c r="C288" s="3096" t="s">
        <v>4180</v>
      </c>
      <c r="D288" s="3097" t="s">
        <v>4134</v>
      </c>
      <c r="E288" s="3097" t="s">
        <v>4161</v>
      </c>
      <c r="F288" s="3097">
        <v>84.83</v>
      </c>
      <c r="G288" s="3097">
        <v>2532167.02</v>
      </c>
      <c r="H288" s="3156">
        <v>29850</v>
      </c>
      <c r="I288" s="3155">
        <f t="shared" ca="1" si="185"/>
        <v>16652</v>
      </c>
      <c r="J288" s="3156">
        <f t="shared" ca="1" si="186"/>
        <v>141</v>
      </c>
      <c r="K288" s="3177"/>
      <c r="L288" s="3177"/>
      <c r="M288" s="3177"/>
      <c r="N288" s="3177"/>
      <c r="O288" s="3177"/>
    </row>
    <row r="289" spans="1:15">
      <c r="A289" s="3157" t="s">
        <v>4193</v>
      </c>
      <c r="B289" s="3329"/>
      <c r="C289" s="3096" t="s">
        <v>4180</v>
      </c>
      <c r="D289" s="3097" t="s">
        <v>4134</v>
      </c>
      <c r="E289" s="3097" t="s">
        <v>4162</v>
      </c>
      <c r="F289" s="3097">
        <v>84.18</v>
      </c>
      <c r="G289" s="3097">
        <v>2524807.66</v>
      </c>
      <c r="H289" s="3156">
        <v>29993</v>
      </c>
      <c r="I289" s="3155">
        <f t="shared" ca="1" si="185"/>
        <v>16652</v>
      </c>
      <c r="J289" s="3156">
        <f t="shared" ca="1" si="186"/>
        <v>140</v>
      </c>
      <c r="K289" s="3177">
        <f ca="1">J289</f>
        <v>140</v>
      </c>
      <c r="L289" s="3177"/>
      <c r="M289" s="3177"/>
      <c r="N289" s="3177"/>
      <c r="O289" s="3177"/>
    </row>
    <row r="290" spans="1:15">
      <c r="A290" s="3157" t="s">
        <v>4193</v>
      </c>
      <c r="B290" s="3329">
        <v>97</v>
      </c>
      <c r="C290" s="3096" t="s">
        <v>3209</v>
      </c>
      <c r="D290" s="3097" t="s">
        <v>4134</v>
      </c>
      <c r="E290" s="3097" t="s">
        <v>4168</v>
      </c>
      <c r="F290" s="3097">
        <v>135.1</v>
      </c>
      <c r="G290" s="3097">
        <v>7715154.3499999996</v>
      </c>
      <c r="H290" s="3156">
        <v>57107</v>
      </c>
      <c r="I290" s="3155">
        <f t="shared" ca="1" si="185"/>
        <v>54321</v>
      </c>
      <c r="J290" s="3156">
        <f t="shared" ca="1" si="186"/>
        <v>734</v>
      </c>
      <c r="K290" s="3177">
        <f ca="1">J290+J291</f>
        <v>876</v>
      </c>
      <c r="L290" s="3177"/>
      <c r="M290" s="3177"/>
      <c r="N290" s="3177"/>
      <c r="O290" s="3177"/>
    </row>
    <row r="291" spans="1:15" ht="24">
      <c r="A291" s="3157" t="s">
        <v>4193</v>
      </c>
      <c r="B291" s="3329"/>
      <c r="C291" s="3096" t="s">
        <v>4180</v>
      </c>
      <c r="D291" s="3097" t="s">
        <v>4134</v>
      </c>
      <c r="E291" s="3097" t="s">
        <v>4169</v>
      </c>
      <c r="F291" s="3097">
        <v>85.11</v>
      </c>
      <c r="G291" s="3097">
        <v>2540272.21</v>
      </c>
      <c r="H291" s="3156">
        <v>29847</v>
      </c>
      <c r="I291" s="3155">
        <f t="shared" ca="1" si="185"/>
        <v>16652</v>
      </c>
      <c r="J291" s="3156">
        <f t="shared" ca="1" si="186"/>
        <v>142</v>
      </c>
      <c r="K291" s="3177"/>
      <c r="L291" s="3177"/>
      <c r="M291" s="3177"/>
      <c r="N291" s="3177"/>
      <c r="O291" s="3177"/>
    </row>
    <row r="292" spans="1:15">
      <c r="A292" s="3157" t="s">
        <v>4193</v>
      </c>
      <c r="B292" s="3329"/>
      <c r="C292" s="3096" t="s">
        <v>4180</v>
      </c>
      <c r="D292" s="3097" t="s">
        <v>4134</v>
      </c>
      <c r="E292" s="3097" t="s">
        <v>4170</v>
      </c>
      <c r="F292" s="3097">
        <v>84.18</v>
      </c>
      <c r="G292" s="3097">
        <v>2524807.66</v>
      </c>
      <c r="H292" s="3156">
        <v>29993</v>
      </c>
      <c r="I292" s="3155">
        <f t="shared" ca="1" si="185"/>
        <v>16652</v>
      </c>
      <c r="J292" s="3156">
        <f t="shared" ca="1" si="186"/>
        <v>140</v>
      </c>
      <c r="K292" s="3177">
        <f ca="1">J292</f>
        <v>140</v>
      </c>
      <c r="L292" s="3177"/>
      <c r="M292" s="3177"/>
      <c r="N292" s="3177"/>
      <c r="O292" s="3177"/>
    </row>
    <row r="293" spans="1:15">
      <c r="A293" s="3192"/>
      <c r="B293" s="3192">
        <v>98</v>
      </c>
      <c r="C293" s="3187" t="s">
        <v>4516</v>
      </c>
      <c r="D293" s="3188" t="s">
        <v>4134</v>
      </c>
      <c r="E293" s="3188" t="s">
        <v>4519</v>
      </c>
      <c r="F293" s="3097">
        <v>84.18</v>
      </c>
      <c r="G293" s="3097">
        <v>2524800</v>
      </c>
      <c r="H293" s="3191">
        <f>G293/F293</f>
        <v>29992.872416250888</v>
      </c>
      <c r="I293" s="3190">
        <f ca="1">IF(C293="大证住宅",$R$2,IF(C293="仓储",$R$3,$R$4))</f>
        <v>16652</v>
      </c>
      <c r="J293" s="3191">
        <f ca="1">ROUND(I293*F293/10000,0)</f>
        <v>140</v>
      </c>
      <c r="K293" s="3177">
        <f ca="1">J293</f>
        <v>140</v>
      </c>
      <c r="L293" s="3177"/>
      <c r="M293" s="3177"/>
      <c r="N293" s="3177"/>
      <c r="O293" s="3177"/>
    </row>
    <row r="294" spans="1:15">
      <c r="A294" s="3332" t="s">
        <v>4455</v>
      </c>
      <c r="B294" s="3332"/>
      <c r="C294" s="3333"/>
      <c r="D294" s="3333"/>
      <c r="E294" s="3333"/>
      <c r="F294" s="3156">
        <f>SUM(F164:F293)</f>
        <v>13200.780000000004</v>
      </c>
      <c r="G294" s="3156"/>
      <c r="H294" s="3156"/>
      <c r="I294" s="3155"/>
      <c r="J294" s="3156">
        <f ca="1">SUM(J164:J293)</f>
        <v>43945</v>
      </c>
      <c r="K294" s="3199">
        <f ca="1">SUM(K164:K293)</f>
        <v>43945</v>
      </c>
      <c r="L294" s="3177"/>
      <c r="M294" s="3177"/>
      <c r="N294" s="3177"/>
      <c r="O294" s="3177"/>
    </row>
    <row r="295" spans="1:15">
      <c r="A295" s="3157" t="s">
        <v>4190</v>
      </c>
      <c r="B295" s="3329">
        <v>99</v>
      </c>
      <c r="C295" s="3096" t="s">
        <v>3209</v>
      </c>
      <c r="D295" s="3097" t="s">
        <v>3210</v>
      </c>
      <c r="E295" s="3097" t="s">
        <v>3213</v>
      </c>
      <c r="F295" s="3097">
        <v>135.5</v>
      </c>
      <c r="G295" s="3097">
        <v>8404407.8300000001</v>
      </c>
      <c r="H295" s="3156">
        <v>62025</v>
      </c>
      <c r="I295" s="3155">
        <f t="shared" ca="1" si="185"/>
        <v>54321</v>
      </c>
      <c r="J295" s="3156">
        <f t="shared" ca="1" si="186"/>
        <v>736</v>
      </c>
      <c r="K295" s="3177">
        <f ca="1">J295+J296</f>
        <v>878</v>
      </c>
      <c r="L295" s="3177"/>
      <c r="M295" s="3177"/>
      <c r="N295" s="3177"/>
      <c r="O295" s="3177"/>
    </row>
    <row r="296" spans="1:15" ht="24">
      <c r="A296" s="3157" t="s">
        <v>4190</v>
      </c>
      <c r="B296" s="3329"/>
      <c r="C296" s="3096" t="s">
        <v>4180</v>
      </c>
      <c r="D296" s="3097" t="s">
        <v>3210</v>
      </c>
      <c r="E296" s="3097" t="s">
        <v>3215</v>
      </c>
      <c r="F296" s="3097">
        <v>85.16</v>
      </c>
      <c r="G296" s="3097">
        <v>2535734.38</v>
      </c>
      <c r="H296" s="3156">
        <v>29776</v>
      </c>
      <c r="I296" s="3155">
        <f t="shared" ca="1" si="185"/>
        <v>16652</v>
      </c>
      <c r="J296" s="3156">
        <f t="shared" ca="1" si="186"/>
        <v>142</v>
      </c>
      <c r="K296" s="3177"/>
      <c r="L296" s="3177"/>
      <c r="M296" s="3177"/>
      <c r="N296" s="3177"/>
      <c r="O296" s="3177"/>
    </row>
    <row r="297" spans="1:15">
      <c r="A297" s="3157" t="s">
        <v>4190</v>
      </c>
      <c r="B297" s="3329"/>
      <c r="C297" s="3096" t="s">
        <v>4180</v>
      </c>
      <c r="D297" s="3097" t="s">
        <v>3210</v>
      </c>
      <c r="E297" s="3097" t="s">
        <v>3217</v>
      </c>
      <c r="F297" s="3097">
        <v>84.19</v>
      </c>
      <c r="G297" s="3097">
        <v>2516405.42</v>
      </c>
      <c r="H297" s="3156">
        <v>29890</v>
      </c>
      <c r="I297" s="3155">
        <f t="shared" ca="1" si="185"/>
        <v>16652</v>
      </c>
      <c r="J297" s="3156">
        <f t="shared" ca="1" si="186"/>
        <v>140</v>
      </c>
      <c r="K297" s="3177">
        <f ca="1">J297</f>
        <v>140</v>
      </c>
      <c r="L297" s="3177"/>
      <c r="M297" s="3177"/>
      <c r="N297" s="3177"/>
      <c r="O297" s="3177"/>
    </row>
    <row r="298" spans="1:15">
      <c r="A298" s="3157" t="s">
        <v>4190</v>
      </c>
      <c r="B298" s="3329">
        <v>100</v>
      </c>
      <c r="C298" s="3096" t="s">
        <v>3209</v>
      </c>
      <c r="D298" s="3097" t="s">
        <v>3210</v>
      </c>
      <c r="E298" s="3097" t="s">
        <v>3226</v>
      </c>
      <c r="F298" s="3097">
        <v>135.85</v>
      </c>
      <c r="G298" s="3097">
        <v>7845522.2599999998</v>
      </c>
      <c r="H298" s="3156">
        <v>57751</v>
      </c>
      <c r="I298" s="3155">
        <f t="shared" ca="1" si="185"/>
        <v>54321</v>
      </c>
      <c r="J298" s="3156">
        <f t="shared" ca="1" si="186"/>
        <v>738</v>
      </c>
      <c r="K298" s="3177">
        <f t="shared" ref="K298" ca="1" si="200">J298+J299</f>
        <v>880</v>
      </c>
      <c r="L298" s="3177"/>
      <c r="M298" s="3177"/>
      <c r="N298" s="3177"/>
      <c r="O298" s="3177"/>
    </row>
    <row r="299" spans="1:15" ht="24">
      <c r="A299" s="3157" t="s">
        <v>4190</v>
      </c>
      <c r="B299" s="3329"/>
      <c r="C299" s="3096" t="s">
        <v>4180</v>
      </c>
      <c r="D299" s="3097" t="s">
        <v>3210</v>
      </c>
      <c r="E299" s="3097" t="s">
        <v>3228</v>
      </c>
      <c r="F299" s="3097">
        <v>85.57</v>
      </c>
      <c r="G299" s="3097">
        <v>2548052.12</v>
      </c>
      <c r="H299" s="3156">
        <v>29777</v>
      </c>
      <c r="I299" s="3155">
        <f t="shared" ca="1" si="185"/>
        <v>16652</v>
      </c>
      <c r="J299" s="3156">
        <f t="shared" ca="1" si="186"/>
        <v>142</v>
      </c>
      <c r="K299" s="3177"/>
      <c r="L299" s="3177"/>
      <c r="M299" s="3177"/>
      <c r="N299" s="3177"/>
      <c r="O299" s="3177"/>
    </row>
    <row r="300" spans="1:15">
      <c r="A300" s="3157" t="s">
        <v>4190</v>
      </c>
      <c r="B300" s="3329"/>
      <c r="C300" s="3096" t="s">
        <v>4180</v>
      </c>
      <c r="D300" s="3097" t="s">
        <v>3210</v>
      </c>
      <c r="E300" s="3097" t="s">
        <v>3230</v>
      </c>
      <c r="F300" s="3097">
        <v>84.91</v>
      </c>
      <c r="G300" s="3097">
        <v>2537996.41</v>
      </c>
      <c r="H300" s="3156">
        <v>29890</v>
      </c>
      <c r="I300" s="3155">
        <f t="shared" ca="1" si="185"/>
        <v>16652</v>
      </c>
      <c r="J300" s="3156">
        <f t="shared" ca="1" si="186"/>
        <v>141</v>
      </c>
      <c r="K300" s="3177">
        <f t="shared" ref="K300" ca="1" si="201">J300</f>
        <v>141</v>
      </c>
      <c r="L300" s="3177"/>
      <c r="M300" s="3177"/>
      <c r="N300" s="3177"/>
      <c r="O300" s="3177"/>
    </row>
    <row r="301" spans="1:15">
      <c r="A301" s="3157" t="s">
        <v>4190</v>
      </c>
      <c r="B301" s="3329">
        <v>101</v>
      </c>
      <c r="C301" s="3096" t="s">
        <v>3209</v>
      </c>
      <c r="D301" s="3097" t="s">
        <v>3210</v>
      </c>
      <c r="E301" s="3097" t="s">
        <v>3237</v>
      </c>
      <c r="F301" s="3097">
        <v>135.5</v>
      </c>
      <c r="G301" s="3097">
        <v>8541089.4299999997</v>
      </c>
      <c r="H301" s="3156">
        <v>63034</v>
      </c>
      <c r="I301" s="3155">
        <f t="shared" ca="1" si="185"/>
        <v>54321</v>
      </c>
      <c r="J301" s="3156">
        <f t="shared" ca="1" si="186"/>
        <v>736</v>
      </c>
      <c r="K301" s="3177">
        <f t="shared" ref="K301" ca="1" si="202">J301+J302</f>
        <v>878</v>
      </c>
      <c r="L301" s="3177"/>
      <c r="M301" s="3177"/>
      <c r="N301" s="3177"/>
      <c r="O301" s="3177"/>
    </row>
    <row r="302" spans="1:15" ht="24">
      <c r="A302" s="3157" t="s">
        <v>4190</v>
      </c>
      <c r="B302" s="3329"/>
      <c r="C302" s="3096" t="s">
        <v>4180</v>
      </c>
      <c r="D302" s="3097" t="s">
        <v>3210</v>
      </c>
      <c r="E302" s="3097" t="s">
        <v>3239</v>
      </c>
      <c r="F302" s="3097">
        <v>85.16</v>
      </c>
      <c r="G302" s="3097">
        <v>2535734.38</v>
      </c>
      <c r="H302" s="3156">
        <v>29776</v>
      </c>
      <c r="I302" s="3155">
        <f t="shared" ca="1" si="185"/>
        <v>16652</v>
      </c>
      <c r="J302" s="3156">
        <f t="shared" ca="1" si="186"/>
        <v>142</v>
      </c>
      <c r="K302" s="3177"/>
      <c r="L302" s="3177"/>
      <c r="M302" s="3177"/>
      <c r="N302" s="3177"/>
      <c r="O302" s="3177"/>
    </row>
    <row r="303" spans="1:15">
      <c r="A303" s="3157" t="s">
        <v>4190</v>
      </c>
      <c r="B303" s="3329"/>
      <c r="C303" s="3096" t="s">
        <v>4180</v>
      </c>
      <c r="D303" s="3097" t="s">
        <v>3210</v>
      </c>
      <c r="E303" s="3097" t="s">
        <v>3241</v>
      </c>
      <c r="F303" s="3097">
        <v>84.19</v>
      </c>
      <c r="G303" s="3097">
        <v>2516405.42</v>
      </c>
      <c r="H303" s="3156">
        <v>29890</v>
      </c>
      <c r="I303" s="3155">
        <f t="shared" ca="1" si="185"/>
        <v>16652</v>
      </c>
      <c r="J303" s="3156">
        <f t="shared" ca="1" si="186"/>
        <v>140</v>
      </c>
      <c r="K303" s="3177">
        <f t="shared" ref="K303" ca="1" si="203">J303</f>
        <v>140</v>
      </c>
      <c r="L303" s="3177"/>
      <c r="M303" s="3177"/>
      <c r="N303" s="3177"/>
      <c r="O303" s="3177"/>
    </row>
    <row r="304" spans="1:15">
      <c r="A304" s="3157" t="s">
        <v>4190</v>
      </c>
      <c r="B304" s="3329">
        <v>102</v>
      </c>
      <c r="C304" s="3096" t="s">
        <v>3209</v>
      </c>
      <c r="D304" s="3097" t="s">
        <v>3246</v>
      </c>
      <c r="E304" s="3097" t="s">
        <v>3249</v>
      </c>
      <c r="F304" s="3097">
        <v>135.04</v>
      </c>
      <c r="G304" s="3097">
        <v>8087434.8700000001</v>
      </c>
      <c r="H304" s="3156">
        <v>59889</v>
      </c>
      <c r="I304" s="3155">
        <f t="shared" ca="1" si="185"/>
        <v>54321</v>
      </c>
      <c r="J304" s="3156">
        <f t="shared" ca="1" si="186"/>
        <v>734</v>
      </c>
      <c r="K304" s="3177">
        <f t="shared" ref="K304" ca="1" si="204">J304+J305</f>
        <v>876</v>
      </c>
      <c r="L304" s="3177"/>
      <c r="M304" s="3177"/>
      <c r="N304" s="3177"/>
      <c r="O304" s="3177"/>
    </row>
    <row r="305" spans="1:15" ht="24">
      <c r="A305" s="3157" t="s">
        <v>4190</v>
      </c>
      <c r="B305" s="3329"/>
      <c r="C305" s="3096" t="s">
        <v>4180</v>
      </c>
      <c r="D305" s="3097" t="s">
        <v>3246</v>
      </c>
      <c r="E305" s="3097" t="s">
        <v>3251</v>
      </c>
      <c r="F305" s="3097">
        <v>85.07</v>
      </c>
      <c r="G305" s="3097">
        <v>2539345.4500000002</v>
      </c>
      <c r="H305" s="3156">
        <v>29850</v>
      </c>
      <c r="I305" s="3155">
        <f t="shared" ca="1" si="185"/>
        <v>16652</v>
      </c>
      <c r="J305" s="3156">
        <f t="shared" ca="1" si="186"/>
        <v>142</v>
      </c>
      <c r="K305" s="3177"/>
      <c r="L305" s="3177"/>
      <c r="M305" s="3177"/>
      <c r="N305" s="3177"/>
      <c r="O305" s="3177"/>
    </row>
    <row r="306" spans="1:15">
      <c r="A306" s="3157" t="s">
        <v>4190</v>
      </c>
      <c r="B306" s="3329"/>
      <c r="C306" s="3096" t="s">
        <v>4180</v>
      </c>
      <c r="D306" s="3097" t="s">
        <v>3246</v>
      </c>
      <c r="E306" s="3097" t="s">
        <v>3253</v>
      </c>
      <c r="F306" s="3097">
        <v>84.17</v>
      </c>
      <c r="G306" s="3097">
        <v>2524510.81</v>
      </c>
      <c r="H306" s="3156">
        <v>29993</v>
      </c>
      <c r="I306" s="3155">
        <f t="shared" ca="1" si="185"/>
        <v>16652</v>
      </c>
      <c r="J306" s="3156">
        <f t="shared" ca="1" si="186"/>
        <v>140</v>
      </c>
      <c r="K306" s="3177">
        <f t="shared" ref="K306" ca="1" si="205">J306</f>
        <v>140</v>
      </c>
      <c r="L306" s="3177"/>
      <c r="M306" s="3177"/>
      <c r="N306" s="3177"/>
      <c r="O306" s="3177"/>
    </row>
    <row r="307" spans="1:15">
      <c r="A307" s="3157" t="s">
        <v>4190</v>
      </c>
      <c r="B307" s="3329">
        <v>103</v>
      </c>
      <c r="C307" s="3096" t="s">
        <v>3209</v>
      </c>
      <c r="D307" s="3097" t="s">
        <v>3258</v>
      </c>
      <c r="E307" s="3097" t="s">
        <v>3260</v>
      </c>
      <c r="F307" s="3097">
        <v>135.69999999999999</v>
      </c>
      <c r="G307" s="3097">
        <v>8115664.7000000002</v>
      </c>
      <c r="H307" s="3156">
        <v>59806</v>
      </c>
      <c r="I307" s="3155">
        <f t="shared" ca="1" si="185"/>
        <v>54321</v>
      </c>
      <c r="J307" s="3156">
        <f t="shared" ca="1" si="186"/>
        <v>737</v>
      </c>
      <c r="K307" s="3177">
        <f t="shared" ref="K307" ca="1" si="206">J307+J308</f>
        <v>879</v>
      </c>
      <c r="L307" s="3177"/>
      <c r="M307" s="3177"/>
      <c r="N307" s="3177"/>
      <c r="O307" s="3177"/>
    </row>
    <row r="308" spans="1:15" ht="24">
      <c r="A308" s="3157" t="s">
        <v>4190</v>
      </c>
      <c r="B308" s="3329"/>
      <c r="C308" s="3096" t="s">
        <v>4180</v>
      </c>
      <c r="D308" s="3097" t="s">
        <v>3258</v>
      </c>
      <c r="E308" s="3097" t="s">
        <v>3261</v>
      </c>
      <c r="F308" s="3097">
        <v>85.51</v>
      </c>
      <c r="G308" s="3097">
        <v>2548773.48</v>
      </c>
      <c r="H308" s="3156">
        <v>29807</v>
      </c>
      <c r="I308" s="3155">
        <f t="shared" ca="1" si="185"/>
        <v>16652</v>
      </c>
      <c r="J308" s="3156">
        <f t="shared" ca="1" si="186"/>
        <v>142</v>
      </c>
      <c r="K308" s="3177"/>
      <c r="L308" s="3177"/>
      <c r="M308" s="3177"/>
      <c r="N308" s="3177"/>
      <c r="O308" s="3177"/>
    </row>
    <row r="309" spans="1:15">
      <c r="A309" s="3157" t="s">
        <v>4190</v>
      </c>
      <c r="B309" s="3329"/>
      <c r="C309" s="3096" t="s">
        <v>4180</v>
      </c>
      <c r="D309" s="3097" t="s">
        <v>3258</v>
      </c>
      <c r="E309" s="3097" t="s">
        <v>3262</v>
      </c>
      <c r="F309" s="3097">
        <v>84.65</v>
      </c>
      <c r="G309" s="3097">
        <v>2529608.65</v>
      </c>
      <c r="H309" s="3156">
        <v>29883</v>
      </c>
      <c r="I309" s="3155">
        <f t="shared" ca="1" si="185"/>
        <v>16652</v>
      </c>
      <c r="J309" s="3156">
        <f t="shared" ca="1" si="186"/>
        <v>141</v>
      </c>
      <c r="K309" s="3177">
        <f t="shared" ref="K309" ca="1" si="207">J309</f>
        <v>141</v>
      </c>
      <c r="L309" s="3177"/>
      <c r="M309" s="3177"/>
      <c r="N309" s="3177"/>
      <c r="O309" s="3177"/>
    </row>
    <row r="310" spans="1:15">
      <c r="A310" s="3157" t="s">
        <v>4190</v>
      </c>
      <c r="B310" s="3329">
        <v>104</v>
      </c>
      <c r="C310" s="3096" t="s">
        <v>3209</v>
      </c>
      <c r="D310" s="3097" t="s">
        <v>3267</v>
      </c>
      <c r="E310" s="3097" t="s">
        <v>3269</v>
      </c>
      <c r="F310" s="3097">
        <v>135.22</v>
      </c>
      <c r="G310" s="3097">
        <v>5972540.29</v>
      </c>
      <c r="H310" s="3156">
        <v>44169</v>
      </c>
      <c r="I310" s="3155">
        <f t="shared" ca="1" si="185"/>
        <v>54321</v>
      </c>
      <c r="J310" s="3156">
        <f t="shared" ca="1" si="186"/>
        <v>735</v>
      </c>
      <c r="K310" s="3177">
        <f t="shared" ref="K310" ca="1" si="208">J310+J311</f>
        <v>877</v>
      </c>
      <c r="L310" s="3177"/>
      <c r="M310" s="3177"/>
      <c r="N310" s="3177"/>
      <c r="O310" s="3177"/>
    </row>
    <row r="311" spans="1:15" ht="24">
      <c r="A311" s="3157" t="s">
        <v>4190</v>
      </c>
      <c r="B311" s="3329"/>
      <c r="C311" s="3096" t="s">
        <v>4180</v>
      </c>
      <c r="D311" s="3097" t="s">
        <v>3267</v>
      </c>
      <c r="E311" s="3097" t="s">
        <v>3270</v>
      </c>
      <c r="F311" s="3097">
        <v>85.03</v>
      </c>
      <c r="G311" s="3097">
        <v>2066541.06</v>
      </c>
      <c r="H311" s="3156">
        <v>24304</v>
      </c>
      <c r="I311" s="3155">
        <f t="shared" ca="1" si="185"/>
        <v>16652</v>
      </c>
      <c r="J311" s="3156">
        <f t="shared" ca="1" si="186"/>
        <v>142</v>
      </c>
      <c r="K311" s="3177"/>
      <c r="L311" s="3177"/>
      <c r="M311" s="3177"/>
      <c r="N311" s="3177"/>
      <c r="O311" s="3177"/>
    </row>
    <row r="312" spans="1:15">
      <c r="A312" s="3157" t="s">
        <v>4190</v>
      </c>
      <c r="B312" s="3329"/>
      <c r="C312" s="3096" t="s">
        <v>4180</v>
      </c>
      <c r="D312" s="3097" t="s">
        <v>3267</v>
      </c>
      <c r="E312" s="3097" t="s">
        <v>3271</v>
      </c>
      <c r="F312" s="3097">
        <v>84.58</v>
      </c>
      <c r="G312" s="3097">
        <v>3743696.88</v>
      </c>
      <c r="H312" s="3156">
        <v>44262</v>
      </c>
      <c r="I312" s="3155">
        <f t="shared" ca="1" si="185"/>
        <v>16652</v>
      </c>
      <c r="J312" s="3156">
        <f t="shared" ca="1" si="186"/>
        <v>141</v>
      </c>
      <c r="K312" s="3177">
        <f t="shared" ref="K312" ca="1" si="209">J312</f>
        <v>141</v>
      </c>
      <c r="L312" s="3177"/>
      <c r="M312" s="3177"/>
      <c r="N312" s="3177"/>
      <c r="O312" s="3177"/>
    </row>
    <row r="313" spans="1:15">
      <c r="A313" s="3157" t="s">
        <v>4190</v>
      </c>
      <c r="B313" s="3329">
        <v>105</v>
      </c>
      <c r="C313" s="3096" t="s">
        <v>3209</v>
      </c>
      <c r="D313" s="3097" t="s">
        <v>3267</v>
      </c>
      <c r="E313" s="3097" t="s">
        <v>3277</v>
      </c>
      <c r="F313" s="3097">
        <v>135.41</v>
      </c>
      <c r="G313" s="3097">
        <v>6359048.5899999999</v>
      </c>
      <c r="H313" s="3156">
        <v>46961</v>
      </c>
      <c r="I313" s="3155">
        <f t="shared" ca="1" si="185"/>
        <v>54321</v>
      </c>
      <c r="J313" s="3156">
        <f t="shared" ca="1" si="186"/>
        <v>736</v>
      </c>
      <c r="K313" s="3177">
        <f t="shared" ref="K313" ca="1" si="210">J313+J314</f>
        <v>878</v>
      </c>
      <c r="L313" s="3177"/>
      <c r="M313" s="3177"/>
      <c r="N313" s="3177"/>
      <c r="O313" s="3177"/>
    </row>
    <row r="314" spans="1:15" ht="24">
      <c r="A314" s="3157" t="s">
        <v>4190</v>
      </c>
      <c r="B314" s="3329"/>
      <c r="C314" s="3096" t="s">
        <v>4180</v>
      </c>
      <c r="D314" s="3097" t="s">
        <v>3267</v>
      </c>
      <c r="E314" s="3097" t="s">
        <v>3278</v>
      </c>
      <c r="F314" s="3097">
        <v>85.31</v>
      </c>
      <c r="G314" s="3097">
        <v>2073133.67</v>
      </c>
      <c r="H314" s="3156">
        <v>24301</v>
      </c>
      <c r="I314" s="3155">
        <f t="shared" ca="1" si="185"/>
        <v>16652</v>
      </c>
      <c r="J314" s="3156">
        <f t="shared" ca="1" si="186"/>
        <v>142</v>
      </c>
      <c r="K314" s="3177"/>
      <c r="L314" s="3177"/>
      <c r="M314" s="3177"/>
      <c r="N314" s="3177"/>
      <c r="O314" s="3177"/>
    </row>
    <row r="315" spans="1:15">
      <c r="A315" s="3157" t="s">
        <v>4190</v>
      </c>
      <c r="B315" s="3329"/>
      <c r="C315" s="3096" t="s">
        <v>4180</v>
      </c>
      <c r="D315" s="3097" t="s">
        <v>3267</v>
      </c>
      <c r="E315" s="3097" t="s">
        <v>3279</v>
      </c>
      <c r="F315" s="3097">
        <v>84.58</v>
      </c>
      <c r="G315" s="3097">
        <v>3743696.88</v>
      </c>
      <c r="H315" s="3156">
        <v>44262</v>
      </c>
      <c r="I315" s="3155">
        <f t="shared" ca="1" si="185"/>
        <v>16652</v>
      </c>
      <c r="J315" s="3156">
        <f t="shared" ca="1" si="186"/>
        <v>141</v>
      </c>
      <c r="K315" s="3177">
        <f t="shared" ref="K315" ca="1" si="211">J315</f>
        <v>141</v>
      </c>
      <c r="L315" s="3177"/>
      <c r="M315" s="3177"/>
      <c r="N315" s="3177"/>
      <c r="O315" s="3177"/>
    </row>
    <row r="316" spans="1:15">
      <c r="A316" s="3157" t="s">
        <v>4190</v>
      </c>
      <c r="B316" s="3329">
        <v>106</v>
      </c>
      <c r="C316" s="3096" t="s">
        <v>3209</v>
      </c>
      <c r="D316" s="3097" t="s">
        <v>3267</v>
      </c>
      <c r="E316" s="3097" t="s">
        <v>3285</v>
      </c>
      <c r="F316" s="3097">
        <v>135.41</v>
      </c>
      <c r="G316" s="3097">
        <v>6517841.1900000004</v>
      </c>
      <c r="H316" s="3156">
        <v>48134</v>
      </c>
      <c r="I316" s="3155">
        <f t="shared" ca="1" si="185"/>
        <v>54321</v>
      </c>
      <c r="J316" s="3156">
        <f t="shared" ca="1" si="186"/>
        <v>736</v>
      </c>
      <c r="K316" s="3177">
        <f t="shared" ref="K316" ca="1" si="212">J316+J317</f>
        <v>878</v>
      </c>
      <c r="L316" s="3177"/>
      <c r="M316" s="3177"/>
      <c r="N316" s="3177"/>
      <c r="O316" s="3177"/>
    </row>
    <row r="317" spans="1:15" ht="24">
      <c r="A317" s="3157" t="s">
        <v>4190</v>
      </c>
      <c r="B317" s="3329"/>
      <c r="C317" s="3096" t="s">
        <v>4180</v>
      </c>
      <c r="D317" s="3097" t="s">
        <v>3267</v>
      </c>
      <c r="E317" s="3097" t="s">
        <v>3286</v>
      </c>
      <c r="F317" s="3097">
        <v>85.31</v>
      </c>
      <c r="G317" s="3097">
        <v>2073133.67</v>
      </c>
      <c r="H317" s="3156">
        <v>24301</v>
      </c>
      <c r="I317" s="3155">
        <f t="shared" ca="1" si="185"/>
        <v>16652</v>
      </c>
      <c r="J317" s="3156">
        <f t="shared" ca="1" si="186"/>
        <v>142</v>
      </c>
      <c r="K317" s="3177"/>
      <c r="L317" s="3177"/>
      <c r="M317" s="3177"/>
      <c r="N317" s="3177"/>
      <c r="O317" s="3177"/>
    </row>
    <row r="318" spans="1:15">
      <c r="A318" s="3157" t="s">
        <v>4190</v>
      </c>
      <c r="B318" s="3329"/>
      <c r="C318" s="3096" t="s">
        <v>4180</v>
      </c>
      <c r="D318" s="3097" t="s">
        <v>3267</v>
      </c>
      <c r="E318" s="3097" t="s">
        <v>3287</v>
      </c>
      <c r="F318" s="3097">
        <v>84.58</v>
      </c>
      <c r="G318" s="3097">
        <v>3743696.88</v>
      </c>
      <c r="H318" s="3156">
        <v>44262</v>
      </c>
      <c r="I318" s="3155">
        <f t="shared" ca="1" si="185"/>
        <v>16652</v>
      </c>
      <c r="J318" s="3156">
        <f t="shared" ca="1" si="186"/>
        <v>141</v>
      </c>
      <c r="K318" s="3177">
        <f t="shared" ref="K318" ca="1" si="213">J318</f>
        <v>141</v>
      </c>
      <c r="L318" s="3177"/>
      <c r="M318" s="3177"/>
      <c r="N318" s="3177"/>
      <c r="O318" s="3177"/>
    </row>
    <row r="319" spans="1:15">
      <c r="A319" s="3157" t="s">
        <v>4190</v>
      </c>
      <c r="B319" s="3329">
        <v>107</v>
      </c>
      <c r="C319" s="3096" t="s">
        <v>3209</v>
      </c>
      <c r="D319" s="3097" t="s">
        <v>3292</v>
      </c>
      <c r="E319" s="3097" t="s">
        <v>3294</v>
      </c>
      <c r="F319" s="3097">
        <v>135.94</v>
      </c>
      <c r="G319" s="3097">
        <v>8014409.3099999996</v>
      </c>
      <c r="H319" s="3156">
        <v>58955</v>
      </c>
      <c r="I319" s="3155">
        <f t="shared" ca="1" si="185"/>
        <v>54321</v>
      </c>
      <c r="J319" s="3156">
        <f t="shared" ca="1" si="186"/>
        <v>738</v>
      </c>
      <c r="K319" s="3177">
        <f t="shared" ref="K319" ca="1" si="214">J319+J320</f>
        <v>881</v>
      </c>
      <c r="L319" s="3177"/>
      <c r="M319" s="3177"/>
      <c r="N319" s="3177"/>
      <c r="O319" s="3177"/>
    </row>
    <row r="320" spans="1:15" ht="24">
      <c r="A320" s="3157" t="s">
        <v>4190</v>
      </c>
      <c r="B320" s="3329"/>
      <c r="C320" s="3096" t="s">
        <v>4180</v>
      </c>
      <c r="D320" s="3097" t="s">
        <v>3292</v>
      </c>
      <c r="E320" s="3097" t="s">
        <v>3295</v>
      </c>
      <c r="F320" s="3097">
        <v>85.63</v>
      </c>
      <c r="G320" s="3097">
        <v>2548052.52</v>
      </c>
      <c r="H320" s="3156">
        <v>29757</v>
      </c>
      <c r="I320" s="3155">
        <f t="shared" ca="1" si="185"/>
        <v>16652</v>
      </c>
      <c r="J320" s="3156">
        <f t="shared" ca="1" si="186"/>
        <v>143</v>
      </c>
      <c r="K320" s="3177"/>
      <c r="L320" s="3177"/>
      <c r="M320" s="3177"/>
      <c r="N320" s="3177"/>
      <c r="O320" s="3177"/>
    </row>
    <row r="321" spans="1:15">
      <c r="A321" s="3157" t="s">
        <v>4190</v>
      </c>
      <c r="B321" s="3329"/>
      <c r="C321" s="3096" t="s">
        <v>4180</v>
      </c>
      <c r="D321" s="3097" t="s">
        <v>3292</v>
      </c>
      <c r="E321" s="3097" t="s">
        <v>3296</v>
      </c>
      <c r="F321" s="3097">
        <v>84.93</v>
      </c>
      <c r="G321" s="3097">
        <v>2537997.16</v>
      </c>
      <c r="H321" s="3156">
        <v>29883</v>
      </c>
      <c r="I321" s="3155">
        <f t="shared" ca="1" si="185"/>
        <v>16652</v>
      </c>
      <c r="J321" s="3156">
        <f t="shared" ca="1" si="186"/>
        <v>141</v>
      </c>
      <c r="K321" s="3177">
        <f t="shared" ref="K321" ca="1" si="215">J321</f>
        <v>141</v>
      </c>
      <c r="L321" s="3177"/>
      <c r="M321" s="3177"/>
      <c r="N321" s="3177"/>
      <c r="O321" s="3177"/>
    </row>
    <row r="322" spans="1:15">
      <c r="A322" s="3157" t="s">
        <v>4190</v>
      </c>
      <c r="B322" s="3329">
        <v>108</v>
      </c>
      <c r="C322" s="3096" t="s">
        <v>3209</v>
      </c>
      <c r="D322" s="3097" t="s">
        <v>3301</v>
      </c>
      <c r="E322" s="3097" t="s">
        <v>3303</v>
      </c>
      <c r="F322" s="3097">
        <v>142.36000000000001</v>
      </c>
      <c r="G322" s="3097">
        <v>8865172.8900000006</v>
      </c>
      <c r="H322" s="3156">
        <v>62273</v>
      </c>
      <c r="I322" s="3155">
        <f t="shared" ca="1" si="185"/>
        <v>54321</v>
      </c>
      <c r="J322" s="3156">
        <f t="shared" ca="1" si="186"/>
        <v>773</v>
      </c>
      <c r="K322" s="3177">
        <f t="shared" ref="K322" ca="1" si="216">J322+J323</f>
        <v>920</v>
      </c>
      <c r="L322" s="3177"/>
      <c r="M322" s="3177"/>
      <c r="N322" s="3177"/>
      <c r="O322" s="3177"/>
    </row>
    <row r="323" spans="1:15" ht="24">
      <c r="A323" s="3157" t="s">
        <v>4190</v>
      </c>
      <c r="B323" s="3329"/>
      <c r="C323" s="3096" t="s">
        <v>4180</v>
      </c>
      <c r="D323" s="3097" t="s">
        <v>3301</v>
      </c>
      <c r="E323" s="3097" t="s">
        <v>3304</v>
      </c>
      <c r="F323" s="3097">
        <v>88.36</v>
      </c>
      <c r="G323" s="3097">
        <v>2599390.38</v>
      </c>
      <c r="H323" s="3156">
        <v>29418</v>
      </c>
      <c r="I323" s="3155">
        <f t="shared" ca="1" si="185"/>
        <v>16652</v>
      </c>
      <c r="J323" s="3156">
        <f t="shared" ca="1" si="186"/>
        <v>147</v>
      </c>
      <c r="K323" s="3177"/>
      <c r="L323" s="3177"/>
      <c r="M323" s="3177"/>
      <c r="N323" s="3177"/>
      <c r="O323" s="3177"/>
    </row>
    <row r="324" spans="1:15">
      <c r="A324" s="3157" t="s">
        <v>4190</v>
      </c>
      <c r="B324" s="3329"/>
      <c r="C324" s="3096" t="s">
        <v>4180</v>
      </c>
      <c r="D324" s="3097" t="s">
        <v>3301</v>
      </c>
      <c r="E324" s="3097" t="s">
        <v>3305</v>
      </c>
      <c r="F324" s="3097">
        <v>85.26</v>
      </c>
      <c r="G324" s="3097">
        <v>2486645.41</v>
      </c>
      <c r="H324" s="3156">
        <v>29165</v>
      </c>
      <c r="I324" s="3155">
        <f t="shared" ca="1" si="185"/>
        <v>16652</v>
      </c>
      <c r="J324" s="3156">
        <f t="shared" ca="1" si="186"/>
        <v>142</v>
      </c>
      <c r="K324" s="3177">
        <f t="shared" ref="K324" ca="1" si="217">J324</f>
        <v>142</v>
      </c>
      <c r="L324" s="3177"/>
      <c r="M324" s="3177"/>
      <c r="N324" s="3177"/>
      <c r="O324" s="3177"/>
    </row>
    <row r="325" spans="1:15">
      <c r="A325" s="3157" t="s">
        <v>4190</v>
      </c>
      <c r="B325" s="3329">
        <v>109</v>
      </c>
      <c r="C325" s="3096" t="s">
        <v>3209</v>
      </c>
      <c r="D325" s="3097" t="s">
        <v>3310</v>
      </c>
      <c r="E325" s="3097" t="s">
        <v>3312</v>
      </c>
      <c r="F325" s="3097">
        <v>135.63</v>
      </c>
      <c r="G325" s="3097">
        <v>7942170</v>
      </c>
      <c r="H325" s="3156">
        <v>58558</v>
      </c>
      <c r="I325" s="3155">
        <f t="shared" ca="1" si="185"/>
        <v>54321</v>
      </c>
      <c r="J325" s="3156">
        <f t="shared" ca="1" si="186"/>
        <v>737</v>
      </c>
      <c r="K325" s="3177">
        <f t="shared" ref="K325" ca="1" si="218">J325+J326</f>
        <v>879</v>
      </c>
      <c r="L325" s="3177"/>
      <c r="M325" s="3177"/>
      <c r="N325" s="3177"/>
      <c r="O325" s="3177"/>
    </row>
    <row r="326" spans="1:15" ht="24">
      <c r="A326" s="3157" t="s">
        <v>4190</v>
      </c>
      <c r="B326" s="3329"/>
      <c r="C326" s="3096" t="s">
        <v>4180</v>
      </c>
      <c r="D326" s="3097" t="s">
        <v>3310</v>
      </c>
      <c r="E326" s="3097" t="s">
        <v>3313</v>
      </c>
      <c r="F326" s="3097">
        <v>85.44</v>
      </c>
      <c r="G326" s="3097">
        <v>2546879.25</v>
      </c>
      <c r="H326" s="3156">
        <v>29809</v>
      </c>
      <c r="I326" s="3155">
        <f t="shared" ca="1" si="185"/>
        <v>16652</v>
      </c>
      <c r="J326" s="3156">
        <f t="shared" ca="1" si="186"/>
        <v>142</v>
      </c>
      <c r="K326" s="3177"/>
      <c r="L326" s="3177"/>
      <c r="M326" s="3177"/>
      <c r="N326" s="3177"/>
      <c r="O326" s="3177"/>
    </row>
    <row r="327" spans="1:15">
      <c r="A327" s="3157" t="s">
        <v>4190</v>
      </c>
      <c r="B327" s="3329"/>
      <c r="C327" s="3096" t="s">
        <v>4180</v>
      </c>
      <c r="D327" s="3097" t="s">
        <v>3310</v>
      </c>
      <c r="E327" s="3097" t="s">
        <v>3314</v>
      </c>
      <c r="F327" s="3097">
        <v>84.64</v>
      </c>
      <c r="G327" s="3097">
        <v>2529291.2000000002</v>
      </c>
      <c r="H327" s="3156">
        <v>29883</v>
      </c>
      <c r="I327" s="3155">
        <f t="shared" ca="1" si="185"/>
        <v>16652</v>
      </c>
      <c r="J327" s="3156">
        <f t="shared" ca="1" si="186"/>
        <v>141</v>
      </c>
      <c r="K327" s="3177">
        <f t="shared" ref="K327" ca="1" si="219">J327</f>
        <v>141</v>
      </c>
      <c r="L327" s="3177"/>
      <c r="M327" s="3177"/>
      <c r="N327" s="3177"/>
      <c r="O327" s="3177"/>
    </row>
    <row r="328" spans="1:15">
      <c r="A328" s="3157" t="s">
        <v>4190</v>
      </c>
      <c r="B328" s="3329">
        <v>110</v>
      </c>
      <c r="C328" s="3096" t="s">
        <v>3209</v>
      </c>
      <c r="D328" s="3097" t="s">
        <v>3310</v>
      </c>
      <c r="E328" s="3097" t="s">
        <v>3320</v>
      </c>
      <c r="F328" s="3097">
        <v>135.63</v>
      </c>
      <c r="G328" s="3097">
        <v>8110861.1699999999</v>
      </c>
      <c r="H328" s="3156">
        <v>59801</v>
      </c>
      <c r="I328" s="3155">
        <f t="shared" ca="1" si="185"/>
        <v>54321</v>
      </c>
      <c r="J328" s="3156">
        <f t="shared" ca="1" si="186"/>
        <v>737</v>
      </c>
      <c r="K328" s="3177">
        <f t="shared" ref="K328" ca="1" si="220">J328+J329</f>
        <v>879</v>
      </c>
      <c r="L328" s="3177"/>
      <c r="M328" s="3177"/>
      <c r="N328" s="3177"/>
      <c r="O328" s="3177"/>
    </row>
    <row r="329" spans="1:15" ht="24">
      <c r="A329" s="3157" t="s">
        <v>4190</v>
      </c>
      <c r="B329" s="3329"/>
      <c r="C329" s="3096" t="s">
        <v>4180</v>
      </c>
      <c r="D329" s="3097" t="s">
        <v>3310</v>
      </c>
      <c r="E329" s="3097" t="s">
        <v>3321</v>
      </c>
      <c r="F329" s="3097">
        <v>85.44</v>
      </c>
      <c r="G329" s="3097">
        <v>2546879.25</v>
      </c>
      <c r="H329" s="3156">
        <v>29809</v>
      </c>
      <c r="I329" s="3155">
        <f t="shared" ca="1" si="185"/>
        <v>16652</v>
      </c>
      <c r="J329" s="3156">
        <f t="shared" ca="1" si="186"/>
        <v>142</v>
      </c>
      <c r="K329" s="3177"/>
      <c r="L329" s="3177"/>
      <c r="M329" s="3177"/>
      <c r="N329" s="3177"/>
      <c r="O329" s="3177"/>
    </row>
    <row r="330" spans="1:15">
      <c r="A330" s="3157" t="s">
        <v>4190</v>
      </c>
      <c r="B330" s="3329"/>
      <c r="C330" s="3096" t="s">
        <v>4180</v>
      </c>
      <c r="D330" s="3097" t="s">
        <v>3310</v>
      </c>
      <c r="E330" s="3097" t="s">
        <v>3322</v>
      </c>
      <c r="F330" s="3097">
        <v>84.64</v>
      </c>
      <c r="G330" s="3097">
        <v>2529291.2000000002</v>
      </c>
      <c r="H330" s="3156">
        <v>29883</v>
      </c>
      <c r="I330" s="3155">
        <f t="shared" ca="1" si="185"/>
        <v>16652</v>
      </c>
      <c r="J330" s="3156">
        <f t="shared" ca="1" si="186"/>
        <v>141</v>
      </c>
      <c r="K330" s="3177">
        <f t="shared" ref="K330" ca="1" si="221">J330</f>
        <v>141</v>
      </c>
      <c r="L330" s="3177"/>
      <c r="M330" s="3177"/>
      <c r="N330" s="3177"/>
      <c r="O330" s="3177"/>
    </row>
    <row r="331" spans="1:15">
      <c r="A331" s="3157" t="s">
        <v>4190</v>
      </c>
      <c r="B331" s="3329">
        <v>111</v>
      </c>
      <c r="C331" s="3096" t="s">
        <v>3209</v>
      </c>
      <c r="D331" s="3097" t="s">
        <v>3327</v>
      </c>
      <c r="E331" s="3097" t="s">
        <v>3329</v>
      </c>
      <c r="F331" s="3097">
        <v>135.36000000000001</v>
      </c>
      <c r="G331" s="3097">
        <v>8337043.04</v>
      </c>
      <c r="H331" s="3156">
        <v>61592</v>
      </c>
      <c r="I331" s="3155">
        <f t="shared" ca="1" si="185"/>
        <v>54321</v>
      </c>
      <c r="J331" s="3156">
        <f t="shared" ca="1" si="186"/>
        <v>735</v>
      </c>
      <c r="K331" s="3177">
        <f t="shared" ref="K331" ca="1" si="222">J331+J332</f>
        <v>877</v>
      </c>
      <c r="L331" s="3177"/>
      <c r="M331" s="3177"/>
      <c r="N331" s="3177"/>
      <c r="O331" s="3177"/>
    </row>
    <row r="332" spans="1:15" ht="24">
      <c r="A332" s="3157" t="s">
        <v>4190</v>
      </c>
      <c r="B332" s="3329"/>
      <c r="C332" s="3096" t="s">
        <v>4180</v>
      </c>
      <c r="D332" s="3097" t="s">
        <v>3327</v>
      </c>
      <c r="E332" s="3097" t="s">
        <v>3330</v>
      </c>
      <c r="F332" s="3097">
        <v>85.07</v>
      </c>
      <c r="G332" s="3097">
        <v>2535734.23</v>
      </c>
      <c r="H332" s="3156">
        <v>29808</v>
      </c>
      <c r="I332" s="3155">
        <f t="shared" ca="1" si="185"/>
        <v>16652</v>
      </c>
      <c r="J332" s="3156">
        <f t="shared" ca="1" si="186"/>
        <v>142</v>
      </c>
      <c r="K332" s="3177"/>
      <c r="L332" s="3177"/>
      <c r="M332" s="3177"/>
      <c r="N332" s="3177"/>
      <c r="O332" s="3177"/>
    </row>
    <row r="333" spans="1:15">
      <c r="A333" s="3157" t="s">
        <v>4190</v>
      </c>
      <c r="B333" s="3329"/>
      <c r="C333" s="3096" t="s">
        <v>4180</v>
      </c>
      <c r="D333" s="3097" t="s">
        <v>3327</v>
      </c>
      <c r="E333" s="3097" t="s">
        <v>3331</v>
      </c>
      <c r="F333" s="3097">
        <v>83.93</v>
      </c>
      <c r="G333" s="3097">
        <v>2507997.1</v>
      </c>
      <c r="H333" s="3156">
        <v>29882</v>
      </c>
      <c r="I333" s="3155">
        <f t="shared" ca="1" si="185"/>
        <v>16652</v>
      </c>
      <c r="J333" s="3156">
        <f t="shared" ca="1" si="186"/>
        <v>140</v>
      </c>
      <c r="K333" s="3177">
        <f t="shared" ref="K333" ca="1" si="223">J333</f>
        <v>140</v>
      </c>
      <c r="L333" s="3177"/>
      <c r="M333" s="3177"/>
      <c r="N333" s="3177"/>
      <c r="O333" s="3177"/>
    </row>
    <row r="334" spans="1:15">
      <c r="A334" s="3157" t="s">
        <v>4190</v>
      </c>
      <c r="B334" s="3329">
        <v>112</v>
      </c>
      <c r="C334" s="3096" t="s">
        <v>3209</v>
      </c>
      <c r="D334" s="3097" t="s">
        <v>3336</v>
      </c>
      <c r="E334" s="3097" t="s">
        <v>3338</v>
      </c>
      <c r="F334" s="3097">
        <v>135.16</v>
      </c>
      <c r="G334" s="3097">
        <v>7429387.0300000003</v>
      </c>
      <c r="H334" s="3156">
        <v>54967</v>
      </c>
      <c r="I334" s="3155">
        <f t="shared" ref="I334:I397" ca="1" si="224">IF(C334="大证住宅",$R$2,IF(C334="仓储",$R$3,$R$4))</f>
        <v>54321</v>
      </c>
      <c r="J334" s="3156">
        <f t="shared" ref="J334:J397" ca="1" si="225">ROUND(I334*F334/10000,0)</f>
        <v>734</v>
      </c>
      <c r="K334" s="3177">
        <f t="shared" ref="K334" ca="1" si="226">J334+J335</f>
        <v>876</v>
      </c>
      <c r="L334" s="3177"/>
      <c r="M334" s="3177"/>
      <c r="N334" s="3177"/>
      <c r="O334" s="3177"/>
    </row>
    <row r="335" spans="1:15" ht="24">
      <c r="A335" s="3157" t="s">
        <v>4190</v>
      </c>
      <c r="B335" s="3329"/>
      <c r="C335" s="3096" t="s">
        <v>4180</v>
      </c>
      <c r="D335" s="3097" t="s">
        <v>3336</v>
      </c>
      <c r="E335" s="3097" t="s">
        <v>3339</v>
      </c>
      <c r="F335" s="3097">
        <v>84.99</v>
      </c>
      <c r="G335" s="3097">
        <v>2533336.44</v>
      </c>
      <c r="H335" s="3156">
        <v>29807</v>
      </c>
      <c r="I335" s="3155">
        <f t="shared" ca="1" si="224"/>
        <v>16652</v>
      </c>
      <c r="J335" s="3156">
        <f t="shared" ca="1" si="225"/>
        <v>142</v>
      </c>
      <c r="K335" s="3177"/>
      <c r="L335" s="3177"/>
      <c r="M335" s="3177"/>
      <c r="N335" s="3177"/>
      <c r="O335" s="3177"/>
    </row>
    <row r="336" spans="1:15">
      <c r="A336" s="3157" t="s">
        <v>4190</v>
      </c>
      <c r="B336" s="3329"/>
      <c r="C336" s="3096" t="s">
        <v>4180</v>
      </c>
      <c r="D336" s="3097" t="s">
        <v>3336</v>
      </c>
      <c r="E336" s="3097" t="s">
        <v>3340</v>
      </c>
      <c r="F336" s="3097">
        <v>84.57</v>
      </c>
      <c r="G336" s="3097">
        <v>2530804.61</v>
      </c>
      <c r="H336" s="3156">
        <v>29926</v>
      </c>
      <c r="I336" s="3155">
        <f t="shared" ca="1" si="224"/>
        <v>16652</v>
      </c>
      <c r="J336" s="3156">
        <f t="shared" ca="1" si="225"/>
        <v>141</v>
      </c>
      <c r="K336" s="3177">
        <f t="shared" ref="K336" ca="1" si="227">J336</f>
        <v>141</v>
      </c>
      <c r="L336" s="3177"/>
      <c r="M336" s="3177"/>
      <c r="N336" s="3177"/>
      <c r="O336" s="3177"/>
    </row>
    <row r="337" spans="1:36">
      <c r="A337" s="3157" t="s">
        <v>4190</v>
      </c>
      <c r="B337" s="3329">
        <v>113</v>
      </c>
      <c r="C337" s="3096" t="s">
        <v>3209</v>
      </c>
      <c r="D337" s="3097" t="s">
        <v>3336</v>
      </c>
      <c r="E337" s="3097" t="s">
        <v>3346</v>
      </c>
      <c r="F337" s="3097">
        <v>135.16</v>
      </c>
      <c r="G337" s="3097">
        <v>7597543.6399999997</v>
      </c>
      <c r="H337" s="3156">
        <v>56211</v>
      </c>
      <c r="I337" s="3155">
        <f t="shared" ca="1" si="224"/>
        <v>54321</v>
      </c>
      <c r="J337" s="3156">
        <f t="shared" ca="1" si="225"/>
        <v>734</v>
      </c>
      <c r="K337" s="3177">
        <f t="shared" ref="K337" ca="1" si="228">J337+J338</f>
        <v>876</v>
      </c>
      <c r="L337" s="3177"/>
      <c r="M337" s="3177"/>
      <c r="N337" s="3177"/>
      <c r="O337" s="3177"/>
    </row>
    <row r="338" spans="1:36" ht="24">
      <c r="A338" s="3157" t="s">
        <v>4190</v>
      </c>
      <c r="B338" s="3329"/>
      <c r="C338" s="3096" t="s">
        <v>4180</v>
      </c>
      <c r="D338" s="3097" t="s">
        <v>3336</v>
      </c>
      <c r="E338" s="3097" t="s">
        <v>3347</v>
      </c>
      <c r="F338" s="3097">
        <v>84.99</v>
      </c>
      <c r="G338" s="3097">
        <v>2533336.44</v>
      </c>
      <c r="H338" s="3156">
        <v>29807</v>
      </c>
      <c r="I338" s="3155">
        <f t="shared" ca="1" si="224"/>
        <v>16652</v>
      </c>
      <c r="J338" s="3156">
        <f t="shared" ca="1" si="225"/>
        <v>142</v>
      </c>
      <c r="K338" s="3177"/>
      <c r="L338" s="3177"/>
      <c r="M338" s="3177"/>
      <c r="N338" s="3177"/>
      <c r="O338" s="3177"/>
    </row>
    <row r="339" spans="1:36">
      <c r="A339" s="3157" t="s">
        <v>4190</v>
      </c>
      <c r="B339" s="3329"/>
      <c r="C339" s="3096" t="s">
        <v>4180</v>
      </c>
      <c r="D339" s="3097" t="s">
        <v>3336</v>
      </c>
      <c r="E339" s="3097" t="s">
        <v>3348</v>
      </c>
      <c r="F339" s="3097">
        <v>84.57</v>
      </c>
      <c r="G339" s="3097">
        <v>2530804.61</v>
      </c>
      <c r="H339" s="3156">
        <v>29926</v>
      </c>
      <c r="I339" s="3155">
        <f t="shared" ca="1" si="224"/>
        <v>16652</v>
      </c>
      <c r="J339" s="3156">
        <f t="shared" ca="1" si="225"/>
        <v>141</v>
      </c>
      <c r="K339" s="3177">
        <f t="shared" ref="K339" ca="1" si="229">J339</f>
        <v>141</v>
      </c>
      <c r="L339" s="3177"/>
      <c r="M339" s="3177"/>
      <c r="N339" s="3177"/>
      <c r="O339" s="3177"/>
    </row>
    <row r="340" spans="1:36">
      <c r="A340" s="3157" t="s">
        <v>4190</v>
      </c>
      <c r="B340" s="3329">
        <v>114</v>
      </c>
      <c r="C340" s="3096" t="s">
        <v>3209</v>
      </c>
      <c r="D340" s="3097" t="s">
        <v>3336</v>
      </c>
      <c r="E340" s="3097" t="s">
        <v>3354</v>
      </c>
      <c r="F340" s="3097">
        <v>135.36000000000001</v>
      </c>
      <c r="G340" s="3097">
        <v>7993041.8399999999</v>
      </c>
      <c r="H340" s="3156">
        <v>59050</v>
      </c>
      <c r="I340" s="3155">
        <f t="shared" ca="1" si="224"/>
        <v>54321</v>
      </c>
      <c r="J340" s="3156">
        <f t="shared" ca="1" si="225"/>
        <v>735</v>
      </c>
      <c r="K340" s="3177">
        <f t="shared" ref="K340" ca="1" si="230">J340+J341</f>
        <v>877</v>
      </c>
      <c r="L340" s="3177"/>
      <c r="M340" s="3177"/>
      <c r="N340" s="3177"/>
      <c r="O340" s="3177"/>
    </row>
    <row r="341" spans="1:36" ht="24">
      <c r="A341" s="3157" t="s">
        <v>4190</v>
      </c>
      <c r="B341" s="3329"/>
      <c r="C341" s="3096" t="s">
        <v>4180</v>
      </c>
      <c r="D341" s="3097" t="s">
        <v>3336</v>
      </c>
      <c r="E341" s="3097" t="s">
        <v>3355</v>
      </c>
      <c r="F341" s="3097">
        <v>85.26</v>
      </c>
      <c r="G341" s="3097">
        <v>2541445.4300000002</v>
      </c>
      <c r="H341" s="3156">
        <v>29808</v>
      </c>
      <c r="I341" s="3155">
        <f t="shared" ca="1" si="224"/>
        <v>16652</v>
      </c>
      <c r="J341" s="3156">
        <f t="shared" ca="1" si="225"/>
        <v>142</v>
      </c>
      <c r="K341" s="3177"/>
      <c r="L341" s="3177"/>
      <c r="M341" s="3177"/>
      <c r="N341" s="3177"/>
      <c r="O341" s="3177"/>
    </row>
    <row r="342" spans="1:36">
      <c r="A342" s="3157" t="s">
        <v>4190</v>
      </c>
      <c r="B342" s="3329"/>
      <c r="C342" s="3096" t="s">
        <v>4180</v>
      </c>
      <c r="D342" s="3097" t="s">
        <v>3336</v>
      </c>
      <c r="E342" s="3097" t="s">
        <v>3356</v>
      </c>
      <c r="F342" s="3097">
        <v>84.57</v>
      </c>
      <c r="G342" s="3097">
        <v>2530804.61</v>
      </c>
      <c r="H342" s="3156">
        <v>29926</v>
      </c>
      <c r="I342" s="3155">
        <f t="shared" ca="1" si="224"/>
        <v>16652</v>
      </c>
      <c r="J342" s="3156">
        <f t="shared" ca="1" si="225"/>
        <v>141</v>
      </c>
      <c r="K342" s="3177">
        <f t="shared" ref="K342" ca="1" si="231">J342</f>
        <v>141</v>
      </c>
      <c r="L342" s="3177"/>
      <c r="M342" s="3177"/>
      <c r="N342" s="3177"/>
      <c r="O342" s="3177"/>
    </row>
    <row r="343" spans="1:36">
      <c r="A343" s="3157" t="s">
        <v>4190</v>
      </c>
      <c r="B343" s="3329">
        <v>115</v>
      </c>
      <c r="C343" s="3096" t="s">
        <v>3209</v>
      </c>
      <c r="D343" s="3097" t="s">
        <v>3361</v>
      </c>
      <c r="E343" s="3097" t="s">
        <v>3363</v>
      </c>
      <c r="F343" s="3097">
        <v>135.18</v>
      </c>
      <c r="G343" s="3097">
        <v>7430462.04</v>
      </c>
      <c r="H343" s="3156">
        <v>54967</v>
      </c>
      <c r="I343" s="3155">
        <f t="shared" ca="1" si="224"/>
        <v>54321</v>
      </c>
      <c r="J343" s="3156">
        <f t="shared" ca="1" si="225"/>
        <v>734</v>
      </c>
      <c r="K343" s="3177">
        <f t="shared" ref="K343" ca="1" si="232">J343+J344</f>
        <v>876</v>
      </c>
      <c r="L343" s="3177"/>
      <c r="M343" s="3177"/>
      <c r="N343" s="3177"/>
      <c r="O343" s="3177"/>
      <c r="AE343" s="3120"/>
      <c r="AF343" s="3120"/>
      <c r="AG343" s="3120"/>
      <c r="AH343" s="3120"/>
      <c r="AI343" s="3120"/>
      <c r="AJ343" s="3120"/>
    </row>
    <row r="344" spans="1:36" ht="24">
      <c r="A344" s="3157" t="s">
        <v>4190</v>
      </c>
      <c r="B344" s="3329"/>
      <c r="C344" s="3096" t="s">
        <v>4180</v>
      </c>
      <c r="D344" s="3097" t="s">
        <v>3361</v>
      </c>
      <c r="E344" s="3097" t="s">
        <v>3364</v>
      </c>
      <c r="F344" s="3097">
        <v>85</v>
      </c>
      <c r="G344" s="3097">
        <v>2533644.2999999998</v>
      </c>
      <c r="H344" s="3156">
        <v>29808</v>
      </c>
      <c r="I344" s="3155">
        <f t="shared" ca="1" si="224"/>
        <v>16652</v>
      </c>
      <c r="J344" s="3156">
        <f t="shared" ca="1" si="225"/>
        <v>142</v>
      </c>
      <c r="K344" s="3177"/>
      <c r="L344" s="3177"/>
      <c r="M344" s="3177"/>
      <c r="N344" s="3177"/>
      <c r="O344" s="3177"/>
    </row>
    <row r="345" spans="1:36">
      <c r="A345" s="3157" t="s">
        <v>4190</v>
      </c>
      <c r="B345" s="3329"/>
      <c r="C345" s="3096" t="s">
        <v>4180</v>
      </c>
      <c r="D345" s="3097" t="s">
        <v>3361</v>
      </c>
      <c r="E345" s="3097" t="s">
        <v>3365</v>
      </c>
      <c r="F345" s="3097">
        <v>84.57</v>
      </c>
      <c r="G345" s="3097">
        <v>2530804.61</v>
      </c>
      <c r="H345" s="3156">
        <v>29926</v>
      </c>
      <c r="I345" s="3155">
        <f t="shared" ca="1" si="224"/>
        <v>16652</v>
      </c>
      <c r="J345" s="3156">
        <f t="shared" ca="1" si="225"/>
        <v>141</v>
      </c>
      <c r="K345" s="3177">
        <f t="shared" ref="K345" ca="1" si="233">J345</f>
        <v>141</v>
      </c>
      <c r="L345" s="3177"/>
      <c r="M345" s="3177"/>
      <c r="N345" s="3177"/>
      <c r="O345" s="3177"/>
    </row>
    <row r="346" spans="1:36">
      <c r="A346" s="3157" t="s">
        <v>4190</v>
      </c>
      <c r="B346" s="3329">
        <v>116</v>
      </c>
      <c r="C346" s="3096" t="s">
        <v>3209</v>
      </c>
      <c r="D346" s="3097" t="s">
        <v>3361</v>
      </c>
      <c r="E346" s="3097" t="s">
        <v>3371</v>
      </c>
      <c r="F346" s="3097">
        <v>135.37</v>
      </c>
      <c r="G346" s="3097">
        <v>7994217.1399999997</v>
      </c>
      <c r="H346" s="3156">
        <v>59055</v>
      </c>
      <c r="I346" s="3155">
        <f t="shared" ca="1" si="224"/>
        <v>54321</v>
      </c>
      <c r="J346" s="3156">
        <f t="shared" ca="1" si="225"/>
        <v>735</v>
      </c>
      <c r="K346" s="3177">
        <f t="shared" ref="K346" ca="1" si="234">J346+J347</f>
        <v>877</v>
      </c>
      <c r="L346" s="3177"/>
      <c r="M346" s="3177"/>
      <c r="N346" s="3177"/>
      <c r="O346" s="3177"/>
    </row>
    <row r="347" spans="1:36" ht="24">
      <c r="A347" s="3157" t="s">
        <v>4190</v>
      </c>
      <c r="B347" s="3329"/>
      <c r="C347" s="3096" t="s">
        <v>4180</v>
      </c>
      <c r="D347" s="3097" t="s">
        <v>3361</v>
      </c>
      <c r="E347" s="3097" t="s">
        <v>3372</v>
      </c>
      <c r="F347" s="3097">
        <v>85.28</v>
      </c>
      <c r="G347" s="3097">
        <v>2541754.2000000002</v>
      </c>
      <c r="H347" s="3156">
        <v>29805</v>
      </c>
      <c r="I347" s="3155">
        <f t="shared" ca="1" si="224"/>
        <v>16652</v>
      </c>
      <c r="J347" s="3156">
        <f t="shared" ca="1" si="225"/>
        <v>142</v>
      </c>
      <c r="K347" s="3177"/>
      <c r="L347" s="3177"/>
      <c r="M347" s="3177"/>
      <c r="N347" s="3177"/>
      <c r="O347" s="3177"/>
    </row>
    <row r="348" spans="1:36">
      <c r="A348" s="3157" t="s">
        <v>4190</v>
      </c>
      <c r="B348" s="3329"/>
      <c r="C348" s="3096" t="s">
        <v>4180</v>
      </c>
      <c r="D348" s="3097" t="s">
        <v>3361</v>
      </c>
      <c r="E348" s="3097" t="s">
        <v>3373</v>
      </c>
      <c r="F348" s="3097">
        <v>84.57</v>
      </c>
      <c r="G348" s="3097">
        <v>2530804.61</v>
      </c>
      <c r="H348" s="3156">
        <v>29926</v>
      </c>
      <c r="I348" s="3155">
        <f t="shared" ca="1" si="224"/>
        <v>16652</v>
      </c>
      <c r="J348" s="3156">
        <f t="shared" ca="1" si="225"/>
        <v>141</v>
      </c>
      <c r="K348" s="3177">
        <f t="shared" ref="K348" ca="1" si="235">J348</f>
        <v>141</v>
      </c>
      <c r="L348" s="3177"/>
      <c r="M348" s="3177"/>
      <c r="N348" s="3177"/>
      <c r="O348" s="3177"/>
    </row>
    <row r="349" spans="1:36">
      <c r="A349" s="3157" t="s">
        <v>4190</v>
      </c>
      <c r="B349" s="3329">
        <v>117</v>
      </c>
      <c r="C349" s="3096" t="s">
        <v>3209</v>
      </c>
      <c r="D349" s="3097" t="s">
        <v>3378</v>
      </c>
      <c r="E349" s="3097" t="s">
        <v>3380</v>
      </c>
      <c r="F349" s="3097">
        <v>135.69999999999999</v>
      </c>
      <c r="G349" s="3097">
        <v>8115664.7000000002</v>
      </c>
      <c r="H349" s="3156">
        <v>59806</v>
      </c>
      <c r="I349" s="3155">
        <f t="shared" ca="1" si="224"/>
        <v>54321</v>
      </c>
      <c r="J349" s="3156">
        <f t="shared" ca="1" si="225"/>
        <v>737</v>
      </c>
      <c r="K349" s="3177">
        <f t="shared" ref="K349" ca="1" si="236">J349+J350</f>
        <v>879</v>
      </c>
      <c r="L349" s="3177"/>
      <c r="M349" s="3177"/>
      <c r="N349" s="3177"/>
      <c r="O349" s="3177"/>
    </row>
    <row r="350" spans="1:36" ht="24">
      <c r="A350" s="3157" t="s">
        <v>4190</v>
      </c>
      <c r="B350" s="3329"/>
      <c r="C350" s="3096" t="s">
        <v>4180</v>
      </c>
      <c r="D350" s="3097" t="s">
        <v>3378</v>
      </c>
      <c r="E350" s="3097" t="s">
        <v>3381</v>
      </c>
      <c r="F350" s="3097">
        <v>85.49</v>
      </c>
      <c r="G350" s="3097">
        <v>2548361.15</v>
      </c>
      <c r="H350" s="3156">
        <v>29809</v>
      </c>
      <c r="I350" s="3155">
        <f t="shared" ca="1" si="224"/>
        <v>16652</v>
      </c>
      <c r="J350" s="3156">
        <f t="shared" ca="1" si="225"/>
        <v>142</v>
      </c>
      <c r="K350" s="3177"/>
      <c r="L350" s="3177"/>
      <c r="M350" s="3177"/>
      <c r="N350" s="3177"/>
      <c r="O350" s="3177"/>
    </row>
    <row r="351" spans="1:36">
      <c r="A351" s="3157" t="s">
        <v>4190</v>
      </c>
      <c r="B351" s="3329"/>
      <c r="C351" s="3096" t="s">
        <v>4180</v>
      </c>
      <c r="D351" s="3097" t="s">
        <v>3378</v>
      </c>
      <c r="E351" s="3097" t="s">
        <v>3382</v>
      </c>
      <c r="F351" s="3097">
        <v>84.65</v>
      </c>
      <c r="G351" s="3097">
        <v>2529608.65</v>
      </c>
      <c r="H351" s="3156">
        <v>29883</v>
      </c>
      <c r="I351" s="3155">
        <f t="shared" ca="1" si="224"/>
        <v>16652</v>
      </c>
      <c r="J351" s="3156">
        <f t="shared" ca="1" si="225"/>
        <v>141</v>
      </c>
      <c r="K351" s="3177">
        <f t="shared" ref="K351" ca="1" si="237">J351</f>
        <v>141</v>
      </c>
      <c r="L351" s="3177"/>
      <c r="M351" s="3177"/>
      <c r="N351" s="3177"/>
      <c r="O351" s="3177"/>
    </row>
    <row r="352" spans="1:36" s="3120" customFormat="1">
      <c r="A352" s="3330" t="s">
        <v>4456</v>
      </c>
      <c r="B352" s="3330"/>
      <c r="C352" s="3331"/>
      <c r="D352" s="3331"/>
      <c r="E352" s="3331"/>
      <c r="F352" s="3119">
        <f>SUM(F295:F351)</f>
        <v>5810.2999999999975</v>
      </c>
      <c r="G352" s="3119"/>
      <c r="H352" s="3119"/>
      <c r="I352" s="3084"/>
      <c r="J352" s="3119">
        <f ca="1">SUM(J295:J351)</f>
        <v>19397</v>
      </c>
      <c r="K352" s="3201">
        <f ca="1">SUM(K295:K351)</f>
        <v>19397</v>
      </c>
      <c r="L352" s="3178"/>
      <c r="M352" s="3178"/>
      <c r="N352" s="3178"/>
      <c r="O352" s="3178"/>
      <c r="X352" s="1405"/>
      <c r="Y352" s="1405"/>
      <c r="Z352" s="1405"/>
      <c r="AA352" s="1405"/>
      <c r="AE352" s="1405"/>
      <c r="AF352" s="1405"/>
      <c r="AG352" s="1405"/>
      <c r="AH352" s="1405"/>
      <c r="AI352" s="1405"/>
      <c r="AJ352" s="1405"/>
    </row>
    <row r="353" spans="1:27">
      <c r="A353" s="3157" t="s">
        <v>4190</v>
      </c>
      <c r="B353" s="3157">
        <v>1</v>
      </c>
      <c r="C353" s="3096" t="s">
        <v>3218</v>
      </c>
      <c r="D353" s="3097" t="s">
        <v>3219</v>
      </c>
      <c r="E353" s="3097" t="s">
        <v>3221</v>
      </c>
      <c r="F353" s="3097">
        <v>45.64</v>
      </c>
      <c r="G353" s="3097">
        <v>420000.27</v>
      </c>
      <c r="H353" s="3156">
        <v>9202</v>
      </c>
      <c r="I353" s="3155">
        <f t="shared" ca="1" si="224"/>
        <v>7223</v>
      </c>
      <c r="J353" s="3156">
        <f t="shared" ca="1" si="225"/>
        <v>33</v>
      </c>
      <c r="K353" s="3177"/>
      <c r="L353" s="3177"/>
      <c r="M353" s="3177"/>
      <c r="N353" s="3177"/>
      <c r="O353" s="3177"/>
      <c r="X353" s="3120"/>
      <c r="Y353" s="3120"/>
      <c r="Z353" s="3120"/>
      <c r="AA353" s="3120"/>
    </row>
    <row r="354" spans="1:27">
      <c r="A354" s="3157" t="s">
        <v>4190</v>
      </c>
      <c r="B354" s="3157">
        <v>2</v>
      </c>
      <c r="C354" s="3096" t="s">
        <v>3218</v>
      </c>
      <c r="D354" s="3097" t="s">
        <v>3219</v>
      </c>
      <c r="E354" s="3097" t="s">
        <v>3223</v>
      </c>
      <c r="F354" s="3097">
        <v>45.64</v>
      </c>
      <c r="G354" s="3097">
        <v>420000.27</v>
      </c>
      <c r="H354" s="3156">
        <v>9202</v>
      </c>
      <c r="I354" s="3155">
        <f t="shared" ca="1" si="224"/>
        <v>7223</v>
      </c>
      <c r="J354" s="3156">
        <f t="shared" ca="1" si="225"/>
        <v>33</v>
      </c>
      <c r="K354" s="3177"/>
      <c r="L354" s="3177"/>
      <c r="M354" s="3177"/>
      <c r="N354" s="3177"/>
      <c r="O354" s="3177"/>
    </row>
    <row r="355" spans="1:27">
      <c r="A355" s="3157" t="s">
        <v>4190</v>
      </c>
      <c r="B355" s="3157">
        <v>3</v>
      </c>
      <c r="C355" s="3096" t="s">
        <v>3218</v>
      </c>
      <c r="D355" s="3097" t="s">
        <v>3219</v>
      </c>
      <c r="E355" s="3097" t="s">
        <v>3232</v>
      </c>
      <c r="F355" s="3097">
        <v>45.64</v>
      </c>
      <c r="G355" s="3097">
        <v>420000.27</v>
      </c>
      <c r="H355" s="3156">
        <v>9202</v>
      </c>
      <c r="I355" s="3155">
        <f t="shared" ca="1" si="224"/>
        <v>7223</v>
      </c>
      <c r="J355" s="3156">
        <f t="shared" ca="1" si="225"/>
        <v>33</v>
      </c>
      <c r="K355" s="3177"/>
      <c r="L355" s="3177"/>
      <c r="M355" s="3177"/>
      <c r="N355" s="3177"/>
      <c r="O355" s="3177"/>
    </row>
    <row r="356" spans="1:27">
      <c r="A356" s="3157" t="s">
        <v>4190</v>
      </c>
      <c r="B356" s="3157">
        <v>4</v>
      </c>
      <c r="C356" s="3096" t="s">
        <v>3218</v>
      </c>
      <c r="D356" s="3097" t="s">
        <v>3219</v>
      </c>
      <c r="E356" s="3097" t="s">
        <v>3234</v>
      </c>
      <c r="F356" s="3097">
        <v>45.64</v>
      </c>
      <c r="G356" s="3097">
        <v>420000.27</v>
      </c>
      <c r="H356" s="3156">
        <v>9202</v>
      </c>
      <c r="I356" s="3155">
        <f t="shared" ca="1" si="224"/>
        <v>7223</v>
      </c>
      <c r="J356" s="3156">
        <f t="shared" ca="1" si="225"/>
        <v>33</v>
      </c>
      <c r="K356" s="3177"/>
      <c r="L356" s="3177"/>
      <c r="M356" s="3177"/>
      <c r="N356" s="3177"/>
      <c r="O356" s="3177"/>
    </row>
    <row r="357" spans="1:27">
      <c r="A357" s="3157" t="s">
        <v>4190</v>
      </c>
      <c r="B357" s="3157">
        <v>5</v>
      </c>
      <c r="C357" s="3096" t="s">
        <v>3218</v>
      </c>
      <c r="D357" s="3097" t="s">
        <v>3219</v>
      </c>
      <c r="E357" s="3097" t="s">
        <v>3243</v>
      </c>
      <c r="F357" s="3097">
        <v>45.64</v>
      </c>
      <c r="G357" s="3097">
        <v>420000.27</v>
      </c>
      <c r="H357" s="3156">
        <v>9202</v>
      </c>
      <c r="I357" s="3155">
        <f t="shared" ca="1" si="224"/>
        <v>7223</v>
      </c>
      <c r="J357" s="3156">
        <f t="shared" ca="1" si="225"/>
        <v>33</v>
      </c>
      <c r="K357" s="3177"/>
      <c r="L357" s="3177"/>
      <c r="M357" s="3177"/>
      <c r="N357" s="3177"/>
      <c r="O357" s="3177"/>
    </row>
    <row r="358" spans="1:27">
      <c r="A358" s="3157" t="s">
        <v>4190</v>
      </c>
      <c r="B358" s="3157">
        <v>6</v>
      </c>
      <c r="C358" s="3096" t="s">
        <v>3218</v>
      </c>
      <c r="D358" s="3097" t="s">
        <v>3219</v>
      </c>
      <c r="E358" s="3097" t="s">
        <v>3245</v>
      </c>
      <c r="F358" s="3097">
        <v>45.64</v>
      </c>
      <c r="G358" s="3097">
        <v>420000.27</v>
      </c>
      <c r="H358" s="3156">
        <v>9202</v>
      </c>
      <c r="I358" s="3155">
        <f t="shared" ca="1" si="224"/>
        <v>7223</v>
      </c>
      <c r="J358" s="3156">
        <f t="shared" ca="1" si="225"/>
        <v>33</v>
      </c>
      <c r="K358" s="3177"/>
      <c r="L358" s="3177"/>
      <c r="M358" s="3177"/>
      <c r="N358" s="3177"/>
      <c r="O358" s="3177"/>
    </row>
    <row r="359" spans="1:27">
      <c r="A359" s="3157" t="s">
        <v>4190</v>
      </c>
      <c r="B359" s="3157">
        <v>7</v>
      </c>
      <c r="C359" s="3096" t="s">
        <v>3218</v>
      </c>
      <c r="D359" s="3097" t="s">
        <v>3219</v>
      </c>
      <c r="E359" s="3097" t="s">
        <v>3255</v>
      </c>
      <c r="F359" s="3097">
        <v>45.64</v>
      </c>
      <c r="G359" s="3097">
        <v>420000.27</v>
      </c>
      <c r="H359" s="3156">
        <v>9202</v>
      </c>
      <c r="I359" s="3155">
        <f t="shared" ca="1" si="224"/>
        <v>7223</v>
      </c>
      <c r="J359" s="3156">
        <f t="shared" ca="1" si="225"/>
        <v>33</v>
      </c>
      <c r="K359" s="3177"/>
      <c r="L359" s="3177"/>
      <c r="M359" s="3177"/>
      <c r="N359" s="3177"/>
      <c r="O359" s="3177"/>
    </row>
    <row r="360" spans="1:27">
      <c r="A360" s="3157" t="s">
        <v>4190</v>
      </c>
      <c r="B360" s="3157">
        <v>8</v>
      </c>
      <c r="C360" s="3096" t="s">
        <v>3218</v>
      </c>
      <c r="D360" s="3097" t="s">
        <v>3219</v>
      </c>
      <c r="E360" s="3097" t="s">
        <v>3257</v>
      </c>
      <c r="F360" s="3097">
        <v>45.64</v>
      </c>
      <c r="G360" s="3097">
        <v>420000.27</v>
      </c>
      <c r="H360" s="3156">
        <v>9202</v>
      </c>
      <c r="I360" s="3155">
        <f t="shared" ca="1" si="224"/>
        <v>7223</v>
      </c>
      <c r="J360" s="3156">
        <f t="shared" ca="1" si="225"/>
        <v>33</v>
      </c>
      <c r="K360" s="3177"/>
      <c r="L360" s="3177"/>
      <c r="M360" s="3177"/>
      <c r="N360" s="3177"/>
      <c r="O360" s="3177"/>
    </row>
    <row r="361" spans="1:27">
      <c r="A361" s="3157" t="s">
        <v>4190</v>
      </c>
      <c r="B361" s="3157">
        <v>9</v>
      </c>
      <c r="C361" s="3096" t="s">
        <v>3218</v>
      </c>
      <c r="D361" s="3097" t="s">
        <v>3219</v>
      </c>
      <c r="E361" s="3097" t="s">
        <v>3264</v>
      </c>
      <c r="F361" s="3097">
        <v>45.64</v>
      </c>
      <c r="G361" s="3097">
        <v>420000.27</v>
      </c>
      <c r="H361" s="3156">
        <v>9202</v>
      </c>
      <c r="I361" s="3155">
        <f t="shared" ca="1" si="224"/>
        <v>7223</v>
      </c>
      <c r="J361" s="3156">
        <f t="shared" ca="1" si="225"/>
        <v>33</v>
      </c>
      <c r="K361" s="3177"/>
      <c r="L361" s="3177"/>
      <c r="M361" s="3177"/>
      <c r="N361" s="3177"/>
      <c r="O361" s="3177"/>
    </row>
    <row r="362" spans="1:27">
      <c r="A362" s="3157" t="s">
        <v>4190</v>
      </c>
      <c r="B362" s="3157">
        <v>10</v>
      </c>
      <c r="C362" s="3096" t="s">
        <v>3218</v>
      </c>
      <c r="D362" s="3097" t="s">
        <v>3219</v>
      </c>
      <c r="E362" s="3097" t="s">
        <v>3266</v>
      </c>
      <c r="F362" s="3097">
        <v>45.64</v>
      </c>
      <c r="G362" s="3097">
        <v>420000.27</v>
      </c>
      <c r="H362" s="3156">
        <v>9202</v>
      </c>
      <c r="I362" s="3155">
        <f t="shared" ca="1" si="224"/>
        <v>7223</v>
      </c>
      <c r="J362" s="3156">
        <f t="shared" ca="1" si="225"/>
        <v>33</v>
      </c>
      <c r="K362" s="3177"/>
      <c r="L362" s="3177"/>
      <c r="M362" s="3177"/>
      <c r="N362" s="3177"/>
      <c r="O362" s="3177"/>
    </row>
    <row r="363" spans="1:27">
      <c r="A363" s="3157" t="s">
        <v>4190</v>
      </c>
      <c r="B363" s="3157">
        <v>11</v>
      </c>
      <c r="C363" s="3096" t="s">
        <v>3218</v>
      </c>
      <c r="D363" s="3097" t="s">
        <v>3219</v>
      </c>
      <c r="E363" s="3097" t="s">
        <v>3273</v>
      </c>
      <c r="F363" s="3097">
        <v>45.64</v>
      </c>
      <c r="G363" s="3097">
        <v>420000.27</v>
      </c>
      <c r="H363" s="3156">
        <v>9202</v>
      </c>
      <c r="I363" s="3155">
        <f t="shared" ca="1" si="224"/>
        <v>7223</v>
      </c>
      <c r="J363" s="3156">
        <f t="shared" ca="1" si="225"/>
        <v>33</v>
      </c>
      <c r="K363" s="3177"/>
      <c r="L363" s="3177"/>
      <c r="M363" s="3177"/>
      <c r="N363" s="3177"/>
      <c r="O363" s="3177"/>
    </row>
    <row r="364" spans="1:27">
      <c r="A364" s="3157" t="s">
        <v>4190</v>
      </c>
      <c r="B364" s="3157">
        <v>12</v>
      </c>
      <c r="C364" s="3096" t="s">
        <v>3218</v>
      </c>
      <c r="D364" s="3097" t="s">
        <v>3219</v>
      </c>
      <c r="E364" s="3097" t="s">
        <v>3275</v>
      </c>
      <c r="F364" s="3097">
        <v>45.64</v>
      </c>
      <c r="G364" s="3097">
        <v>420000.27</v>
      </c>
      <c r="H364" s="3156">
        <v>9202</v>
      </c>
      <c r="I364" s="3155">
        <f t="shared" ca="1" si="224"/>
        <v>7223</v>
      </c>
      <c r="J364" s="3156">
        <f t="shared" ca="1" si="225"/>
        <v>33</v>
      </c>
      <c r="K364" s="3177"/>
      <c r="L364" s="3177"/>
      <c r="M364" s="3177"/>
      <c r="N364" s="3177"/>
      <c r="O364" s="3177"/>
    </row>
    <row r="365" spans="1:27">
      <c r="A365" s="3157" t="s">
        <v>4190</v>
      </c>
      <c r="B365" s="3157">
        <v>13</v>
      </c>
      <c r="C365" s="3096" t="s">
        <v>3218</v>
      </c>
      <c r="D365" s="3097" t="s">
        <v>3219</v>
      </c>
      <c r="E365" s="3097" t="s">
        <v>3281</v>
      </c>
      <c r="F365" s="3097">
        <v>45.64</v>
      </c>
      <c r="G365" s="3097">
        <v>420000.27</v>
      </c>
      <c r="H365" s="3156">
        <v>9202</v>
      </c>
      <c r="I365" s="3155">
        <f t="shared" ca="1" si="224"/>
        <v>7223</v>
      </c>
      <c r="J365" s="3156">
        <f t="shared" ca="1" si="225"/>
        <v>33</v>
      </c>
      <c r="K365" s="3177"/>
      <c r="L365" s="3177"/>
      <c r="M365" s="3177"/>
      <c r="N365" s="3177"/>
      <c r="O365" s="3177"/>
    </row>
    <row r="366" spans="1:27">
      <c r="A366" s="3157" t="s">
        <v>4190</v>
      </c>
      <c r="B366" s="3157">
        <v>14</v>
      </c>
      <c r="C366" s="3096" t="s">
        <v>3218</v>
      </c>
      <c r="D366" s="3097" t="s">
        <v>3219</v>
      </c>
      <c r="E366" s="3097" t="s">
        <v>3283</v>
      </c>
      <c r="F366" s="3097">
        <v>45.64</v>
      </c>
      <c r="G366" s="3097">
        <v>420000.27</v>
      </c>
      <c r="H366" s="3156">
        <v>9202</v>
      </c>
      <c r="I366" s="3155">
        <f t="shared" ca="1" si="224"/>
        <v>7223</v>
      </c>
      <c r="J366" s="3156">
        <f t="shared" ca="1" si="225"/>
        <v>33</v>
      </c>
      <c r="K366" s="3177"/>
      <c r="L366" s="3177"/>
      <c r="M366" s="3177"/>
      <c r="N366" s="3177"/>
      <c r="O366" s="3177"/>
    </row>
    <row r="367" spans="1:27">
      <c r="A367" s="3157" t="s">
        <v>4190</v>
      </c>
      <c r="B367" s="3157">
        <v>15</v>
      </c>
      <c r="C367" s="3096" t="s">
        <v>3218</v>
      </c>
      <c r="D367" s="3097" t="s">
        <v>3219</v>
      </c>
      <c r="E367" s="3097" t="s">
        <v>3289</v>
      </c>
      <c r="F367" s="3097">
        <v>45.64</v>
      </c>
      <c r="G367" s="3097">
        <v>420000.27</v>
      </c>
      <c r="H367" s="3156">
        <v>9202</v>
      </c>
      <c r="I367" s="3155">
        <f t="shared" ca="1" si="224"/>
        <v>7223</v>
      </c>
      <c r="J367" s="3156">
        <f t="shared" ca="1" si="225"/>
        <v>33</v>
      </c>
      <c r="K367" s="3177"/>
      <c r="L367" s="3177"/>
      <c r="M367" s="3177"/>
      <c r="N367" s="3177"/>
      <c r="O367" s="3177"/>
    </row>
    <row r="368" spans="1:27">
      <c r="A368" s="3157" t="s">
        <v>4190</v>
      </c>
      <c r="B368" s="3157">
        <v>16</v>
      </c>
      <c r="C368" s="3096" t="s">
        <v>3218</v>
      </c>
      <c r="D368" s="3097" t="s">
        <v>3219</v>
      </c>
      <c r="E368" s="3097" t="s">
        <v>3291</v>
      </c>
      <c r="F368" s="3097">
        <v>45.64</v>
      </c>
      <c r="G368" s="3097">
        <v>420000.27</v>
      </c>
      <c r="H368" s="3156">
        <v>9202</v>
      </c>
      <c r="I368" s="3155">
        <f t="shared" ca="1" si="224"/>
        <v>7223</v>
      </c>
      <c r="J368" s="3156">
        <f t="shared" ca="1" si="225"/>
        <v>33</v>
      </c>
      <c r="K368" s="3177"/>
      <c r="L368" s="3177"/>
      <c r="M368" s="3177"/>
      <c r="N368" s="3177"/>
      <c r="O368" s="3177"/>
    </row>
    <row r="369" spans="1:15">
      <c r="A369" s="3157" t="s">
        <v>4190</v>
      </c>
      <c r="B369" s="3157">
        <v>17</v>
      </c>
      <c r="C369" s="3096" t="s">
        <v>3218</v>
      </c>
      <c r="D369" s="3097" t="s">
        <v>3219</v>
      </c>
      <c r="E369" s="3097" t="s">
        <v>3298</v>
      </c>
      <c r="F369" s="3097">
        <v>45.64</v>
      </c>
      <c r="G369" s="3097">
        <v>420000.27</v>
      </c>
      <c r="H369" s="3156">
        <v>9202</v>
      </c>
      <c r="I369" s="3155">
        <f t="shared" ca="1" si="224"/>
        <v>7223</v>
      </c>
      <c r="J369" s="3156">
        <f t="shared" ca="1" si="225"/>
        <v>33</v>
      </c>
      <c r="K369" s="3177"/>
      <c r="L369" s="3177"/>
      <c r="M369" s="3177"/>
      <c r="N369" s="3177"/>
      <c r="O369" s="3177"/>
    </row>
    <row r="370" spans="1:15">
      <c r="A370" s="3157" t="s">
        <v>4190</v>
      </c>
      <c r="B370" s="3157">
        <v>18</v>
      </c>
      <c r="C370" s="3096" t="s">
        <v>3218</v>
      </c>
      <c r="D370" s="3097" t="s">
        <v>3219</v>
      </c>
      <c r="E370" s="3097" t="s">
        <v>3300</v>
      </c>
      <c r="F370" s="3097">
        <v>45.64</v>
      </c>
      <c r="G370" s="3097">
        <v>420000.27</v>
      </c>
      <c r="H370" s="3156">
        <v>9202</v>
      </c>
      <c r="I370" s="3155">
        <f t="shared" ca="1" si="224"/>
        <v>7223</v>
      </c>
      <c r="J370" s="3156">
        <f t="shared" ca="1" si="225"/>
        <v>33</v>
      </c>
      <c r="K370" s="3177"/>
      <c r="L370" s="3177"/>
      <c r="M370" s="3177"/>
      <c r="N370" s="3177"/>
      <c r="O370" s="3177"/>
    </row>
    <row r="371" spans="1:15">
      <c r="A371" s="3157" t="s">
        <v>4190</v>
      </c>
      <c r="B371" s="3157">
        <v>19</v>
      </c>
      <c r="C371" s="3096" t="s">
        <v>3218</v>
      </c>
      <c r="D371" s="3097" t="s">
        <v>3219</v>
      </c>
      <c r="E371" s="3097" t="s">
        <v>3307</v>
      </c>
      <c r="F371" s="3097">
        <v>45.64</v>
      </c>
      <c r="G371" s="3097">
        <v>420000.27</v>
      </c>
      <c r="H371" s="3156">
        <v>9202</v>
      </c>
      <c r="I371" s="3155">
        <f t="shared" ca="1" si="224"/>
        <v>7223</v>
      </c>
      <c r="J371" s="3156">
        <f t="shared" ca="1" si="225"/>
        <v>33</v>
      </c>
      <c r="K371" s="3177"/>
      <c r="L371" s="3177"/>
      <c r="M371" s="3177"/>
      <c r="N371" s="3177"/>
      <c r="O371" s="3177"/>
    </row>
    <row r="372" spans="1:15">
      <c r="A372" s="3157" t="s">
        <v>4190</v>
      </c>
      <c r="B372" s="3157">
        <v>20</v>
      </c>
      <c r="C372" s="3096" t="s">
        <v>3218</v>
      </c>
      <c r="D372" s="3097" t="s">
        <v>3219</v>
      </c>
      <c r="E372" s="3097" t="s">
        <v>3309</v>
      </c>
      <c r="F372" s="3097">
        <v>45.64</v>
      </c>
      <c r="G372" s="3097">
        <v>420000.27</v>
      </c>
      <c r="H372" s="3156">
        <v>9202</v>
      </c>
      <c r="I372" s="3155">
        <f t="shared" ca="1" si="224"/>
        <v>7223</v>
      </c>
      <c r="J372" s="3156">
        <f t="shared" ca="1" si="225"/>
        <v>33</v>
      </c>
      <c r="K372" s="3177"/>
      <c r="L372" s="3177"/>
      <c r="M372" s="3177"/>
      <c r="N372" s="3177"/>
      <c r="O372" s="3177"/>
    </row>
    <row r="373" spans="1:15">
      <c r="A373" s="3157" t="s">
        <v>4190</v>
      </c>
      <c r="B373" s="3157">
        <v>21</v>
      </c>
      <c r="C373" s="3096" t="s">
        <v>3218</v>
      </c>
      <c r="D373" s="3097" t="s">
        <v>3219</v>
      </c>
      <c r="E373" s="3097" t="s">
        <v>3316</v>
      </c>
      <c r="F373" s="3097">
        <v>45.64</v>
      </c>
      <c r="G373" s="3097">
        <v>420000.27</v>
      </c>
      <c r="H373" s="3156">
        <v>9202</v>
      </c>
      <c r="I373" s="3155">
        <f t="shared" ca="1" si="224"/>
        <v>7223</v>
      </c>
      <c r="J373" s="3156">
        <f t="shared" ca="1" si="225"/>
        <v>33</v>
      </c>
      <c r="K373" s="3177"/>
      <c r="L373" s="3177"/>
      <c r="M373" s="3177"/>
      <c r="N373" s="3177"/>
      <c r="O373" s="3177"/>
    </row>
    <row r="374" spans="1:15">
      <c r="A374" s="3157" t="s">
        <v>4190</v>
      </c>
      <c r="B374" s="3157">
        <v>22</v>
      </c>
      <c r="C374" s="3096" t="s">
        <v>3218</v>
      </c>
      <c r="D374" s="3097" t="s">
        <v>3219</v>
      </c>
      <c r="E374" s="3097" t="s">
        <v>3318</v>
      </c>
      <c r="F374" s="3097">
        <v>45.64</v>
      </c>
      <c r="G374" s="3097">
        <v>420000.27</v>
      </c>
      <c r="H374" s="3156">
        <v>9202</v>
      </c>
      <c r="I374" s="3155">
        <f t="shared" ca="1" si="224"/>
        <v>7223</v>
      </c>
      <c r="J374" s="3156">
        <f t="shared" ca="1" si="225"/>
        <v>33</v>
      </c>
      <c r="K374" s="3177"/>
      <c r="L374" s="3177"/>
      <c r="M374" s="3177"/>
      <c r="N374" s="3177"/>
      <c r="O374" s="3177"/>
    </row>
    <row r="375" spans="1:15">
      <c r="A375" s="3157" t="s">
        <v>4190</v>
      </c>
      <c r="B375" s="3157">
        <v>23</v>
      </c>
      <c r="C375" s="3096" t="s">
        <v>3218</v>
      </c>
      <c r="D375" s="3097" t="s">
        <v>3219</v>
      </c>
      <c r="E375" s="3097" t="s">
        <v>3324</v>
      </c>
      <c r="F375" s="3097">
        <v>45.64</v>
      </c>
      <c r="G375" s="3097">
        <v>420000.27</v>
      </c>
      <c r="H375" s="3156">
        <v>9202</v>
      </c>
      <c r="I375" s="3155">
        <f t="shared" ca="1" si="224"/>
        <v>7223</v>
      </c>
      <c r="J375" s="3156">
        <f t="shared" ca="1" si="225"/>
        <v>33</v>
      </c>
      <c r="K375" s="3177"/>
      <c r="L375" s="3177"/>
      <c r="M375" s="3177"/>
      <c r="N375" s="3177"/>
      <c r="O375" s="3177"/>
    </row>
    <row r="376" spans="1:15">
      <c r="A376" s="3157" t="s">
        <v>4190</v>
      </c>
      <c r="B376" s="3157">
        <v>24</v>
      </c>
      <c r="C376" s="3096" t="s">
        <v>3218</v>
      </c>
      <c r="D376" s="3097" t="s">
        <v>3219</v>
      </c>
      <c r="E376" s="3097" t="s">
        <v>3326</v>
      </c>
      <c r="F376" s="3097">
        <v>45.64</v>
      </c>
      <c r="G376" s="3097">
        <v>420000.27</v>
      </c>
      <c r="H376" s="3156">
        <v>9202</v>
      </c>
      <c r="I376" s="3155">
        <f t="shared" ca="1" si="224"/>
        <v>7223</v>
      </c>
      <c r="J376" s="3156">
        <f t="shared" ca="1" si="225"/>
        <v>33</v>
      </c>
      <c r="K376" s="3177"/>
      <c r="L376" s="3177"/>
      <c r="M376" s="3177"/>
      <c r="N376" s="3177"/>
      <c r="O376" s="3177"/>
    </row>
    <row r="377" spans="1:15">
      <c r="A377" s="3157" t="s">
        <v>4190</v>
      </c>
      <c r="B377" s="3157">
        <v>25</v>
      </c>
      <c r="C377" s="3096" t="s">
        <v>3218</v>
      </c>
      <c r="D377" s="3097" t="s">
        <v>3219</v>
      </c>
      <c r="E377" s="3097" t="s">
        <v>3333</v>
      </c>
      <c r="F377" s="3097">
        <v>45.64</v>
      </c>
      <c r="G377" s="3097">
        <v>420000.27</v>
      </c>
      <c r="H377" s="3156">
        <v>9202</v>
      </c>
      <c r="I377" s="3155">
        <f t="shared" ca="1" si="224"/>
        <v>7223</v>
      </c>
      <c r="J377" s="3156">
        <f t="shared" ca="1" si="225"/>
        <v>33</v>
      </c>
      <c r="K377" s="3177"/>
      <c r="L377" s="3177"/>
      <c r="M377" s="3177"/>
      <c r="N377" s="3177"/>
      <c r="O377" s="3177"/>
    </row>
    <row r="378" spans="1:15">
      <c r="A378" s="3157" t="s">
        <v>4190</v>
      </c>
      <c r="B378" s="3157">
        <v>26</v>
      </c>
      <c r="C378" s="3096" t="s">
        <v>3218</v>
      </c>
      <c r="D378" s="3097" t="s">
        <v>3219</v>
      </c>
      <c r="E378" s="3097" t="s">
        <v>3335</v>
      </c>
      <c r="F378" s="3097">
        <v>45.64</v>
      </c>
      <c r="G378" s="3097">
        <v>420000.27</v>
      </c>
      <c r="H378" s="3156">
        <v>9202</v>
      </c>
      <c r="I378" s="3155">
        <f t="shared" ca="1" si="224"/>
        <v>7223</v>
      </c>
      <c r="J378" s="3156">
        <f t="shared" ca="1" si="225"/>
        <v>33</v>
      </c>
      <c r="K378" s="3177"/>
      <c r="L378" s="3177"/>
      <c r="M378" s="3177"/>
      <c r="N378" s="3177"/>
      <c r="O378" s="3177"/>
    </row>
    <row r="379" spans="1:15">
      <c r="A379" s="3157" t="s">
        <v>4190</v>
      </c>
      <c r="B379" s="3157">
        <v>27</v>
      </c>
      <c r="C379" s="3096" t="s">
        <v>3218</v>
      </c>
      <c r="D379" s="3097" t="s">
        <v>3219</v>
      </c>
      <c r="E379" s="3097" t="s">
        <v>3342</v>
      </c>
      <c r="F379" s="3097">
        <v>45.64</v>
      </c>
      <c r="G379" s="3097">
        <v>420000.27</v>
      </c>
      <c r="H379" s="3156">
        <v>9202</v>
      </c>
      <c r="I379" s="3155">
        <f t="shared" ca="1" si="224"/>
        <v>7223</v>
      </c>
      <c r="J379" s="3156">
        <f t="shared" ca="1" si="225"/>
        <v>33</v>
      </c>
      <c r="K379" s="3177"/>
      <c r="L379" s="3177"/>
      <c r="M379" s="3177"/>
      <c r="N379" s="3177"/>
      <c r="O379" s="3177"/>
    </row>
    <row r="380" spans="1:15">
      <c r="A380" s="3157" t="s">
        <v>4190</v>
      </c>
      <c r="B380" s="3157">
        <v>28</v>
      </c>
      <c r="C380" s="3096" t="s">
        <v>3218</v>
      </c>
      <c r="D380" s="3097" t="s">
        <v>3219</v>
      </c>
      <c r="E380" s="3097" t="s">
        <v>3344</v>
      </c>
      <c r="F380" s="3097">
        <v>45.64</v>
      </c>
      <c r="G380" s="3097">
        <v>420000.27</v>
      </c>
      <c r="H380" s="3156">
        <v>9202</v>
      </c>
      <c r="I380" s="3155">
        <f t="shared" ca="1" si="224"/>
        <v>7223</v>
      </c>
      <c r="J380" s="3156">
        <f t="shared" ca="1" si="225"/>
        <v>33</v>
      </c>
      <c r="K380" s="3177"/>
      <c r="L380" s="3177"/>
      <c r="M380" s="3177"/>
      <c r="N380" s="3177"/>
      <c r="O380" s="3177"/>
    </row>
    <row r="381" spans="1:15">
      <c r="A381" s="3157" t="s">
        <v>4190</v>
      </c>
      <c r="B381" s="3157">
        <v>29</v>
      </c>
      <c r="C381" s="3096" t="s">
        <v>3218</v>
      </c>
      <c r="D381" s="3097" t="s">
        <v>3219</v>
      </c>
      <c r="E381" s="3097" t="s">
        <v>3350</v>
      </c>
      <c r="F381" s="3097">
        <v>45.64</v>
      </c>
      <c r="G381" s="3097">
        <v>420000.27</v>
      </c>
      <c r="H381" s="3156">
        <v>9202</v>
      </c>
      <c r="I381" s="3155">
        <f t="shared" ca="1" si="224"/>
        <v>7223</v>
      </c>
      <c r="J381" s="3156">
        <f t="shared" ca="1" si="225"/>
        <v>33</v>
      </c>
      <c r="K381" s="3177"/>
      <c r="L381" s="3177"/>
      <c r="M381" s="3177"/>
      <c r="N381" s="3177"/>
      <c r="O381" s="3177"/>
    </row>
    <row r="382" spans="1:15">
      <c r="A382" s="3157" t="s">
        <v>4190</v>
      </c>
      <c r="B382" s="3157">
        <v>30</v>
      </c>
      <c r="C382" s="3096" t="s">
        <v>3218</v>
      </c>
      <c r="D382" s="3097" t="s">
        <v>3219</v>
      </c>
      <c r="E382" s="3097" t="s">
        <v>3352</v>
      </c>
      <c r="F382" s="3097">
        <v>45.64</v>
      </c>
      <c r="G382" s="3097">
        <v>420000.27</v>
      </c>
      <c r="H382" s="3156">
        <v>9202</v>
      </c>
      <c r="I382" s="3155">
        <f t="shared" ca="1" si="224"/>
        <v>7223</v>
      </c>
      <c r="J382" s="3156">
        <f t="shared" ca="1" si="225"/>
        <v>33</v>
      </c>
      <c r="K382" s="3177"/>
      <c r="L382" s="3177"/>
      <c r="M382" s="3177"/>
      <c r="N382" s="3177"/>
      <c r="O382" s="3177"/>
    </row>
    <row r="383" spans="1:15">
      <c r="A383" s="3157" t="s">
        <v>4190</v>
      </c>
      <c r="B383" s="3157">
        <v>31</v>
      </c>
      <c r="C383" s="3096" t="s">
        <v>3218</v>
      </c>
      <c r="D383" s="3097" t="s">
        <v>3219</v>
      </c>
      <c r="E383" s="3097" t="s">
        <v>3358</v>
      </c>
      <c r="F383" s="3097">
        <v>45.64</v>
      </c>
      <c r="G383" s="3097">
        <v>420000.27</v>
      </c>
      <c r="H383" s="3156">
        <v>9202</v>
      </c>
      <c r="I383" s="3155">
        <f t="shared" ca="1" si="224"/>
        <v>7223</v>
      </c>
      <c r="J383" s="3156">
        <f t="shared" ca="1" si="225"/>
        <v>33</v>
      </c>
      <c r="K383" s="3177"/>
      <c r="L383" s="3177"/>
      <c r="M383" s="3177"/>
      <c r="N383" s="3177"/>
      <c r="O383" s="3177"/>
    </row>
    <row r="384" spans="1:15">
      <c r="A384" s="3157" t="s">
        <v>4190</v>
      </c>
      <c r="B384" s="3157">
        <v>32</v>
      </c>
      <c r="C384" s="3096" t="s">
        <v>3218</v>
      </c>
      <c r="D384" s="3097" t="s">
        <v>3219</v>
      </c>
      <c r="E384" s="3097" t="s">
        <v>3360</v>
      </c>
      <c r="F384" s="3097">
        <v>45.64</v>
      </c>
      <c r="G384" s="3097">
        <v>420000.27</v>
      </c>
      <c r="H384" s="3156">
        <v>9202</v>
      </c>
      <c r="I384" s="3155">
        <f t="shared" ca="1" si="224"/>
        <v>7223</v>
      </c>
      <c r="J384" s="3156">
        <f t="shared" ca="1" si="225"/>
        <v>33</v>
      </c>
      <c r="K384" s="3177"/>
      <c r="L384" s="3177"/>
      <c r="M384" s="3177"/>
      <c r="N384" s="3177"/>
      <c r="O384" s="3177"/>
    </row>
    <row r="385" spans="1:15">
      <c r="A385" s="3157" t="s">
        <v>4190</v>
      </c>
      <c r="B385" s="3157">
        <v>33</v>
      </c>
      <c r="C385" s="3096" t="s">
        <v>3218</v>
      </c>
      <c r="D385" s="3097" t="s">
        <v>3219</v>
      </c>
      <c r="E385" s="3097" t="s">
        <v>3367</v>
      </c>
      <c r="F385" s="3097">
        <v>45.64</v>
      </c>
      <c r="G385" s="3097">
        <v>420000.27</v>
      </c>
      <c r="H385" s="3156">
        <v>9202</v>
      </c>
      <c r="I385" s="3155">
        <f t="shared" ca="1" si="224"/>
        <v>7223</v>
      </c>
      <c r="J385" s="3156">
        <f t="shared" ca="1" si="225"/>
        <v>33</v>
      </c>
      <c r="K385" s="3177"/>
      <c r="L385" s="3177"/>
      <c r="M385" s="3177"/>
      <c r="N385" s="3177"/>
      <c r="O385" s="3177"/>
    </row>
    <row r="386" spans="1:15">
      <c r="A386" s="3157" t="s">
        <v>4190</v>
      </c>
      <c r="B386" s="3157">
        <v>34</v>
      </c>
      <c r="C386" s="3096" t="s">
        <v>3218</v>
      </c>
      <c r="D386" s="3097" t="s">
        <v>3219</v>
      </c>
      <c r="E386" s="3097" t="s">
        <v>3369</v>
      </c>
      <c r="F386" s="3097">
        <v>45.64</v>
      </c>
      <c r="G386" s="3097">
        <v>420000.27</v>
      </c>
      <c r="H386" s="3156">
        <v>9202</v>
      </c>
      <c r="I386" s="3155">
        <f t="shared" ca="1" si="224"/>
        <v>7223</v>
      </c>
      <c r="J386" s="3156">
        <f t="shared" ca="1" si="225"/>
        <v>33</v>
      </c>
      <c r="K386" s="3177"/>
      <c r="L386" s="3177"/>
      <c r="M386" s="3177"/>
      <c r="N386" s="3177"/>
      <c r="O386" s="3177"/>
    </row>
    <row r="387" spans="1:15">
      <c r="A387" s="3157" t="s">
        <v>4190</v>
      </c>
      <c r="B387" s="3157">
        <v>35</v>
      </c>
      <c r="C387" s="3096" t="s">
        <v>3218</v>
      </c>
      <c r="D387" s="3097" t="s">
        <v>3219</v>
      </c>
      <c r="E387" s="3097" t="s">
        <v>3375</v>
      </c>
      <c r="F387" s="3097">
        <v>45.64</v>
      </c>
      <c r="G387" s="3097">
        <v>420000.27</v>
      </c>
      <c r="H387" s="3156">
        <v>9202</v>
      </c>
      <c r="I387" s="3155">
        <f t="shared" ca="1" si="224"/>
        <v>7223</v>
      </c>
      <c r="J387" s="3156">
        <f t="shared" ca="1" si="225"/>
        <v>33</v>
      </c>
      <c r="K387" s="3177"/>
      <c r="L387" s="3177"/>
      <c r="M387" s="3177"/>
      <c r="N387" s="3177"/>
      <c r="O387" s="3177"/>
    </row>
    <row r="388" spans="1:15">
      <c r="A388" s="3157" t="s">
        <v>4190</v>
      </c>
      <c r="B388" s="3157">
        <v>36</v>
      </c>
      <c r="C388" s="3096" t="s">
        <v>3218</v>
      </c>
      <c r="D388" s="3097" t="s">
        <v>3219</v>
      </c>
      <c r="E388" s="3097" t="s">
        <v>3377</v>
      </c>
      <c r="F388" s="3097">
        <v>45.64</v>
      </c>
      <c r="G388" s="3097">
        <v>420000.27</v>
      </c>
      <c r="H388" s="3156">
        <v>9202</v>
      </c>
      <c r="I388" s="3155">
        <f t="shared" ca="1" si="224"/>
        <v>7223</v>
      </c>
      <c r="J388" s="3156">
        <f t="shared" ca="1" si="225"/>
        <v>33</v>
      </c>
      <c r="K388" s="3177"/>
      <c r="L388" s="3177"/>
      <c r="M388" s="3177"/>
      <c r="N388" s="3177"/>
      <c r="O388" s="3177"/>
    </row>
    <row r="389" spans="1:15">
      <c r="A389" s="3157" t="s">
        <v>4190</v>
      </c>
      <c r="B389" s="3157">
        <v>37</v>
      </c>
      <c r="C389" s="3096" t="s">
        <v>3218</v>
      </c>
      <c r="D389" s="3097" t="s">
        <v>3219</v>
      </c>
      <c r="E389" s="3097" t="s">
        <v>3384</v>
      </c>
      <c r="F389" s="3097">
        <v>45.64</v>
      </c>
      <c r="G389" s="3097">
        <v>420000.27</v>
      </c>
      <c r="H389" s="3156">
        <v>9202</v>
      </c>
      <c r="I389" s="3155">
        <f t="shared" ca="1" si="224"/>
        <v>7223</v>
      </c>
      <c r="J389" s="3156">
        <f t="shared" ca="1" si="225"/>
        <v>33</v>
      </c>
      <c r="K389" s="3177"/>
      <c r="L389" s="3177"/>
      <c r="M389" s="3177"/>
      <c r="N389" s="3177"/>
      <c r="O389" s="3177"/>
    </row>
    <row r="390" spans="1:15">
      <c r="A390" s="3157" t="s">
        <v>4190</v>
      </c>
      <c r="B390" s="3157">
        <v>38</v>
      </c>
      <c r="C390" s="3096" t="s">
        <v>3218</v>
      </c>
      <c r="D390" s="3097" t="s">
        <v>3219</v>
      </c>
      <c r="E390" s="3097" t="s">
        <v>3386</v>
      </c>
      <c r="F390" s="3097">
        <v>45.64</v>
      </c>
      <c r="G390" s="3097">
        <v>420000.27</v>
      </c>
      <c r="H390" s="3156">
        <v>9202</v>
      </c>
      <c r="I390" s="3155">
        <f t="shared" ca="1" si="224"/>
        <v>7223</v>
      </c>
      <c r="J390" s="3156">
        <f t="shared" ca="1" si="225"/>
        <v>33</v>
      </c>
      <c r="K390" s="3177"/>
      <c r="L390" s="3177"/>
      <c r="M390" s="3177"/>
      <c r="N390" s="3177"/>
      <c r="O390" s="3177"/>
    </row>
    <row r="391" spans="1:15">
      <c r="A391" s="3157" t="s">
        <v>4191</v>
      </c>
      <c r="B391" s="3157">
        <v>39</v>
      </c>
      <c r="C391" s="3096" t="s">
        <v>3218</v>
      </c>
      <c r="D391" s="3097" t="s">
        <v>3219</v>
      </c>
      <c r="E391" s="3097" t="s">
        <v>3396</v>
      </c>
      <c r="F391" s="3097">
        <v>45.64</v>
      </c>
      <c r="G391" s="3097">
        <v>420000.27</v>
      </c>
      <c r="H391" s="3156">
        <v>9202</v>
      </c>
      <c r="I391" s="3155">
        <f t="shared" ca="1" si="224"/>
        <v>7223</v>
      </c>
      <c r="J391" s="3156">
        <f t="shared" ca="1" si="225"/>
        <v>33</v>
      </c>
      <c r="K391" s="3177"/>
      <c r="L391" s="3177"/>
      <c r="M391" s="3177"/>
      <c r="N391" s="3177"/>
      <c r="O391" s="3177"/>
    </row>
    <row r="392" spans="1:15">
      <c r="A392" s="3157" t="s">
        <v>4191</v>
      </c>
      <c r="B392" s="3157">
        <v>40</v>
      </c>
      <c r="C392" s="3096" t="s">
        <v>3218</v>
      </c>
      <c r="D392" s="3097" t="s">
        <v>3219</v>
      </c>
      <c r="E392" s="3097" t="s">
        <v>3398</v>
      </c>
      <c r="F392" s="3097">
        <v>45.64</v>
      </c>
      <c r="G392" s="3097">
        <v>420000.27</v>
      </c>
      <c r="H392" s="3156">
        <v>9202</v>
      </c>
      <c r="I392" s="3155">
        <f t="shared" ca="1" si="224"/>
        <v>7223</v>
      </c>
      <c r="J392" s="3156">
        <f t="shared" ca="1" si="225"/>
        <v>33</v>
      </c>
      <c r="K392" s="3177"/>
      <c r="L392" s="3177"/>
      <c r="M392" s="3177"/>
      <c r="N392" s="3177"/>
      <c r="O392" s="3177"/>
    </row>
    <row r="393" spans="1:15">
      <c r="A393" s="3157" t="s">
        <v>4191</v>
      </c>
      <c r="B393" s="3157">
        <v>41</v>
      </c>
      <c r="C393" s="3096" t="s">
        <v>3218</v>
      </c>
      <c r="D393" s="3097" t="s">
        <v>3219</v>
      </c>
      <c r="E393" s="3097" t="s">
        <v>3404</v>
      </c>
      <c r="F393" s="3097">
        <v>45.64</v>
      </c>
      <c r="G393" s="3097">
        <v>420000.27</v>
      </c>
      <c r="H393" s="3156">
        <v>9202</v>
      </c>
      <c r="I393" s="3155">
        <f t="shared" ca="1" si="224"/>
        <v>7223</v>
      </c>
      <c r="J393" s="3156">
        <f t="shared" ca="1" si="225"/>
        <v>33</v>
      </c>
      <c r="K393" s="3177"/>
      <c r="L393" s="3177"/>
      <c r="M393" s="3177"/>
      <c r="N393" s="3177"/>
      <c r="O393" s="3177"/>
    </row>
    <row r="394" spans="1:15">
      <c r="A394" s="3157" t="s">
        <v>4191</v>
      </c>
      <c r="B394" s="3157">
        <v>42</v>
      </c>
      <c r="C394" s="3096" t="s">
        <v>3218</v>
      </c>
      <c r="D394" s="3097" t="s">
        <v>3219</v>
      </c>
      <c r="E394" s="3097" t="s">
        <v>3406</v>
      </c>
      <c r="F394" s="3097">
        <v>45.64</v>
      </c>
      <c r="G394" s="3097">
        <v>420000.27</v>
      </c>
      <c r="H394" s="3156">
        <v>9202</v>
      </c>
      <c r="I394" s="3155">
        <f t="shared" ca="1" si="224"/>
        <v>7223</v>
      </c>
      <c r="J394" s="3156">
        <f t="shared" ca="1" si="225"/>
        <v>33</v>
      </c>
      <c r="K394" s="3177"/>
      <c r="L394" s="3177"/>
      <c r="M394" s="3177"/>
      <c r="N394" s="3177"/>
      <c r="O394" s="3177"/>
    </row>
    <row r="395" spans="1:15">
      <c r="A395" s="3157" t="s">
        <v>4191</v>
      </c>
      <c r="B395" s="3157">
        <v>43</v>
      </c>
      <c r="C395" s="3096" t="s">
        <v>3218</v>
      </c>
      <c r="D395" s="3097" t="s">
        <v>3219</v>
      </c>
      <c r="E395" s="3097" t="s">
        <v>3413</v>
      </c>
      <c r="F395" s="3097">
        <v>45.64</v>
      </c>
      <c r="G395" s="3097">
        <v>420000.27</v>
      </c>
      <c r="H395" s="3156">
        <v>9202</v>
      </c>
      <c r="I395" s="3155">
        <f t="shared" ca="1" si="224"/>
        <v>7223</v>
      </c>
      <c r="J395" s="3156">
        <f t="shared" ca="1" si="225"/>
        <v>33</v>
      </c>
      <c r="K395" s="3177"/>
      <c r="L395" s="3177"/>
      <c r="M395" s="3177"/>
      <c r="N395" s="3177"/>
      <c r="O395" s="3177"/>
    </row>
    <row r="396" spans="1:15">
      <c r="A396" s="3157" t="s">
        <v>4191</v>
      </c>
      <c r="B396" s="3157">
        <v>44</v>
      </c>
      <c r="C396" s="3096" t="s">
        <v>3218</v>
      </c>
      <c r="D396" s="3097" t="s">
        <v>3219</v>
      </c>
      <c r="E396" s="3097" t="s">
        <v>3415</v>
      </c>
      <c r="F396" s="3097">
        <v>45.64</v>
      </c>
      <c r="G396" s="3097">
        <v>420000.27</v>
      </c>
      <c r="H396" s="3156">
        <v>9202</v>
      </c>
      <c r="I396" s="3155">
        <f t="shared" ca="1" si="224"/>
        <v>7223</v>
      </c>
      <c r="J396" s="3156">
        <f t="shared" ca="1" si="225"/>
        <v>33</v>
      </c>
      <c r="K396" s="3177"/>
      <c r="L396" s="3177"/>
      <c r="M396" s="3177"/>
      <c r="N396" s="3177"/>
      <c r="O396" s="3177"/>
    </row>
    <row r="397" spans="1:15">
      <c r="A397" s="3157" t="s">
        <v>4192</v>
      </c>
      <c r="B397" s="3157">
        <v>45</v>
      </c>
      <c r="C397" s="3096" t="s">
        <v>3218</v>
      </c>
      <c r="D397" s="3097" t="s">
        <v>3219</v>
      </c>
      <c r="E397" s="3097" t="s">
        <v>3422</v>
      </c>
      <c r="F397" s="3097">
        <v>45.64</v>
      </c>
      <c r="G397" s="3097">
        <v>420000.27</v>
      </c>
      <c r="H397" s="3156">
        <v>9202</v>
      </c>
      <c r="I397" s="3155">
        <f t="shared" ca="1" si="224"/>
        <v>7223</v>
      </c>
      <c r="J397" s="3156">
        <f t="shared" ca="1" si="225"/>
        <v>33</v>
      </c>
      <c r="K397" s="3177"/>
      <c r="L397" s="3177"/>
      <c r="M397" s="3177"/>
      <c r="N397" s="3177"/>
      <c r="O397" s="3177"/>
    </row>
    <row r="398" spans="1:15">
      <c r="A398" s="3157" t="s">
        <v>4192</v>
      </c>
      <c r="B398" s="3157">
        <v>46</v>
      </c>
      <c r="C398" s="3096" t="s">
        <v>3218</v>
      </c>
      <c r="D398" s="3097" t="s">
        <v>3219</v>
      </c>
      <c r="E398" s="3097" t="s">
        <v>3424</v>
      </c>
      <c r="F398" s="3097">
        <v>45.64</v>
      </c>
      <c r="G398" s="3097">
        <v>420000.27</v>
      </c>
      <c r="H398" s="3156">
        <v>9202</v>
      </c>
      <c r="I398" s="3155">
        <f t="shared" ref="I398:I461" ca="1" si="238">IF(C398="大证住宅",$R$2,IF(C398="仓储",$R$3,$R$4))</f>
        <v>7223</v>
      </c>
      <c r="J398" s="3156">
        <f t="shared" ref="J398:J461" ca="1" si="239">ROUND(I398*F398/10000,0)</f>
        <v>33</v>
      </c>
      <c r="K398" s="3177"/>
      <c r="L398" s="3177"/>
      <c r="M398" s="3177"/>
      <c r="N398" s="3177"/>
      <c r="O398" s="3177"/>
    </row>
    <row r="399" spans="1:15">
      <c r="A399" s="3157" t="s">
        <v>4192</v>
      </c>
      <c r="B399" s="3157">
        <v>47</v>
      </c>
      <c r="C399" s="3096" t="s">
        <v>3218</v>
      </c>
      <c r="D399" s="3097" t="s">
        <v>3219</v>
      </c>
      <c r="E399" s="3097" t="s">
        <v>3434</v>
      </c>
      <c r="F399" s="3097">
        <v>45.64</v>
      </c>
      <c r="G399" s="3097">
        <v>420000.27</v>
      </c>
      <c r="H399" s="3156">
        <v>9202</v>
      </c>
      <c r="I399" s="3155">
        <f t="shared" ca="1" si="238"/>
        <v>7223</v>
      </c>
      <c r="J399" s="3156">
        <f t="shared" ca="1" si="239"/>
        <v>33</v>
      </c>
      <c r="K399" s="3177"/>
      <c r="L399" s="3177"/>
      <c r="M399" s="3177"/>
      <c r="N399" s="3177"/>
      <c r="O399" s="3177"/>
    </row>
    <row r="400" spans="1:15">
      <c r="A400" s="3157" t="s">
        <v>4192</v>
      </c>
      <c r="B400" s="3157">
        <v>48</v>
      </c>
      <c r="C400" s="3096" t="s">
        <v>3218</v>
      </c>
      <c r="D400" s="3097" t="s">
        <v>3219</v>
      </c>
      <c r="E400" s="3097" t="s">
        <v>3436</v>
      </c>
      <c r="F400" s="3097">
        <v>45.64</v>
      </c>
      <c r="G400" s="3097">
        <v>420000.27</v>
      </c>
      <c r="H400" s="3156">
        <v>9202</v>
      </c>
      <c r="I400" s="3155">
        <f t="shared" ca="1" si="238"/>
        <v>7223</v>
      </c>
      <c r="J400" s="3156">
        <f t="shared" ca="1" si="239"/>
        <v>33</v>
      </c>
      <c r="K400" s="3177"/>
      <c r="L400" s="3177"/>
      <c r="M400" s="3177"/>
      <c r="N400" s="3177"/>
      <c r="O400" s="3177"/>
    </row>
    <row r="401" spans="1:15">
      <c r="A401" s="3157" t="s">
        <v>4192</v>
      </c>
      <c r="B401" s="3157">
        <v>49</v>
      </c>
      <c r="C401" s="3096" t="s">
        <v>3218</v>
      </c>
      <c r="D401" s="3097" t="s">
        <v>3219</v>
      </c>
      <c r="E401" s="3097" t="s">
        <v>3442</v>
      </c>
      <c r="F401" s="3097">
        <v>45.64</v>
      </c>
      <c r="G401" s="3097">
        <v>420000.27</v>
      </c>
      <c r="H401" s="3156">
        <v>9202</v>
      </c>
      <c r="I401" s="3155">
        <f t="shared" ca="1" si="238"/>
        <v>7223</v>
      </c>
      <c r="J401" s="3156">
        <f t="shared" ca="1" si="239"/>
        <v>33</v>
      </c>
      <c r="K401" s="3177"/>
      <c r="L401" s="3177"/>
      <c r="M401" s="3177"/>
      <c r="N401" s="3177"/>
      <c r="O401" s="3177"/>
    </row>
    <row r="402" spans="1:15">
      <c r="A402" s="3157" t="s">
        <v>4192</v>
      </c>
      <c r="B402" s="3157">
        <v>50</v>
      </c>
      <c r="C402" s="3096" t="s">
        <v>3218</v>
      </c>
      <c r="D402" s="3097" t="s">
        <v>3219</v>
      </c>
      <c r="E402" s="3097" t="s">
        <v>3444</v>
      </c>
      <c r="F402" s="3097">
        <v>45.64</v>
      </c>
      <c r="G402" s="3097">
        <v>420000.27</v>
      </c>
      <c r="H402" s="3156">
        <v>9202</v>
      </c>
      <c r="I402" s="3155">
        <f t="shared" ca="1" si="238"/>
        <v>7223</v>
      </c>
      <c r="J402" s="3156">
        <f t="shared" ca="1" si="239"/>
        <v>33</v>
      </c>
      <c r="K402" s="3177"/>
      <c r="L402" s="3177"/>
      <c r="M402" s="3177"/>
      <c r="N402" s="3177"/>
      <c r="O402" s="3177"/>
    </row>
    <row r="403" spans="1:15">
      <c r="A403" s="3157" t="s">
        <v>4192</v>
      </c>
      <c r="B403" s="3157">
        <v>51</v>
      </c>
      <c r="C403" s="3096" t="s">
        <v>3218</v>
      </c>
      <c r="D403" s="3097" t="s">
        <v>3219</v>
      </c>
      <c r="E403" s="3097" t="s">
        <v>3451</v>
      </c>
      <c r="F403" s="3097">
        <v>45.64</v>
      </c>
      <c r="G403" s="3097">
        <v>420000.27</v>
      </c>
      <c r="H403" s="3156">
        <v>9202</v>
      </c>
      <c r="I403" s="3155">
        <f t="shared" ca="1" si="238"/>
        <v>7223</v>
      </c>
      <c r="J403" s="3156">
        <f t="shared" ca="1" si="239"/>
        <v>33</v>
      </c>
      <c r="K403" s="3177"/>
      <c r="L403" s="3177"/>
      <c r="M403" s="3177"/>
      <c r="N403" s="3177"/>
      <c r="O403" s="3177"/>
    </row>
    <row r="404" spans="1:15">
      <c r="A404" s="3157" t="s">
        <v>4192</v>
      </c>
      <c r="B404" s="3157">
        <v>52</v>
      </c>
      <c r="C404" s="3096" t="s">
        <v>3218</v>
      </c>
      <c r="D404" s="3097" t="s">
        <v>3219</v>
      </c>
      <c r="E404" s="3097" t="s">
        <v>3453</v>
      </c>
      <c r="F404" s="3097">
        <v>45.64</v>
      </c>
      <c r="G404" s="3097">
        <v>420000.27</v>
      </c>
      <c r="H404" s="3156">
        <v>9202</v>
      </c>
      <c r="I404" s="3155">
        <f t="shared" ca="1" si="238"/>
        <v>7223</v>
      </c>
      <c r="J404" s="3156">
        <f t="shared" ca="1" si="239"/>
        <v>33</v>
      </c>
      <c r="K404" s="3177"/>
      <c r="L404" s="3177"/>
      <c r="M404" s="3177"/>
      <c r="N404" s="3177"/>
      <c r="O404" s="3177"/>
    </row>
    <row r="405" spans="1:15">
      <c r="A405" s="3157" t="s">
        <v>4192</v>
      </c>
      <c r="B405" s="3157">
        <v>53</v>
      </c>
      <c r="C405" s="3096" t="s">
        <v>3218</v>
      </c>
      <c r="D405" s="3097" t="s">
        <v>3219</v>
      </c>
      <c r="E405" s="3097" t="s">
        <v>3459</v>
      </c>
      <c r="F405" s="3097">
        <v>45.64</v>
      </c>
      <c r="G405" s="3097">
        <v>420000.27</v>
      </c>
      <c r="H405" s="3156">
        <v>9202</v>
      </c>
      <c r="I405" s="3155">
        <f t="shared" ca="1" si="238"/>
        <v>7223</v>
      </c>
      <c r="J405" s="3156">
        <f t="shared" ca="1" si="239"/>
        <v>33</v>
      </c>
      <c r="K405" s="3177"/>
      <c r="L405" s="3177"/>
      <c r="M405" s="3177"/>
      <c r="N405" s="3177"/>
      <c r="O405" s="3177"/>
    </row>
    <row r="406" spans="1:15">
      <c r="A406" s="3157" t="s">
        <v>4192</v>
      </c>
      <c r="B406" s="3157">
        <v>54</v>
      </c>
      <c r="C406" s="3096" t="s">
        <v>3218</v>
      </c>
      <c r="D406" s="3097" t="s">
        <v>3219</v>
      </c>
      <c r="E406" s="3097" t="s">
        <v>3461</v>
      </c>
      <c r="F406" s="3097">
        <v>45.64</v>
      </c>
      <c r="G406" s="3097">
        <v>420000.27</v>
      </c>
      <c r="H406" s="3156">
        <v>9202</v>
      </c>
      <c r="I406" s="3155">
        <f t="shared" ca="1" si="238"/>
        <v>7223</v>
      </c>
      <c r="J406" s="3156">
        <f t="shared" ca="1" si="239"/>
        <v>33</v>
      </c>
      <c r="K406" s="3177"/>
      <c r="L406" s="3177"/>
      <c r="M406" s="3177"/>
      <c r="N406" s="3177"/>
      <c r="O406" s="3177"/>
    </row>
    <row r="407" spans="1:15">
      <c r="A407" s="3157" t="s">
        <v>4193</v>
      </c>
      <c r="B407" s="3157">
        <v>55</v>
      </c>
      <c r="C407" s="3096" t="s">
        <v>3218</v>
      </c>
      <c r="D407" s="3097" t="s">
        <v>3219</v>
      </c>
      <c r="E407" s="3097" t="s">
        <v>3468</v>
      </c>
      <c r="F407" s="3097">
        <v>45.64</v>
      </c>
      <c r="G407" s="3097">
        <v>420000.27</v>
      </c>
      <c r="H407" s="3156">
        <v>9202</v>
      </c>
      <c r="I407" s="3155">
        <f t="shared" ca="1" si="238"/>
        <v>7223</v>
      </c>
      <c r="J407" s="3156">
        <f t="shared" ca="1" si="239"/>
        <v>33</v>
      </c>
      <c r="K407" s="3177"/>
      <c r="L407" s="3177"/>
      <c r="M407" s="3177"/>
      <c r="N407" s="3177"/>
      <c r="O407" s="3177"/>
    </row>
    <row r="408" spans="1:15">
      <c r="A408" s="3157" t="s">
        <v>4193</v>
      </c>
      <c r="B408" s="3157">
        <v>56</v>
      </c>
      <c r="C408" s="3096" t="s">
        <v>3218</v>
      </c>
      <c r="D408" s="3097" t="s">
        <v>3219</v>
      </c>
      <c r="E408" s="3097" t="s">
        <v>3470</v>
      </c>
      <c r="F408" s="3097">
        <v>45.64</v>
      </c>
      <c r="G408" s="3097">
        <v>420000.27</v>
      </c>
      <c r="H408" s="3156">
        <v>9202</v>
      </c>
      <c r="I408" s="3155">
        <f t="shared" ca="1" si="238"/>
        <v>7223</v>
      </c>
      <c r="J408" s="3156">
        <f t="shared" ca="1" si="239"/>
        <v>33</v>
      </c>
      <c r="K408" s="3177"/>
      <c r="L408" s="3177"/>
      <c r="M408" s="3177"/>
      <c r="N408" s="3177"/>
      <c r="O408" s="3177"/>
    </row>
    <row r="409" spans="1:15">
      <c r="A409" s="3157" t="s">
        <v>4193</v>
      </c>
      <c r="B409" s="3157">
        <v>57</v>
      </c>
      <c r="C409" s="3096" t="s">
        <v>3218</v>
      </c>
      <c r="D409" s="3097" t="s">
        <v>3219</v>
      </c>
      <c r="E409" s="3097" t="s">
        <v>3477</v>
      </c>
      <c r="F409" s="3097">
        <v>45.64</v>
      </c>
      <c r="G409" s="3097">
        <v>420000.27</v>
      </c>
      <c r="H409" s="3156">
        <v>9202</v>
      </c>
      <c r="I409" s="3155">
        <f t="shared" ca="1" si="238"/>
        <v>7223</v>
      </c>
      <c r="J409" s="3156">
        <f t="shared" ca="1" si="239"/>
        <v>33</v>
      </c>
      <c r="K409" s="3177"/>
      <c r="L409" s="3177"/>
      <c r="M409" s="3177"/>
      <c r="N409" s="3177"/>
      <c r="O409" s="3177"/>
    </row>
    <row r="410" spans="1:15">
      <c r="A410" s="3157" t="s">
        <v>4193</v>
      </c>
      <c r="B410" s="3157">
        <v>58</v>
      </c>
      <c r="C410" s="3096" t="s">
        <v>3218</v>
      </c>
      <c r="D410" s="3097" t="s">
        <v>3219</v>
      </c>
      <c r="E410" s="3097" t="s">
        <v>3479</v>
      </c>
      <c r="F410" s="3097">
        <v>45.64</v>
      </c>
      <c r="G410" s="3097">
        <v>420000.27</v>
      </c>
      <c r="H410" s="3156">
        <v>9202</v>
      </c>
      <c r="I410" s="3155">
        <f t="shared" ca="1" si="238"/>
        <v>7223</v>
      </c>
      <c r="J410" s="3156">
        <f t="shared" ca="1" si="239"/>
        <v>33</v>
      </c>
      <c r="K410" s="3177"/>
      <c r="L410" s="3177"/>
      <c r="M410" s="3177"/>
      <c r="N410" s="3177"/>
      <c r="O410" s="3177"/>
    </row>
    <row r="411" spans="1:15">
      <c r="A411" s="3157" t="s">
        <v>4193</v>
      </c>
      <c r="B411" s="3157">
        <v>59</v>
      </c>
      <c r="C411" s="3096" t="s">
        <v>3218</v>
      </c>
      <c r="D411" s="3097" t="s">
        <v>3219</v>
      </c>
      <c r="E411" s="3097" t="s">
        <v>3485</v>
      </c>
      <c r="F411" s="3097">
        <v>45.64</v>
      </c>
      <c r="G411" s="3097">
        <v>420000.27</v>
      </c>
      <c r="H411" s="3156">
        <v>9202</v>
      </c>
      <c r="I411" s="3155">
        <f t="shared" ca="1" si="238"/>
        <v>7223</v>
      </c>
      <c r="J411" s="3156">
        <f t="shared" ca="1" si="239"/>
        <v>33</v>
      </c>
      <c r="K411" s="3177"/>
      <c r="L411" s="3177"/>
      <c r="M411" s="3177"/>
      <c r="N411" s="3177"/>
      <c r="O411" s="3177"/>
    </row>
    <row r="412" spans="1:15">
      <c r="A412" s="3157" t="s">
        <v>4193</v>
      </c>
      <c r="B412" s="3157">
        <v>60</v>
      </c>
      <c r="C412" s="3096" t="s">
        <v>3218</v>
      </c>
      <c r="D412" s="3097" t="s">
        <v>3219</v>
      </c>
      <c r="E412" s="3097" t="s">
        <v>3487</v>
      </c>
      <c r="F412" s="3097">
        <v>45.64</v>
      </c>
      <c r="G412" s="3097">
        <v>420000.27</v>
      </c>
      <c r="H412" s="3156">
        <v>9202</v>
      </c>
      <c r="I412" s="3155">
        <f t="shared" ca="1" si="238"/>
        <v>7223</v>
      </c>
      <c r="J412" s="3156">
        <f t="shared" ca="1" si="239"/>
        <v>33</v>
      </c>
      <c r="K412" s="3177"/>
      <c r="L412" s="3177"/>
      <c r="M412" s="3177"/>
      <c r="N412" s="3177"/>
      <c r="O412" s="3177"/>
    </row>
    <row r="413" spans="1:15">
      <c r="A413" s="3157" t="s">
        <v>4193</v>
      </c>
      <c r="B413" s="3157">
        <v>61</v>
      </c>
      <c r="C413" s="3096" t="s">
        <v>3218</v>
      </c>
      <c r="D413" s="3097" t="s">
        <v>3219</v>
      </c>
      <c r="E413" s="3097" t="s">
        <v>3494</v>
      </c>
      <c r="F413" s="3097">
        <v>45.64</v>
      </c>
      <c r="G413" s="3097">
        <v>420000.27</v>
      </c>
      <c r="H413" s="3156">
        <v>9202</v>
      </c>
      <c r="I413" s="3155">
        <f t="shared" ca="1" si="238"/>
        <v>7223</v>
      </c>
      <c r="J413" s="3156">
        <f t="shared" ca="1" si="239"/>
        <v>33</v>
      </c>
      <c r="K413" s="3177"/>
      <c r="L413" s="3177"/>
      <c r="M413" s="3177"/>
      <c r="N413" s="3177"/>
      <c r="O413" s="3177"/>
    </row>
    <row r="414" spans="1:15">
      <c r="A414" s="3157" t="s">
        <v>4193</v>
      </c>
      <c r="B414" s="3157">
        <v>62</v>
      </c>
      <c r="C414" s="3096" t="s">
        <v>3218</v>
      </c>
      <c r="D414" s="3097" t="s">
        <v>3219</v>
      </c>
      <c r="E414" s="3097" t="s">
        <v>3496</v>
      </c>
      <c r="F414" s="3097">
        <v>45.64</v>
      </c>
      <c r="G414" s="3097">
        <v>420000.27</v>
      </c>
      <c r="H414" s="3156">
        <v>9202</v>
      </c>
      <c r="I414" s="3155">
        <f t="shared" ca="1" si="238"/>
        <v>7223</v>
      </c>
      <c r="J414" s="3156">
        <f t="shared" ca="1" si="239"/>
        <v>33</v>
      </c>
      <c r="K414" s="3177"/>
      <c r="L414" s="3177"/>
      <c r="M414" s="3177"/>
      <c r="N414" s="3177"/>
      <c r="O414" s="3177"/>
    </row>
    <row r="415" spans="1:15">
      <c r="A415" s="3157" t="s">
        <v>4193</v>
      </c>
      <c r="B415" s="3157">
        <v>63</v>
      </c>
      <c r="C415" s="3096" t="s">
        <v>3218</v>
      </c>
      <c r="D415" s="3097" t="s">
        <v>3219</v>
      </c>
      <c r="E415" s="3097" t="s">
        <v>3502</v>
      </c>
      <c r="F415" s="3097">
        <v>45.64</v>
      </c>
      <c r="G415" s="3097">
        <v>420000.27</v>
      </c>
      <c r="H415" s="3156">
        <v>9202</v>
      </c>
      <c r="I415" s="3155">
        <f t="shared" ca="1" si="238"/>
        <v>7223</v>
      </c>
      <c r="J415" s="3156">
        <f t="shared" ca="1" si="239"/>
        <v>33</v>
      </c>
      <c r="K415" s="3177"/>
      <c r="L415" s="3177"/>
      <c r="M415" s="3177"/>
      <c r="N415" s="3177"/>
      <c r="O415" s="3177"/>
    </row>
    <row r="416" spans="1:15">
      <c r="A416" s="3157" t="s">
        <v>4193</v>
      </c>
      <c r="B416" s="3157">
        <v>64</v>
      </c>
      <c r="C416" s="3096" t="s">
        <v>3218</v>
      </c>
      <c r="D416" s="3097" t="s">
        <v>3219</v>
      </c>
      <c r="E416" s="3097" t="s">
        <v>3504</v>
      </c>
      <c r="F416" s="3097">
        <v>45.64</v>
      </c>
      <c r="G416" s="3097">
        <v>420000.27</v>
      </c>
      <c r="H416" s="3156">
        <v>9202</v>
      </c>
      <c r="I416" s="3155">
        <f t="shared" ca="1" si="238"/>
        <v>7223</v>
      </c>
      <c r="J416" s="3156">
        <f t="shared" ca="1" si="239"/>
        <v>33</v>
      </c>
      <c r="K416" s="3177"/>
      <c r="L416" s="3177"/>
      <c r="M416" s="3177"/>
      <c r="N416" s="3177"/>
      <c r="O416" s="3177"/>
    </row>
    <row r="417" spans="1:15">
      <c r="A417" s="3157" t="s">
        <v>4193</v>
      </c>
      <c r="B417" s="3157">
        <v>65</v>
      </c>
      <c r="C417" s="3096" t="s">
        <v>3218</v>
      </c>
      <c r="D417" s="3097" t="s">
        <v>3219</v>
      </c>
      <c r="E417" s="3097" t="s">
        <v>3511</v>
      </c>
      <c r="F417" s="3097">
        <v>45.64</v>
      </c>
      <c r="G417" s="3097">
        <v>420000.27</v>
      </c>
      <c r="H417" s="3156">
        <v>9202</v>
      </c>
      <c r="I417" s="3155">
        <f t="shared" ca="1" si="238"/>
        <v>7223</v>
      </c>
      <c r="J417" s="3156">
        <f t="shared" ca="1" si="239"/>
        <v>33</v>
      </c>
      <c r="K417" s="3177"/>
      <c r="L417" s="3177"/>
      <c r="M417" s="3177"/>
      <c r="N417" s="3177"/>
      <c r="O417" s="3177"/>
    </row>
    <row r="418" spans="1:15">
      <c r="A418" s="3157" t="s">
        <v>4193</v>
      </c>
      <c r="B418" s="3157">
        <v>66</v>
      </c>
      <c r="C418" s="3096" t="s">
        <v>3218</v>
      </c>
      <c r="D418" s="3097" t="s">
        <v>3219</v>
      </c>
      <c r="E418" s="3097" t="s">
        <v>3513</v>
      </c>
      <c r="F418" s="3097">
        <v>45.64</v>
      </c>
      <c r="G418" s="3097">
        <v>420000.27</v>
      </c>
      <c r="H418" s="3156">
        <v>9202</v>
      </c>
      <c r="I418" s="3155">
        <f t="shared" ca="1" si="238"/>
        <v>7223</v>
      </c>
      <c r="J418" s="3156">
        <f t="shared" ca="1" si="239"/>
        <v>33</v>
      </c>
      <c r="K418" s="3177"/>
      <c r="L418" s="3177"/>
      <c r="M418" s="3177"/>
      <c r="N418" s="3177"/>
      <c r="O418" s="3177"/>
    </row>
    <row r="419" spans="1:15">
      <c r="A419" s="3157" t="s">
        <v>4193</v>
      </c>
      <c r="B419" s="3157">
        <v>67</v>
      </c>
      <c r="C419" s="3096" t="s">
        <v>3218</v>
      </c>
      <c r="D419" s="3097" t="s">
        <v>3219</v>
      </c>
      <c r="E419" s="3097" t="s">
        <v>3519</v>
      </c>
      <c r="F419" s="3097">
        <v>45.64</v>
      </c>
      <c r="G419" s="3097">
        <v>420000.27</v>
      </c>
      <c r="H419" s="3156">
        <v>9202</v>
      </c>
      <c r="I419" s="3155">
        <f t="shared" ca="1" si="238"/>
        <v>7223</v>
      </c>
      <c r="J419" s="3156">
        <f t="shared" ca="1" si="239"/>
        <v>33</v>
      </c>
      <c r="K419" s="3177"/>
      <c r="L419" s="3177"/>
      <c r="M419" s="3177"/>
      <c r="N419" s="3177"/>
      <c r="O419" s="3177"/>
    </row>
    <row r="420" spans="1:15">
      <c r="A420" s="3157" t="s">
        <v>4193</v>
      </c>
      <c r="B420" s="3157">
        <v>68</v>
      </c>
      <c r="C420" s="3096" t="s">
        <v>3218</v>
      </c>
      <c r="D420" s="3097" t="s">
        <v>3219</v>
      </c>
      <c r="E420" s="3097" t="s">
        <v>3521</v>
      </c>
      <c r="F420" s="3097">
        <v>45.64</v>
      </c>
      <c r="G420" s="3097">
        <v>420000.27</v>
      </c>
      <c r="H420" s="3156">
        <v>9202</v>
      </c>
      <c r="I420" s="3155">
        <f t="shared" ca="1" si="238"/>
        <v>7223</v>
      </c>
      <c r="J420" s="3156">
        <f t="shared" ca="1" si="239"/>
        <v>33</v>
      </c>
      <c r="K420" s="3177"/>
      <c r="L420" s="3177"/>
      <c r="M420" s="3177"/>
      <c r="N420" s="3177"/>
      <c r="O420" s="3177"/>
    </row>
    <row r="421" spans="1:15">
      <c r="A421" s="3157" t="s">
        <v>4193</v>
      </c>
      <c r="B421" s="3157">
        <v>69</v>
      </c>
      <c r="C421" s="3096" t="s">
        <v>3218</v>
      </c>
      <c r="D421" s="3097" t="s">
        <v>3219</v>
      </c>
      <c r="E421" s="3097" t="s">
        <v>3528</v>
      </c>
      <c r="F421" s="3097">
        <v>45.64</v>
      </c>
      <c r="G421" s="3097">
        <v>420000.27</v>
      </c>
      <c r="H421" s="3156">
        <v>9202</v>
      </c>
      <c r="I421" s="3155">
        <f t="shared" ca="1" si="238"/>
        <v>7223</v>
      </c>
      <c r="J421" s="3156">
        <f t="shared" ca="1" si="239"/>
        <v>33</v>
      </c>
      <c r="K421" s="3177"/>
      <c r="L421" s="3177"/>
      <c r="M421" s="3177"/>
      <c r="N421" s="3177"/>
      <c r="O421" s="3177"/>
    </row>
    <row r="422" spans="1:15">
      <c r="A422" s="3157" t="s">
        <v>4193</v>
      </c>
      <c r="B422" s="3157">
        <v>70</v>
      </c>
      <c r="C422" s="3096" t="s">
        <v>3218</v>
      </c>
      <c r="D422" s="3097" t="s">
        <v>3219</v>
      </c>
      <c r="E422" s="3097" t="s">
        <v>3530</v>
      </c>
      <c r="F422" s="3097">
        <v>45.64</v>
      </c>
      <c r="G422" s="3097">
        <v>420000.27</v>
      </c>
      <c r="H422" s="3156">
        <v>9202</v>
      </c>
      <c r="I422" s="3155">
        <f t="shared" ca="1" si="238"/>
        <v>7223</v>
      </c>
      <c r="J422" s="3156">
        <f t="shared" ca="1" si="239"/>
        <v>33</v>
      </c>
      <c r="K422" s="3177"/>
      <c r="L422" s="3177"/>
      <c r="M422" s="3177"/>
      <c r="N422" s="3177"/>
      <c r="O422" s="3177"/>
    </row>
    <row r="423" spans="1:15">
      <c r="A423" s="3157" t="s">
        <v>4193</v>
      </c>
      <c r="B423" s="3157">
        <v>71</v>
      </c>
      <c r="C423" s="3096" t="s">
        <v>3218</v>
      </c>
      <c r="D423" s="3097" t="s">
        <v>3219</v>
      </c>
      <c r="E423" s="3097" t="s">
        <v>3537</v>
      </c>
      <c r="F423" s="3097">
        <v>45.64</v>
      </c>
      <c r="G423" s="3097">
        <v>420000.27</v>
      </c>
      <c r="H423" s="3156">
        <v>9202</v>
      </c>
      <c r="I423" s="3155">
        <f t="shared" ca="1" si="238"/>
        <v>7223</v>
      </c>
      <c r="J423" s="3156">
        <f t="shared" ca="1" si="239"/>
        <v>33</v>
      </c>
      <c r="K423" s="3177"/>
      <c r="L423" s="3177"/>
      <c r="M423" s="3177"/>
      <c r="N423" s="3177"/>
      <c r="O423" s="3177"/>
    </row>
    <row r="424" spans="1:15">
      <c r="A424" s="3157" t="s">
        <v>4193</v>
      </c>
      <c r="B424" s="3157">
        <v>72</v>
      </c>
      <c r="C424" s="3096" t="s">
        <v>3218</v>
      </c>
      <c r="D424" s="3097" t="s">
        <v>3219</v>
      </c>
      <c r="E424" s="3097" t="s">
        <v>3539</v>
      </c>
      <c r="F424" s="3097">
        <v>45.64</v>
      </c>
      <c r="G424" s="3097">
        <v>420000.27</v>
      </c>
      <c r="H424" s="3156">
        <v>9202</v>
      </c>
      <c r="I424" s="3155">
        <f t="shared" ca="1" si="238"/>
        <v>7223</v>
      </c>
      <c r="J424" s="3156">
        <f t="shared" ca="1" si="239"/>
        <v>33</v>
      </c>
      <c r="K424" s="3177"/>
      <c r="L424" s="3177"/>
      <c r="M424" s="3177"/>
      <c r="N424" s="3177"/>
      <c r="O424" s="3177"/>
    </row>
    <row r="425" spans="1:15">
      <c r="A425" s="3157" t="s">
        <v>4193</v>
      </c>
      <c r="B425" s="3157">
        <v>73</v>
      </c>
      <c r="C425" s="3096" t="s">
        <v>3218</v>
      </c>
      <c r="D425" s="3097" t="s">
        <v>3219</v>
      </c>
      <c r="E425" s="3097" t="s">
        <v>3545</v>
      </c>
      <c r="F425" s="3097">
        <v>45.64</v>
      </c>
      <c r="G425" s="3097">
        <v>420000.27</v>
      </c>
      <c r="H425" s="3156">
        <v>9202</v>
      </c>
      <c r="I425" s="3155">
        <f t="shared" ca="1" si="238"/>
        <v>7223</v>
      </c>
      <c r="J425" s="3156">
        <f t="shared" ca="1" si="239"/>
        <v>33</v>
      </c>
      <c r="K425" s="3177"/>
      <c r="L425" s="3177"/>
      <c r="M425" s="3177"/>
      <c r="N425" s="3177"/>
      <c r="O425" s="3177"/>
    </row>
    <row r="426" spans="1:15">
      <c r="A426" s="3157" t="s">
        <v>4193</v>
      </c>
      <c r="B426" s="3157">
        <v>74</v>
      </c>
      <c r="C426" s="3096" t="s">
        <v>3218</v>
      </c>
      <c r="D426" s="3097" t="s">
        <v>3219</v>
      </c>
      <c r="E426" s="3097" t="s">
        <v>3547</v>
      </c>
      <c r="F426" s="3097">
        <v>45.64</v>
      </c>
      <c r="G426" s="3097">
        <v>420000.27</v>
      </c>
      <c r="H426" s="3156">
        <v>9202</v>
      </c>
      <c r="I426" s="3155">
        <f t="shared" ca="1" si="238"/>
        <v>7223</v>
      </c>
      <c r="J426" s="3156">
        <f t="shared" ca="1" si="239"/>
        <v>33</v>
      </c>
      <c r="K426" s="3177"/>
      <c r="L426" s="3177"/>
      <c r="M426" s="3177"/>
      <c r="N426" s="3177"/>
      <c r="O426" s="3177"/>
    </row>
    <row r="427" spans="1:15">
      <c r="A427" s="3157" t="s">
        <v>4193</v>
      </c>
      <c r="B427" s="3157">
        <v>75</v>
      </c>
      <c r="C427" s="3096" t="s">
        <v>3218</v>
      </c>
      <c r="D427" s="3097" t="s">
        <v>3219</v>
      </c>
      <c r="E427" s="3097" t="s">
        <v>3553</v>
      </c>
      <c r="F427" s="3097">
        <v>45.64</v>
      </c>
      <c r="G427" s="3097">
        <v>420000.27</v>
      </c>
      <c r="H427" s="3156">
        <v>9202</v>
      </c>
      <c r="I427" s="3155">
        <f t="shared" ca="1" si="238"/>
        <v>7223</v>
      </c>
      <c r="J427" s="3156">
        <f t="shared" ca="1" si="239"/>
        <v>33</v>
      </c>
      <c r="K427" s="3177"/>
      <c r="L427" s="3177"/>
      <c r="M427" s="3177"/>
      <c r="N427" s="3177"/>
      <c r="O427" s="3177"/>
    </row>
    <row r="428" spans="1:15">
      <c r="A428" s="3157" t="s">
        <v>4193</v>
      </c>
      <c r="B428" s="3157">
        <v>76</v>
      </c>
      <c r="C428" s="3096" t="s">
        <v>3218</v>
      </c>
      <c r="D428" s="3097" t="s">
        <v>3219</v>
      </c>
      <c r="E428" s="3097" t="s">
        <v>3555</v>
      </c>
      <c r="F428" s="3097">
        <v>45.64</v>
      </c>
      <c r="G428" s="3097">
        <v>420000.27</v>
      </c>
      <c r="H428" s="3156">
        <v>9202</v>
      </c>
      <c r="I428" s="3155">
        <f t="shared" ca="1" si="238"/>
        <v>7223</v>
      </c>
      <c r="J428" s="3156">
        <f t="shared" ca="1" si="239"/>
        <v>33</v>
      </c>
      <c r="K428" s="3177"/>
      <c r="L428" s="3177"/>
      <c r="M428" s="3177"/>
      <c r="N428" s="3177"/>
      <c r="O428" s="3177"/>
    </row>
    <row r="429" spans="1:15">
      <c r="A429" s="3157" t="s">
        <v>4193</v>
      </c>
      <c r="B429" s="3157">
        <v>77</v>
      </c>
      <c r="C429" s="3096" t="s">
        <v>3218</v>
      </c>
      <c r="D429" s="3097" t="s">
        <v>3219</v>
      </c>
      <c r="E429" s="3097" t="s">
        <v>3562</v>
      </c>
      <c r="F429" s="3097">
        <v>45.64</v>
      </c>
      <c r="G429" s="3097">
        <v>420000.27</v>
      </c>
      <c r="H429" s="3156">
        <v>9202</v>
      </c>
      <c r="I429" s="3155">
        <f t="shared" ca="1" si="238"/>
        <v>7223</v>
      </c>
      <c r="J429" s="3156">
        <f t="shared" ca="1" si="239"/>
        <v>33</v>
      </c>
      <c r="K429" s="3177"/>
      <c r="L429" s="3177"/>
      <c r="M429" s="3177"/>
      <c r="N429" s="3177"/>
      <c r="O429" s="3177"/>
    </row>
    <row r="430" spans="1:15">
      <c r="A430" s="3157" t="s">
        <v>4193</v>
      </c>
      <c r="B430" s="3157">
        <v>78</v>
      </c>
      <c r="C430" s="3096" t="s">
        <v>3218</v>
      </c>
      <c r="D430" s="3097" t="s">
        <v>3219</v>
      </c>
      <c r="E430" s="3097" t="s">
        <v>3564</v>
      </c>
      <c r="F430" s="3097">
        <v>45.64</v>
      </c>
      <c r="G430" s="3097">
        <v>420000.27</v>
      </c>
      <c r="H430" s="3156">
        <v>9202</v>
      </c>
      <c r="I430" s="3155">
        <f t="shared" ca="1" si="238"/>
        <v>7223</v>
      </c>
      <c r="J430" s="3156">
        <f t="shared" ca="1" si="239"/>
        <v>33</v>
      </c>
      <c r="K430" s="3177"/>
      <c r="L430" s="3177"/>
      <c r="M430" s="3177"/>
      <c r="N430" s="3177"/>
      <c r="O430" s="3177"/>
    </row>
    <row r="431" spans="1:15">
      <c r="A431" s="3157" t="s">
        <v>4193</v>
      </c>
      <c r="B431" s="3157">
        <v>79</v>
      </c>
      <c r="C431" s="3096" t="s">
        <v>3218</v>
      </c>
      <c r="D431" s="3097" t="s">
        <v>3219</v>
      </c>
      <c r="E431" s="3097" t="s">
        <v>4457</v>
      </c>
      <c r="F431" s="3097">
        <v>45.64</v>
      </c>
      <c r="G431" s="3097">
        <v>420000.27</v>
      </c>
      <c r="H431" s="3156">
        <v>9202</v>
      </c>
      <c r="I431" s="3155">
        <f t="shared" ca="1" si="238"/>
        <v>7223</v>
      </c>
      <c r="J431" s="3156">
        <f t="shared" ca="1" si="239"/>
        <v>33</v>
      </c>
      <c r="K431" s="3177"/>
      <c r="L431" s="3177"/>
      <c r="M431" s="3177"/>
      <c r="N431" s="3177"/>
      <c r="O431" s="3177"/>
    </row>
    <row r="432" spans="1:15">
      <c r="A432" s="3157" t="s">
        <v>4193</v>
      </c>
      <c r="B432" s="3157">
        <v>80</v>
      </c>
      <c r="C432" s="3096" t="s">
        <v>3218</v>
      </c>
      <c r="D432" s="3097" t="s">
        <v>3219</v>
      </c>
      <c r="E432" s="3097" t="s">
        <v>4458</v>
      </c>
      <c r="F432" s="3097">
        <v>45.64</v>
      </c>
      <c r="G432" s="3097">
        <v>420000.27</v>
      </c>
      <c r="H432" s="3156">
        <v>9202</v>
      </c>
      <c r="I432" s="3155">
        <f t="shared" ca="1" si="238"/>
        <v>7223</v>
      </c>
      <c r="J432" s="3156">
        <f t="shared" ca="1" si="239"/>
        <v>33</v>
      </c>
      <c r="K432" s="3177"/>
      <c r="L432" s="3177"/>
      <c r="M432" s="3177"/>
      <c r="N432" s="3177"/>
      <c r="O432" s="3177"/>
    </row>
    <row r="433" spans="1:15">
      <c r="A433" s="3157" t="s">
        <v>4193</v>
      </c>
      <c r="B433" s="3157">
        <v>81</v>
      </c>
      <c r="C433" s="3096" t="s">
        <v>3218</v>
      </c>
      <c r="D433" s="3097" t="s">
        <v>3219</v>
      </c>
      <c r="E433" s="3097" t="s">
        <v>3576</v>
      </c>
      <c r="F433" s="3097">
        <v>45.64</v>
      </c>
      <c r="G433" s="3097">
        <v>420000.27</v>
      </c>
      <c r="H433" s="3156">
        <v>9202</v>
      </c>
      <c r="I433" s="3155">
        <f t="shared" ca="1" si="238"/>
        <v>7223</v>
      </c>
      <c r="J433" s="3156">
        <f t="shared" ca="1" si="239"/>
        <v>33</v>
      </c>
      <c r="K433" s="3177"/>
      <c r="L433" s="3177"/>
      <c r="M433" s="3177"/>
      <c r="N433" s="3177"/>
      <c r="O433" s="3177"/>
    </row>
    <row r="434" spans="1:15">
      <c r="A434" s="3157" t="s">
        <v>4193</v>
      </c>
      <c r="B434" s="3157">
        <v>82</v>
      </c>
      <c r="C434" s="3096" t="s">
        <v>3218</v>
      </c>
      <c r="D434" s="3097" t="s">
        <v>3219</v>
      </c>
      <c r="E434" s="3097" t="s">
        <v>3578</v>
      </c>
      <c r="F434" s="3097">
        <v>45.64</v>
      </c>
      <c r="G434" s="3097">
        <v>420000.27</v>
      </c>
      <c r="H434" s="3156">
        <v>9202</v>
      </c>
      <c r="I434" s="3155">
        <f t="shared" ca="1" si="238"/>
        <v>7223</v>
      </c>
      <c r="J434" s="3156">
        <f t="shared" ca="1" si="239"/>
        <v>33</v>
      </c>
      <c r="K434" s="3177"/>
      <c r="L434" s="3177"/>
      <c r="M434" s="3177"/>
      <c r="N434" s="3177"/>
      <c r="O434" s="3177"/>
    </row>
    <row r="435" spans="1:15">
      <c r="A435" s="3157" t="s">
        <v>4193</v>
      </c>
      <c r="B435" s="3157">
        <v>83</v>
      </c>
      <c r="C435" s="3096" t="s">
        <v>3218</v>
      </c>
      <c r="D435" s="3097" t="s">
        <v>3219</v>
      </c>
      <c r="E435" s="3097" t="s">
        <v>3584</v>
      </c>
      <c r="F435" s="3097">
        <v>45.64</v>
      </c>
      <c r="G435" s="3097">
        <v>420000.27</v>
      </c>
      <c r="H435" s="3156">
        <v>9202</v>
      </c>
      <c r="I435" s="3155">
        <f t="shared" ca="1" si="238"/>
        <v>7223</v>
      </c>
      <c r="J435" s="3156">
        <f t="shared" ca="1" si="239"/>
        <v>33</v>
      </c>
      <c r="K435" s="3177"/>
      <c r="L435" s="3177"/>
      <c r="M435" s="3177"/>
      <c r="N435" s="3177"/>
      <c r="O435" s="3177"/>
    </row>
    <row r="436" spans="1:15">
      <c r="A436" s="3157" t="s">
        <v>4193</v>
      </c>
      <c r="B436" s="3157">
        <v>84</v>
      </c>
      <c r="C436" s="3096" t="s">
        <v>3218</v>
      </c>
      <c r="D436" s="3097" t="s">
        <v>3219</v>
      </c>
      <c r="E436" s="3097" t="s">
        <v>3586</v>
      </c>
      <c r="F436" s="3097">
        <v>45.64</v>
      </c>
      <c r="G436" s="3097">
        <v>420000.27</v>
      </c>
      <c r="H436" s="3156">
        <v>9202</v>
      </c>
      <c r="I436" s="3155">
        <f t="shared" ca="1" si="238"/>
        <v>7223</v>
      </c>
      <c r="J436" s="3156">
        <f t="shared" ca="1" si="239"/>
        <v>33</v>
      </c>
      <c r="K436" s="3177"/>
      <c r="L436" s="3177"/>
      <c r="M436" s="3177"/>
      <c r="N436" s="3177"/>
      <c r="O436" s="3177"/>
    </row>
    <row r="437" spans="1:15">
      <c r="A437" s="3157" t="s">
        <v>4193</v>
      </c>
      <c r="B437" s="3157">
        <v>85</v>
      </c>
      <c r="C437" s="3096" t="s">
        <v>3218</v>
      </c>
      <c r="D437" s="3097" t="s">
        <v>3219</v>
      </c>
      <c r="E437" s="3097" t="s">
        <v>3593</v>
      </c>
      <c r="F437" s="3097">
        <v>45.64</v>
      </c>
      <c r="G437" s="3097">
        <v>420000.27</v>
      </c>
      <c r="H437" s="3156">
        <v>9202</v>
      </c>
      <c r="I437" s="3155">
        <f t="shared" ca="1" si="238"/>
        <v>7223</v>
      </c>
      <c r="J437" s="3156">
        <f t="shared" ca="1" si="239"/>
        <v>33</v>
      </c>
      <c r="K437" s="3177"/>
      <c r="L437" s="3177"/>
      <c r="M437" s="3177"/>
      <c r="N437" s="3177"/>
      <c r="O437" s="3177"/>
    </row>
    <row r="438" spans="1:15">
      <c r="A438" s="3157" t="s">
        <v>4193</v>
      </c>
      <c r="B438" s="3157">
        <v>86</v>
      </c>
      <c r="C438" s="3096" t="s">
        <v>3218</v>
      </c>
      <c r="D438" s="3097" t="s">
        <v>3219</v>
      </c>
      <c r="E438" s="3097" t="s">
        <v>3595</v>
      </c>
      <c r="F438" s="3097">
        <v>45.64</v>
      </c>
      <c r="G438" s="3097">
        <v>420000.27</v>
      </c>
      <c r="H438" s="3156">
        <v>9202</v>
      </c>
      <c r="I438" s="3155">
        <f t="shared" ca="1" si="238"/>
        <v>7223</v>
      </c>
      <c r="J438" s="3156">
        <f t="shared" ca="1" si="239"/>
        <v>33</v>
      </c>
      <c r="K438" s="3177"/>
      <c r="L438" s="3177"/>
      <c r="M438" s="3177"/>
      <c r="N438" s="3177"/>
      <c r="O438" s="3177"/>
    </row>
    <row r="439" spans="1:15">
      <c r="A439" s="3157" t="s">
        <v>4193</v>
      </c>
      <c r="B439" s="3157">
        <v>87</v>
      </c>
      <c r="C439" s="3096" t="s">
        <v>3218</v>
      </c>
      <c r="D439" s="3097" t="s">
        <v>3219</v>
      </c>
      <c r="E439" s="3097" t="s">
        <v>3601</v>
      </c>
      <c r="F439" s="3097">
        <v>45.64</v>
      </c>
      <c r="G439" s="3097">
        <v>420000.27</v>
      </c>
      <c r="H439" s="3156">
        <v>9202</v>
      </c>
      <c r="I439" s="3155">
        <f t="shared" ca="1" si="238"/>
        <v>7223</v>
      </c>
      <c r="J439" s="3156">
        <f t="shared" ca="1" si="239"/>
        <v>33</v>
      </c>
      <c r="K439" s="3177"/>
      <c r="L439" s="3177"/>
      <c r="M439" s="3177"/>
      <c r="N439" s="3177"/>
      <c r="O439" s="3177"/>
    </row>
    <row r="440" spans="1:15">
      <c r="A440" s="3157" t="s">
        <v>4193</v>
      </c>
      <c r="B440" s="3157">
        <v>88</v>
      </c>
      <c r="C440" s="3096" t="s">
        <v>3218</v>
      </c>
      <c r="D440" s="3097" t="s">
        <v>3219</v>
      </c>
      <c r="E440" s="3097" t="s">
        <v>3603</v>
      </c>
      <c r="F440" s="3097">
        <v>45.64</v>
      </c>
      <c r="G440" s="3097">
        <v>420000.27</v>
      </c>
      <c r="H440" s="3156">
        <v>9202</v>
      </c>
      <c r="I440" s="3155">
        <f t="shared" ca="1" si="238"/>
        <v>7223</v>
      </c>
      <c r="J440" s="3156">
        <f t="shared" ca="1" si="239"/>
        <v>33</v>
      </c>
      <c r="K440" s="3177"/>
      <c r="L440" s="3177"/>
      <c r="M440" s="3177"/>
      <c r="N440" s="3177"/>
      <c r="O440" s="3177"/>
    </row>
    <row r="441" spans="1:15">
      <c r="A441" s="3157" t="s">
        <v>4193</v>
      </c>
      <c r="B441" s="3157">
        <v>89</v>
      </c>
      <c r="C441" s="3096" t="s">
        <v>3218</v>
      </c>
      <c r="D441" s="3097" t="s">
        <v>3219</v>
      </c>
      <c r="E441" s="3097" t="s">
        <v>3609</v>
      </c>
      <c r="F441" s="3097">
        <v>45.64</v>
      </c>
      <c r="G441" s="3097">
        <v>420000.27</v>
      </c>
      <c r="H441" s="3156">
        <v>9202</v>
      </c>
      <c r="I441" s="3155">
        <f t="shared" ca="1" si="238"/>
        <v>7223</v>
      </c>
      <c r="J441" s="3156">
        <f t="shared" ca="1" si="239"/>
        <v>33</v>
      </c>
      <c r="K441" s="3177"/>
      <c r="L441" s="3177"/>
      <c r="M441" s="3177"/>
      <c r="N441" s="3177"/>
      <c r="O441" s="3177"/>
    </row>
    <row r="442" spans="1:15">
      <c r="A442" s="3157" t="s">
        <v>4193</v>
      </c>
      <c r="B442" s="3157">
        <v>90</v>
      </c>
      <c r="C442" s="3096" t="s">
        <v>3218</v>
      </c>
      <c r="D442" s="3097" t="s">
        <v>3219</v>
      </c>
      <c r="E442" s="3097" t="s">
        <v>3611</v>
      </c>
      <c r="F442" s="3097">
        <v>45.64</v>
      </c>
      <c r="G442" s="3097">
        <v>420000.27</v>
      </c>
      <c r="H442" s="3156">
        <v>9202</v>
      </c>
      <c r="I442" s="3155">
        <f t="shared" ca="1" si="238"/>
        <v>7223</v>
      </c>
      <c r="J442" s="3156">
        <f t="shared" ca="1" si="239"/>
        <v>33</v>
      </c>
      <c r="K442" s="3177"/>
      <c r="L442" s="3177"/>
      <c r="M442" s="3177"/>
      <c r="N442" s="3177"/>
      <c r="O442" s="3177"/>
    </row>
    <row r="443" spans="1:15">
      <c r="A443" s="3157" t="s">
        <v>4193</v>
      </c>
      <c r="B443" s="3157">
        <v>91</v>
      </c>
      <c r="C443" s="3096" t="s">
        <v>3218</v>
      </c>
      <c r="D443" s="3097" t="s">
        <v>3219</v>
      </c>
      <c r="E443" s="3097" t="s">
        <v>3618</v>
      </c>
      <c r="F443" s="3097">
        <v>45.64</v>
      </c>
      <c r="G443" s="3097">
        <v>420000.27</v>
      </c>
      <c r="H443" s="3156">
        <v>9202</v>
      </c>
      <c r="I443" s="3155">
        <f t="shared" ca="1" si="238"/>
        <v>7223</v>
      </c>
      <c r="J443" s="3156">
        <f t="shared" ca="1" si="239"/>
        <v>33</v>
      </c>
      <c r="K443" s="3177"/>
      <c r="L443" s="3177"/>
      <c r="M443" s="3177"/>
      <c r="N443" s="3177"/>
      <c r="O443" s="3177"/>
    </row>
    <row r="444" spans="1:15">
      <c r="A444" s="3157" t="s">
        <v>4193</v>
      </c>
      <c r="B444" s="3157">
        <v>92</v>
      </c>
      <c r="C444" s="3096" t="s">
        <v>3218</v>
      </c>
      <c r="D444" s="3097" t="s">
        <v>3219</v>
      </c>
      <c r="E444" s="3097" t="s">
        <v>3620</v>
      </c>
      <c r="F444" s="3097">
        <v>45.64</v>
      </c>
      <c r="G444" s="3097">
        <v>420000.27</v>
      </c>
      <c r="H444" s="3156">
        <v>9202</v>
      </c>
      <c r="I444" s="3155">
        <f t="shared" ca="1" si="238"/>
        <v>7223</v>
      </c>
      <c r="J444" s="3156">
        <f t="shared" ca="1" si="239"/>
        <v>33</v>
      </c>
      <c r="K444" s="3177"/>
      <c r="L444" s="3177"/>
      <c r="M444" s="3177"/>
      <c r="N444" s="3177"/>
      <c r="O444" s="3177"/>
    </row>
    <row r="445" spans="1:15">
      <c r="A445" s="3157" t="s">
        <v>4193</v>
      </c>
      <c r="B445" s="3157">
        <v>93</v>
      </c>
      <c r="C445" s="3096" t="s">
        <v>3218</v>
      </c>
      <c r="D445" s="3097" t="s">
        <v>3219</v>
      </c>
      <c r="E445" s="3097" t="s">
        <v>3627</v>
      </c>
      <c r="F445" s="3097">
        <v>45.64</v>
      </c>
      <c r="G445" s="3097">
        <v>420000.27</v>
      </c>
      <c r="H445" s="3156">
        <v>9202</v>
      </c>
      <c r="I445" s="3155">
        <f t="shared" ca="1" si="238"/>
        <v>7223</v>
      </c>
      <c r="J445" s="3156">
        <f t="shared" ca="1" si="239"/>
        <v>33</v>
      </c>
      <c r="K445" s="3177"/>
      <c r="L445" s="3177"/>
      <c r="M445" s="3177"/>
      <c r="N445" s="3177"/>
      <c r="O445" s="3177"/>
    </row>
    <row r="446" spans="1:15">
      <c r="A446" s="3157" t="s">
        <v>4193</v>
      </c>
      <c r="B446" s="3157">
        <v>94</v>
      </c>
      <c r="C446" s="3096" t="s">
        <v>3218</v>
      </c>
      <c r="D446" s="3097" t="s">
        <v>3219</v>
      </c>
      <c r="E446" s="3097" t="s">
        <v>3629</v>
      </c>
      <c r="F446" s="3097">
        <v>45.64</v>
      </c>
      <c r="G446" s="3097">
        <v>420000.27</v>
      </c>
      <c r="H446" s="3156">
        <v>9202</v>
      </c>
      <c r="I446" s="3155">
        <f t="shared" ca="1" si="238"/>
        <v>7223</v>
      </c>
      <c r="J446" s="3156">
        <f t="shared" ca="1" si="239"/>
        <v>33</v>
      </c>
      <c r="K446" s="3177"/>
      <c r="L446" s="3177"/>
      <c r="M446" s="3177"/>
      <c r="N446" s="3177"/>
      <c r="O446" s="3177"/>
    </row>
    <row r="447" spans="1:15">
      <c r="A447" s="3157" t="s">
        <v>4193</v>
      </c>
      <c r="B447" s="3157">
        <v>95</v>
      </c>
      <c r="C447" s="3096" t="s">
        <v>3218</v>
      </c>
      <c r="D447" s="3097" t="s">
        <v>3219</v>
      </c>
      <c r="E447" s="3097" t="s">
        <v>3636</v>
      </c>
      <c r="F447" s="3097">
        <v>45.64</v>
      </c>
      <c r="G447" s="3097">
        <v>420000.27</v>
      </c>
      <c r="H447" s="3156">
        <v>9202</v>
      </c>
      <c r="I447" s="3155">
        <f t="shared" ca="1" si="238"/>
        <v>7223</v>
      </c>
      <c r="J447" s="3156">
        <f t="shared" ca="1" si="239"/>
        <v>33</v>
      </c>
      <c r="K447" s="3177"/>
      <c r="L447" s="3177"/>
      <c r="M447" s="3177"/>
      <c r="N447" s="3177"/>
      <c r="O447" s="3177"/>
    </row>
    <row r="448" spans="1:15">
      <c r="A448" s="3157" t="s">
        <v>4193</v>
      </c>
      <c r="B448" s="3157">
        <v>96</v>
      </c>
      <c r="C448" s="3096" t="s">
        <v>3218</v>
      </c>
      <c r="D448" s="3097" t="s">
        <v>3219</v>
      </c>
      <c r="E448" s="3097" t="s">
        <v>3638</v>
      </c>
      <c r="F448" s="3097">
        <v>45.64</v>
      </c>
      <c r="G448" s="3097">
        <v>420000.27</v>
      </c>
      <c r="H448" s="3156">
        <v>9202</v>
      </c>
      <c r="I448" s="3155">
        <f t="shared" ca="1" si="238"/>
        <v>7223</v>
      </c>
      <c r="J448" s="3156">
        <f t="shared" ca="1" si="239"/>
        <v>33</v>
      </c>
      <c r="K448" s="3177"/>
      <c r="L448" s="3177"/>
      <c r="M448" s="3177"/>
      <c r="N448" s="3177"/>
      <c r="O448" s="3177"/>
    </row>
    <row r="449" spans="1:15">
      <c r="A449" s="3157" t="s">
        <v>4193</v>
      </c>
      <c r="B449" s="3157">
        <v>97</v>
      </c>
      <c r="C449" s="3096" t="s">
        <v>3218</v>
      </c>
      <c r="D449" s="3097" t="s">
        <v>3219</v>
      </c>
      <c r="E449" s="3097" t="s">
        <v>3644</v>
      </c>
      <c r="F449" s="3097">
        <v>45.64</v>
      </c>
      <c r="G449" s="3097">
        <v>420000.27</v>
      </c>
      <c r="H449" s="3156">
        <v>9202</v>
      </c>
      <c r="I449" s="3155">
        <f t="shared" ca="1" si="238"/>
        <v>7223</v>
      </c>
      <c r="J449" s="3156">
        <f t="shared" ca="1" si="239"/>
        <v>33</v>
      </c>
      <c r="K449" s="3177"/>
      <c r="L449" s="3177"/>
      <c r="M449" s="3177"/>
      <c r="N449" s="3177"/>
      <c r="O449" s="3177"/>
    </row>
    <row r="450" spans="1:15">
      <c r="A450" s="3157" t="s">
        <v>4193</v>
      </c>
      <c r="B450" s="3157">
        <v>98</v>
      </c>
      <c r="C450" s="3096" t="s">
        <v>3218</v>
      </c>
      <c r="D450" s="3097" t="s">
        <v>3219</v>
      </c>
      <c r="E450" s="3097" t="s">
        <v>3646</v>
      </c>
      <c r="F450" s="3097">
        <v>45.64</v>
      </c>
      <c r="G450" s="3097">
        <v>420000.27</v>
      </c>
      <c r="H450" s="3156">
        <v>9202</v>
      </c>
      <c r="I450" s="3155">
        <f t="shared" ca="1" si="238"/>
        <v>7223</v>
      </c>
      <c r="J450" s="3156">
        <f t="shared" ca="1" si="239"/>
        <v>33</v>
      </c>
      <c r="K450" s="3177"/>
      <c r="L450" s="3177"/>
      <c r="M450" s="3177"/>
      <c r="N450" s="3177"/>
      <c r="O450" s="3177"/>
    </row>
    <row r="451" spans="1:15">
      <c r="A451" s="3157" t="s">
        <v>4193</v>
      </c>
      <c r="B451" s="3157">
        <v>99</v>
      </c>
      <c r="C451" s="3096" t="s">
        <v>3218</v>
      </c>
      <c r="D451" s="3097" t="s">
        <v>3219</v>
      </c>
      <c r="E451" s="3097" t="s">
        <v>3656</v>
      </c>
      <c r="F451" s="3097">
        <v>45.64</v>
      </c>
      <c r="G451" s="3097">
        <v>420000.27</v>
      </c>
      <c r="H451" s="3156">
        <v>9202</v>
      </c>
      <c r="I451" s="3155">
        <f t="shared" ca="1" si="238"/>
        <v>7223</v>
      </c>
      <c r="J451" s="3156">
        <f t="shared" ca="1" si="239"/>
        <v>33</v>
      </c>
      <c r="K451" s="3177"/>
      <c r="L451" s="3177"/>
      <c r="M451" s="3177"/>
      <c r="N451" s="3177"/>
      <c r="O451" s="3177"/>
    </row>
    <row r="452" spans="1:15">
      <c r="A452" s="3157" t="s">
        <v>4193</v>
      </c>
      <c r="B452" s="3157">
        <v>100</v>
      </c>
      <c r="C452" s="3096" t="s">
        <v>3218</v>
      </c>
      <c r="D452" s="3097" t="s">
        <v>3219</v>
      </c>
      <c r="E452" s="3097" t="s">
        <v>3658</v>
      </c>
      <c r="F452" s="3097">
        <v>45.64</v>
      </c>
      <c r="G452" s="3097">
        <v>420000.27</v>
      </c>
      <c r="H452" s="3156">
        <v>9202</v>
      </c>
      <c r="I452" s="3155">
        <f t="shared" ca="1" si="238"/>
        <v>7223</v>
      </c>
      <c r="J452" s="3156">
        <f t="shared" ca="1" si="239"/>
        <v>33</v>
      </c>
      <c r="K452" s="3177"/>
      <c r="L452" s="3177"/>
      <c r="M452" s="3177"/>
      <c r="N452" s="3177"/>
      <c r="O452" s="3177"/>
    </row>
    <row r="453" spans="1:15">
      <c r="A453" s="3157" t="s">
        <v>4193</v>
      </c>
      <c r="B453" s="3157">
        <v>101</v>
      </c>
      <c r="C453" s="3096" t="s">
        <v>3218</v>
      </c>
      <c r="D453" s="3097" t="s">
        <v>3219</v>
      </c>
      <c r="E453" s="3097" t="s">
        <v>3664</v>
      </c>
      <c r="F453" s="3097">
        <v>45.64</v>
      </c>
      <c r="G453" s="3097">
        <v>420000.27</v>
      </c>
      <c r="H453" s="3156">
        <v>9202</v>
      </c>
      <c r="I453" s="3155">
        <f t="shared" ca="1" si="238"/>
        <v>7223</v>
      </c>
      <c r="J453" s="3156">
        <f t="shared" ca="1" si="239"/>
        <v>33</v>
      </c>
      <c r="K453" s="3177"/>
      <c r="L453" s="3177"/>
      <c r="M453" s="3177"/>
      <c r="N453" s="3177"/>
      <c r="O453" s="3177"/>
    </row>
    <row r="454" spans="1:15">
      <c r="A454" s="3157" t="s">
        <v>4193</v>
      </c>
      <c r="B454" s="3157">
        <v>102</v>
      </c>
      <c r="C454" s="3096" t="s">
        <v>3218</v>
      </c>
      <c r="D454" s="3097" t="s">
        <v>3219</v>
      </c>
      <c r="E454" s="3097" t="s">
        <v>3666</v>
      </c>
      <c r="F454" s="3097">
        <v>45.64</v>
      </c>
      <c r="G454" s="3097">
        <v>420000.27</v>
      </c>
      <c r="H454" s="3156">
        <v>9202</v>
      </c>
      <c r="I454" s="3155">
        <f t="shared" ca="1" si="238"/>
        <v>7223</v>
      </c>
      <c r="J454" s="3156">
        <f t="shared" ca="1" si="239"/>
        <v>33</v>
      </c>
      <c r="K454" s="3177"/>
      <c r="L454" s="3177"/>
      <c r="M454" s="3177"/>
      <c r="N454" s="3177"/>
      <c r="O454" s="3177"/>
    </row>
    <row r="455" spans="1:15">
      <c r="A455" s="3157" t="s">
        <v>4192</v>
      </c>
      <c r="B455" s="3157">
        <v>103</v>
      </c>
      <c r="C455" s="3096" t="s">
        <v>3218</v>
      </c>
      <c r="D455" s="3097" t="s">
        <v>3219</v>
      </c>
      <c r="E455" s="3097" t="s">
        <v>3673</v>
      </c>
      <c r="F455" s="3097">
        <v>45.64</v>
      </c>
      <c r="G455" s="3097">
        <v>420000.27</v>
      </c>
      <c r="H455" s="3156">
        <v>9202</v>
      </c>
      <c r="I455" s="3155">
        <f t="shared" ca="1" si="238"/>
        <v>7223</v>
      </c>
      <c r="J455" s="3156">
        <f t="shared" ca="1" si="239"/>
        <v>33</v>
      </c>
      <c r="K455" s="3177"/>
      <c r="L455" s="3177"/>
      <c r="M455" s="3177"/>
      <c r="N455" s="3177"/>
      <c r="O455" s="3177"/>
    </row>
    <row r="456" spans="1:15">
      <c r="A456" s="3157" t="s">
        <v>4192</v>
      </c>
      <c r="B456" s="3157">
        <v>104</v>
      </c>
      <c r="C456" s="3096" t="s">
        <v>3218</v>
      </c>
      <c r="D456" s="3097" t="s">
        <v>3219</v>
      </c>
      <c r="E456" s="3097" t="s">
        <v>3675</v>
      </c>
      <c r="F456" s="3097">
        <v>45.64</v>
      </c>
      <c r="G456" s="3097">
        <v>420000.27</v>
      </c>
      <c r="H456" s="3156">
        <v>9202</v>
      </c>
      <c r="I456" s="3155">
        <f t="shared" ca="1" si="238"/>
        <v>7223</v>
      </c>
      <c r="J456" s="3156">
        <f t="shared" ca="1" si="239"/>
        <v>33</v>
      </c>
      <c r="K456" s="3177"/>
      <c r="L456" s="3177"/>
      <c r="M456" s="3177"/>
      <c r="N456" s="3177"/>
      <c r="O456" s="3177"/>
    </row>
    <row r="457" spans="1:15">
      <c r="A457" s="3157" t="s">
        <v>4192</v>
      </c>
      <c r="B457" s="3157">
        <v>105</v>
      </c>
      <c r="C457" s="3096" t="s">
        <v>3218</v>
      </c>
      <c r="D457" s="3097" t="s">
        <v>3219</v>
      </c>
      <c r="E457" s="3097" t="s">
        <v>3682</v>
      </c>
      <c r="F457" s="3097">
        <v>45.64</v>
      </c>
      <c r="G457" s="3097">
        <v>420000.27</v>
      </c>
      <c r="H457" s="3156">
        <v>9202</v>
      </c>
      <c r="I457" s="3155">
        <f t="shared" ca="1" si="238"/>
        <v>7223</v>
      </c>
      <c r="J457" s="3156">
        <f t="shared" ca="1" si="239"/>
        <v>33</v>
      </c>
      <c r="K457" s="3177"/>
      <c r="L457" s="3177"/>
      <c r="M457" s="3177"/>
      <c r="N457" s="3177"/>
      <c r="O457" s="3177"/>
    </row>
    <row r="458" spans="1:15">
      <c r="A458" s="3157" t="s">
        <v>4192</v>
      </c>
      <c r="B458" s="3157">
        <v>106</v>
      </c>
      <c r="C458" s="3096" t="s">
        <v>3218</v>
      </c>
      <c r="D458" s="3097" t="s">
        <v>3219</v>
      </c>
      <c r="E458" s="3097" t="s">
        <v>3684</v>
      </c>
      <c r="F458" s="3097">
        <v>45.64</v>
      </c>
      <c r="G458" s="3097">
        <v>420000.27</v>
      </c>
      <c r="H458" s="3156">
        <v>9202</v>
      </c>
      <c r="I458" s="3155">
        <f t="shared" ca="1" si="238"/>
        <v>7223</v>
      </c>
      <c r="J458" s="3156">
        <f t="shared" ca="1" si="239"/>
        <v>33</v>
      </c>
      <c r="K458" s="3177"/>
      <c r="L458" s="3177"/>
      <c r="M458" s="3177"/>
      <c r="N458" s="3177"/>
      <c r="O458" s="3177"/>
    </row>
    <row r="459" spans="1:15">
      <c r="A459" s="3157" t="s">
        <v>4192</v>
      </c>
      <c r="B459" s="3157">
        <v>107</v>
      </c>
      <c r="C459" s="3096" t="s">
        <v>3218</v>
      </c>
      <c r="D459" s="3097" t="s">
        <v>3219</v>
      </c>
      <c r="E459" s="3097" t="s">
        <v>3690</v>
      </c>
      <c r="F459" s="3097">
        <v>45.64</v>
      </c>
      <c r="G459" s="3097">
        <v>420000.27</v>
      </c>
      <c r="H459" s="3156">
        <v>9202</v>
      </c>
      <c r="I459" s="3155">
        <f t="shared" ca="1" si="238"/>
        <v>7223</v>
      </c>
      <c r="J459" s="3156">
        <f t="shared" ca="1" si="239"/>
        <v>33</v>
      </c>
      <c r="K459" s="3177"/>
      <c r="L459" s="3177"/>
      <c r="M459" s="3177"/>
      <c r="N459" s="3177"/>
      <c r="O459" s="3177"/>
    </row>
    <row r="460" spans="1:15">
      <c r="A460" s="3157" t="s">
        <v>4192</v>
      </c>
      <c r="B460" s="3157">
        <v>108</v>
      </c>
      <c r="C460" s="3096" t="s">
        <v>3218</v>
      </c>
      <c r="D460" s="3097" t="s">
        <v>3219</v>
      </c>
      <c r="E460" s="3097" t="s">
        <v>3692</v>
      </c>
      <c r="F460" s="3097">
        <v>45.64</v>
      </c>
      <c r="G460" s="3097">
        <v>420000.27</v>
      </c>
      <c r="H460" s="3156">
        <v>9202</v>
      </c>
      <c r="I460" s="3155">
        <f t="shared" ca="1" si="238"/>
        <v>7223</v>
      </c>
      <c r="J460" s="3156">
        <f t="shared" ca="1" si="239"/>
        <v>33</v>
      </c>
      <c r="K460" s="3177"/>
      <c r="L460" s="3177"/>
      <c r="M460" s="3177"/>
      <c r="N460" s="3177"/>
      <c r="O460" s="3177"/>
    </row>
    <row r="461" spans="1:15">
      <c r="A461" s="3157" t="s">
        <v>4192</v>
      </c>
      <c r="B461" s="3157">
        <v>109</v>
      </c>
      <c r="C461" s="3096" t="s">
        <v>3218</v>
      </c>
      <c r="D461" s="3097" t="s">
        <v>3219</v>
      </c>
      <c r="E461" s="3097" t="s">
        <v>3699</v>
      </c>
      <c r="F461" s="3097">
        <v>45.64</v>
      </c>
      <c r="G461" s="3097">
        <v>420000.27</v>
      </c>
      <c r="H461" s="3156">
        <v>9202</v>
      </c>
      <c r="I461" s="3155">
        <f t="shared" ca="1" si="238"/>
        <v>7223</v>
      </c>
      <c r="J461" s="3156">
        <f t="shared" ca="1" si="239"/>
        <v>33</v>
      </c>
      <c r="K461" s="3177"/>
      <c r="L461" s="3177"/>
      <c r="M461" s="3177"/>
      <c r="N461" s="3177"/>
      <c r="O461" s="3177"/>
    </row>
    <row r="462" spans="1:15">
      <c r="A462" s="3157" t="s">
        <v>4192</v>
      </c>
      <c r="B462" s="3157">
        <v>110</v>
      </c>
      <c r="C462" s="3096" t="s">
        <v>3218</v>
      </c>
      <c r="D462" s="3097" t="s">
        <v>3219</v>
      </c>
      <c r="E462" s="3097" t="s">
        <v>3701</v>
      </c>
      <c r="F462" s="3097">
        <v>45.64</v>
      </c>
      <c r="G462" s="3097">
        <v>420000.27</v>
      </c>
      <c r="H462" s="3156">
        <v>9202</v>
      </c>
      <c r="I462" s="3155">
        <f t="shared" ref="I462:I525" ca="1" si="240">IF(C462="大证住宅",$R$2,IF(C462="仓储",$R$3,$R$4))</f>
        <v>7223</v>
      </c>
      <c r="J462" s="3156">
        <f t="shared" ref="J462:J525" ca="1" si="241">ROUND(I462*F462/10000,0)</f>
        <v>33</v>
      </c>
      <c r="K462" s="3177"/>
      <c r="L462" s="3177"/>
      <c r="M462" s="3177"/>
      <c r="N462" s="3177"/>
      <c r="O462" s="3177"/>
    </row>
    <row r="463" spans="1:15">
      <c r="A463" s="3157" t="s">
        <v>4192</v>
      </c>
      <c r="B463" s="3157">
        <v>111</v>
      </c>
      <c r="C463" s="3096" t="s">
        <v>3218</v>
      </c>
      <c r="D463" s="3097" t="s">
        <v>3219</v>
      </c>
      <c r="E463" s="3097" t="s">
        <v>3708</v>
      </c>
      <c r="F463" s="3097">
        <v>45.64</v>
      </c>
      <c r="G463" s="3097">
        <v>420000.27</v>
      </c>
      <c r="H463" s="3156">
        <v>9202</v>
      </c>
      <c r="I463" s="3155">
        <f t="shared" ca="1" si="240"/>
        <v>7223</v>
      </c>
      <c r="J463" s="3156">
        <f t="shared" ca="1" si="241"/>
        <v>33</v>
      </c>
      <c r="K463" s="3177"/>
      <c r="L463" s="3177"/>
      <c r="M463" s="3177"/>
      <c r="N463" s="3177"/>
      <c r="O463" s="3177"/>
    </row>
    <row r="464" spans="1:15">
      <c r="A464" s="3157" t="s">
        <v>4192</v>
      </c>
      <c r="B464" s="3157">
        <v>112</v>
      </c>
      <c r="C464" s="3096" t="s">
        <v>3218</v>
      </c>
      <c r="D464" s="3097" t="s">
        <v>3219</v>
      </c>
      <c r="E464" s="3097" t="s">
        <v>3710</v>
      </c>
      <c r="F464" s="3097">
        <v>45.64</v>
      </c>
      <c r="G464" s="3097">
        <v>420000.27</v>
      </c>
      <c r="H464" s="3156">
        <v>9202</v>
      </c>
      <c r="I464" s="3155">
        <f t="shared" ca="1" si="240"/>
        <v>7223</v>
      </c>
      <c r="J464" s="3156">
        <f t="shared" ca="1" si="241"/>
        <v>33</v>
      </c>
      <c r="K464" s="3177"/>
      <c r="L464" s="3177"/>
      <c r="M464" s="3177"/>
      <c r="N464" s="3177"/>
      <c r="O464" s="3177"/>
    </row>
    <row r="465" spans="1:15">
      <c r="A465" s="3157" t="s">
        <v>4191</v>
      </c>
      <c r="B465" s="3157">
        <v>113</v>
      </c>
      <c r="C465" s="3096" t="s">
        <v>3218</v>
      </c>
      <c r="D465" s="3097" t="s">
        <v>3219</v>
      </c>
      <c r="E465" s="3097" t="s">
        <v>3717</v>
      </c>
      <c r="F465" s="3097">
        <v>45.64</v>
      </c>
      <c r="G465" s="3097">
        <v>420000.27</v>
      </c>
      <c r="H465" s="3156">
        <v>9202</v>
      </c>
      <c r="I465" s="3155">
        <f t="shared" ca="1" si="240"/>
        <v>7223</v>
      </c>
      <c r="J465" s="3156">
        <f t="shared" ca="1" si="241"/>
        <v>33</v>
      </c>
      <c r="K465" s="3177"/>
      <c r="L465" s="3177"/>
      <c r="M465" s="3177"/>
      <c r="N465" s="3177"/>
      <c r="O465" s="3177"/>
    </row>
    <row r="466" spans="1:15">
      <c r="A466" s="3157" t="s">
        <v>4191</v>
      </c>
      <c r="B466" s="3157">
        <v>114</v>
      </c>
      <c r="C466" s="3096" t="s">
        <v>3218</v>
      </c>
      <c r="D466" s="3097" t="s">
        <v>3219</v>
      </c>
      <c r="E466" s="3097" t="s">
        <v>3719</v>
      </c>
      <c r="F466" s="3097">
        <v>45.64</v>
      </c>
      <c r="G466" s="3097">
        <v>420000.27</v>
      </c>
      <c r="H466" s="3156">
        <v>9202</v>
      </c>
      <c r="I466" s="3155">
        <f t="shared" ca="1" si="240"/>
        <v>7223</v>
      </c>
      <c r="J466" s="3156">
        <f t="shared" ca="1" si="241"/>
        <v>33</v>
      </c>
      <c r="K466" s="3177"/>
      <c r="L466" s="3177"/>
      <c r="M466" s="3177"/>
      <c r="N466" s="3177"/>
      <c r="O466" s="3177"/>
    </row>
    <row r="467" spans="1:15">
      <c r="A467" s="3157" t="s">
        <v>4191</v>
      </c>
      <c r="B467" s="3157">
        <v>115</v>
      </c>
      <c r="C467" s="3096" t="s">
        <v>3218</v>
      </c>
      <c r="D467" s="3097" t="s">
        <v>3219</v>
      </c>
      <c r="E467" s="3097" t="s">
        <v>3725</v>
      </c>
      <c r="F467" s="3097">
        <v>45.64</v>
      </c>
      <c r="G467" s="3097">
        <v>420000.27</v>
      </c>
      <c r="H467" s="3156">
        <v>9202</v>
      </c>
      <c r="I467" s="3155">
        <f t="shared" ca="1" si="240"/>
        <v>7223</v>
      </c>
      <c r="J467" s="3156">
        <f t="shared" ca="1" si="241"/>
        <v>33</v>
      </c>
      <c r="K467" s="3177"/>
      <c r="L467" s="3177"/>
      <c r="M467" s="3177"/>
      <c r="N467" s="3177"/>
      <c r="O467" s="3177"/>
    </row>
    <row r="468" spans="1:15">
      <c r="A468" s="3157" t="s">
        <v>4191</v>
      </c>
      <c r="B468" s="3157">
        <v>116</v>
      </c>
      <c r="C468" s="3096" t="s">
        <v>3218</v>
      </c>
      <c r="D468" s="3097" t="s">
        <v>3219</v>
      </c>
      <c r="E468" s="3097" t="s">
        <v>3727</v>
      </c>
      <c r="F468" s="3097">
        <v>45.64</v>
      </c>
      <c r="G468" s="3097">
        <v>420000.27</v>
      </c>
      <c r="H468" s="3156">
        <v>9202</v>
      </c>
      <c r="I468" s="3155">
        <f t="shared" ca="1" si="240"/>
        <v>7223</v>
      </c>
      <c r="J468" s="3156">
        <f t="shared" ca="1" si="241"/>
        <v>33</v>
      </c>
      <c r="K468" s="3177"/>
      <c r="L468" s="3177"/>
      <c r="M468" s="3177"/>
      <c r="N468" s="3177"/>
      <c r="O468" s="3177"/>
    </row>
    <row r="469" spans="1:15">
      <c r="A469" s="3157" t="s">
        <v>4191</v>
      </c>
      <c r="B469" s="3157">
        <v>117</v>
      </c>
      <c r="C469" s="3096" t="s">
        <v>3218</v>
      </c>
      <c r="D469" s="3097" t="s">
        <v>3219</v>
      </c>
      <c r="E469" s="3097" t="s">
        <v>3734</v>
      </c>
      <c r="F469" s="3097">
        <v>45.64</v>
      </c>
      <c r="G469" s="3097">
        <v>420000.27</v>
      </c>
      <c r="H469" s="3156">
        <v>9202</v>
      </c>
      <c r="I469" s="3155">
        <f t="shared" ca="1" si="240"/>
        <v>7223</v>
      </c>
      <c r="J469" s="3156">
        <f t="shared" ca="1" si="241"/>
        <v>33</v>
      </c>
      <c r="K469" s="3177"/>
      <c r="L469" s="3177"/>
      <c r="M469" s="3177"/>
      <c r="N469" s="3177"/>
      <c r="O469" s="3177"/>
    </row>
    <row r="470" spans="1:15">
      <c r="A470" s="3157" t="s">
        <v>4191</v>
      </c>
      <c r="B470" s="3157">
        <v>118</v>
      </c>
      <c r="C470" s="3096" t="s">
        <v>3218</v>
      </c>
      <c r="D470" s="3097" t="s">
        <v>3219</v>
      </c>
      <c r="E470" s="3097" t="s">
        <v>3736</v>
      </c>
      <c r="F470" s="3097">
        <v>45.64</v>
      </c>
      <c r="G470" s="3097">
        <v>420000.27</v>
      </c>
      <c r="H470" s="3156">
        <v>9202</v>
      </c>
      <c r="I470" s="3155">
        <f t="shared" ca="1" si="240"/>
        <v>7223</v>
      </c>
      <c r="J470" s="3156">
        <f t="shared" ca="1" si="241"/>
        <v>33</v>
      </c>
      <c r="K470" s="3177"/>
      <c r="L470" s="3177"/>
      <c r="M470" s="3177"/>
      <c r="N470" s="3177"/>
      <c r="O470" s="3177"/>
    </row>
    <row r="471" spans="1:15">
      <c r="A471" s="3157" t="s">
        <v>4191</v>
      </c>
      <c r="B471" s="3157">
        <v>119</v>
      </c>
      <c r="C471" s="3096" t="s">
        <v>3218</v>
      </c>
      <c r="D471" s="3097" t="s">
        <v>3219</v>
      </c>
      <c r="E471" s="3097" t="s">
        <v>3742</v>
      </c>
      <c r="F471" s="3097">
        <v>45.64</v>
      </c>
      <c r="G471" s="3097">
        <v>420000.27</v>
      </c>
      <c r="H471" s="3156">
        <v>9202</v>
      </c>
      <c r="I471" s="3155">
        <f t="shared" ca="1" si="240"/>
        <v>7223</v>
      </c>
      <c r="J471" s="3156">
        <f t="shared" ca="1" si="241"/>
        <v>33</v>
      </c>
      <c r="K471" s="3177"/>
      <c r="L471" s="3177"/>
      <c r="M471" s="3177"/>
      <c r="N471" s="3177"/>
      <c r="O471" s="3177"/>
    </row>
    <row r="472" spans="1:15">
      <c r="A472" s="3157" t="s">
        <v>4191</v>
      </c>
      <c r="B472" s="3157">
        <v>120</v>
      </c>
      <c r="C472" s="3096" t="s">
        <v>3218</v>
      </c>
      <c r="D472" s="3097" t="s">
        <v>3219</v>
      </c>
      <c r="E472" s="3097" t="s">
        <v>3744</v>
      </c>
      <c r="F472" s="3097">
        <v>45.64</v>
      </c>
      <c r="G472" s="3097">
        <v>420000.27</v>
      </c>
      <c r="H472" s="3156">
        <v>9202</v>
      </c>
      <c r="I472" s="3155">
        <f t="shared" ca="1" si="240"/>
        <v>7223</v>
      </c>
      <c r="J472" s="3156">
        <f t="shared" ca="1" si="241"/>
        <v>33</v>
      </c>
      <c r="K472" s="3177"/>
      <c r="L472" s="3177"/>
      <c r="M472" s="3177"/>
      <c r="N472" s="3177"/>
      <c r="O472" s="3177"/>
    </row>
    <row r="473" spans="1:15">
      <c r="A473" s="3157" t="s">
        <v>4191</v>
      </c>
      <c r="B473" s="3157">
        <v>121</v>
      </c>
      <c r="C473" s="3096" t="s">
        <v>3218</v>
      </c>
      <c r="D473" s="3097" t="s">
        <v>3219</v>
      </c>
      <c r="E473" s="3097" t="s">
        <v>3750</v>
      </c>
      <c r="F473" s="3097">
        <v>45.64</v>
      </c>
      <c r="G473" s="3097">
        <v>420000.27</v>
      </c>
      <c r="H473" s="3156">
        <v>9202</v>
      </c>
      <c r="I473" s="3155">
        <f t="shared" ca="1" si="240"/>
        <v>7223</v>
      </c>
      <c r="J473" s="3156">
        <f t="shared" ca="1" si="241"/>
        <v>33</v>
      </c>
      <c r="K473" s="3177"/>
      <c r="L473" s="3177"/>
      <c r="M473" s="3177"/>
      <c r="N473" s="3177"/>
      <c r="O473" s="3177"/>
    </row>
    <row r="474" spans="1:15">
      <c r="A474" s="3157" t="s">
        <v>4191</v>
      </c>
      <c r="B474" s="3157">
        <v>122</v>
      </c>
      <c r="C474" s="3096" t="s">
        <v>3218</v>
      </c>
      <c r="D474" s="3097" t="s">
        <v>3219</v>
      </c>
      <c r="E474" s="3097" t="s">
        <v>3752</v>
      </c>
      <c r="F474" s="3097">
        <v>45.64</v>
      </c>
      <c r="G474" s="3097">
        <v>420000.27</v>
      </c>
      <c r="H474" s="3156">
        <v>9202</v>
      </c>
      <c r="I474" s="3155">
        <f t="shared" ca="1" si="240"/>
        <v>7223</v>
      </c>
      <c r="J474" s="3156">
        <f t="shared" ca="1" si="241"/>
        <v>33</v>
      </c>
      <c r="K474" s="3177"/>
      <c r="L474" s="3177"/>
      <c r="M474" s="3177"/>
      <c r="N474" s="3177"/>
      <c r="O474" s="3177"/>
    </row>
    <row r="475" spans="1:15">
      <c r="A475" s="3157" t="s">
        <v>4191</v>
      </c>
      <c r="B475" s="3157">
        <v>123</v>
      </c>
      <c r="C475" s="3096" t="s">
        <v>3218</v>
      </c>
      <c r="D475" s="3097" t="s">
        <v>3219</v>
      </c>
      <c r="E475" s="3097" t="s">
        <v>3758</v>
      </c>
      <c r="F475" s="3097">
        <v>45.64</v>
      </c>
      <c r="G475" s="3097">
        <v>420000.27</v>
      </c>
      <c r="H475" s="3156">
        <v>9202</v>
      </c>
      <c r="I475" s="3155">
        <f t="shared" ca="1" si="240"/>
        <v>7223</v>
      </c>
      <c r="J475" s="3156">
        <f t="shared" ca="1" si="241"/>
        <v>33</v>
      </c>
      <c r="K475" s="3177"/>
      <c r="L475" s="3177"/>
      <c r="M475" s="3177"/>
      <c r="N475" s="3177"/>
      <c r="O475" s="3177"/>
    </row>
    <row r="476" spans="1:15">
      <c r="A476" s="3157" t="s">
        <v>4191</v>
      </c>
      <c r="B476" s="3157">
        <v>124</v>
      </c>
      <c r="C476" s="3096" t="s">
        <v>3218</v>
      </c>
      <c r="D476" s="3097" t="s">
        <v>3219</v>
      </c>
      <c r="E476" s="3097" t="s">
        <v>3760</v>
      </c>
      <c r="F476" s="3097">
        <v>45.64</v>
      </c>
      <c r="G476" s="3097">
        <v>420000.27</v>
      </c>
      <c r="H476" s="3156">
        <v>9202</v>
      </c>
      <c r="I476" s="3155">
        <f t="shared" ca="1" si="240"/>
        <v>7223</v>
      </c>
      <c r="J476" s="3156">
        <f t="shared" ca="1" si="241"/>
        <v>33</v>
      </c>
      <c r="K476" s="3177"/>
      <c r="L476" s="3177"/>
      <c r="M476" s="3177"/>
      <c r="N476" s="3177"/>
      <c r="O476" s="3177"/>
    </row>
    <row r="477" spans="1:15">
      <c r="A477" s="3157" t="s">
        <v>4191</v>
      </c>
      <c r="B477" s="3157">
        <v>125</v>
      </c>
      <c r="C477" s="3096" t="s">
        <v>3218</v>
      </c>
      <c r="D477" s="3097" t="s">
        <v>3219</v>
      </c>
      <c r="E477" s="3097" t="s">
        <v>3766</v>
      </c>
      <c r="F477" s="3097">
        <v>45.64</v>
      </c>
      <c r="G477" s="3097">
        <v>420000.27</v>
      </c>
      <c r="H477" s="3156">
        <v>9202</v>
      </c>
      <c r="I477" s="3155">
        <f t="shared" ca="1" si="240"/>
        <v>7223</v>
      </c>
      <c r="J477" s="3156">
        <f t="shared" ca="1" si="241"/>
        <v>33</v>
      </c>
      <c r="K477" s="3177"/>
      <c r="L477" s="3177"/>
      <c r="M477" s="3177"/>
      <c r="N477" s="3177"/>
      <c r="O477" s="3177"/>
    </row>
    <row r="478" spans="1:15">
      <c r="A478" s="3157" t="s">
        <v>4191</v>
      </c>
      <c r="B478" s="3157">
        <v>126</v>
      </c>
      <c r="C478" s="3096" t="s">
        <v>3218</v>
      </c>
      <c r="D478" s="3097" t="s">
        <v>3219</v>
      </c>
      <c r="E478" s="3097" t="s">
        <v>3768</v>
      </c>
      <c r="F478" s="3097">
        <v>45.64</v>
      </c>
      <c r="G478" s="3097">
        <v>420000.27</v>
      </c>
      <c r="H478" s="3156">
        <v>9202</v>
      </c>
      <c r="I478" s="3155">
        <f t="shared" ca="1" si="240"/>
        <v>7223</v>
      </c>
      <c r="J478" s="3156">
        <f t="shared" ca="1" si="241"/>
        <v>33</v>
      </c>
      <c r="K478" s="3177"/>
      <c r="L478" s="3177"/>
      <c r="M478" s="3177"/>
      <c r="N478" s="3177"/>
      <c r="O478" s="3177"/>
    </row>
    <row r="479" spans="1:15">
      <c r="A479" s="3157" t="s">
        <v>4191</v>
      </c>
      <c r="B479" s="3157">
        <v>127</v>
      </c>
      <c r="C479" s="3096" t="s">
        <v>3218</v>
      </c>
      <c r="D479" s="3097" t="s">
        <v>3219</v>
      </c>
      <c r="E479" s="3097" t="s">
        <v>3774</v>
      </c>
      <c r="F479" s="3097">
        <v>45.64</v>
      </c>
      <c r="G479" s="3097">
        <v>420000.27</v>
      </c>
      <c r="H479" s="3156">
        <v>9202</v>
      </c>
      <c r="I479" s="3155">
        <f t="shared" ca="1" si="240"/>
        <v>7223</v>
      </c>
      <c r="J479" s="3156">
        <f t="shared" ca="1" si="241"/>
        <v>33</v>
      </c>
      <c r="K479" s="3177"/>
      <c r="L479" s="3177"/>
      <c r="M479" s="3177"/>
      <c r="N479" s="3177"/>
      <c r="O479" s="3177"/>
    </row>
    <row r="480" spans="1:15">
      <c r="A480" s="3157" t="s">
        <v>4191</v>
      </c>
      <c r="B480" s="3157">
        <v>128</v>
      </c>
      <c r="C480" s="3096" t="s">
        <v>3218</v>
      </c>
      <c r="D480" s="3097" t="s">
        <v>3219</v>
      </c>
      <c r="E480" s="3097" t="s">
        <v>3776</v>
      </c>
      <c r="F480" s="3097">
        <v>45.64</v>
      </c>
      <c r="G480" s="3097">
        <v>420000.27</v>
      </c>
      <c r="H480" s="3156">
        <v>9202</v>
      </c>
      <c r="I480" s="3155">
        <f t="shared" ca="1" si="240"/>
        <v>7223</v>
      </c>
      <c r="J480" s="3156">
        <f t="shared" ca="1" si="241"/>
        <v>33</v>
      </c>
      <c r="K480" s="3177"/>
      <c r="L480" s="3177"/>
      <c r="M480" s="3177"/>
      <c r="N480" s="3177"/>
      <c r="O480" s="3177"/>
    </row>
    <row r="481" spans="1:15">
      <c r="A481" s="3157" t="s">
        <v>4191</v>
      </c>
      <c r="B481" s="3157">
        <v>129</v>
      </c>
      <c r="C481" s="3096" t="s">
        <v>3218</v>
      </c>
      <c r="D481" s="3097" t="s">
        <v>3219</v>
      </c>
      <c r="E481" s="3097" t="s">
        <v>3783</v>
      </c>
      <c r="F481" s="3097">
        <v>45.64</v>
      </c>
      <c r="G481" s="3097">
        <v>420000.27</v>
      </c>
      <c r="H481" s="3156">
        <v>9202</v>
      </c>
      <c r="I481" s="3155">
        <f t="shared" ca="1" si="240"/>
        <v>7223</v>
      </c>
      <c r="J481" s="3156">
        <f t="shared" ca="1" si="241"/>
        <v>33</v>
      </c>
      <c r="K481" s="3177"/>
      <c r="L481" s="3177"/>
      <c r="M481" s="3177"/>
      <c r="N481" s="3177"/>
      <c r="O481" s="3177"/>
    </row>
    <row r="482" spans="1:15">
      <c r="A482" s="3157" t="s">
        <v>4191</v>
      </c>
      <c r="B482" s="3157">
        <v>130</v>
      </c>
      <c r="C482" s="3096" t="s">
        <v>3218</v>
      </c>
      <c r="D482" s="3097" t="s">
        <v>3219</v>
      </c>
      <c r="E482" s="3097" t="s">
        <v>3785</v>
      </c>
      <c r="F482" s="3097">
        <v>45.64</v>
      </c>
      <c r="G482" s="3097">
        <v>420000.27</v>
      </c>
      <c r="H482" s="3156">
        <v>9202</v>
      </c>
      <c r="I482" s="3155">
        <f t="shared" ca="1" si="240"/>
        <v>7223</v>
      </c>
      <c r="J482" s="3156">
        <f t="shared" ca="1" si="241"/>
        <v>33</v>
      </c>
      <c r="K482" s="3177"/>
      <c r="L482" s="3177"/>
      <c r="M482" s="3177"/>
      <c r="N482" s="3177"/>
      <c r="O482" s="3177"/>
    </row>
    <row r="483" spans="1:15">
      <c r="A483" s="3157" t="s">
        <v>4191</v>
      </c>
      <c r="B483" s="3157">
        <v>131</v>
      </c>
      <c r="C483" s="3096" t="s">
        <v>3218</v>
      </c>
      <c r="D483" s="3097" t="s">
        <v>3219</v>
      </c>
      <c r="E483" s="3097" t="s">
        <v>3791</v>
      </c>
      <c r="F483" s="3097">
        <v>45.64</v>
      </c>
      <c r="G483" s="3097">
        <v>420000.27</v>
      </c>
      <c r="H483" s="3156">
        <v>9202</v>
      </c>
      <c r="I483" s="3155">
        <f t="shared" ca="1" si="240"/>
        <v>7223</v>
      </c>
      <c r="J483" s="3156">
        <f t="shared" ca="1" si="241"/>
        <v>33</v>
      </c>
      <c r="K483" s="3177"/>
      <c r="L483" s="3177"/>
      <c r="M483" s="3177"/>
      <c r="N483" s="3177"/>
      <c r="O483" s="3177"/>
    </row>
    <row r="484" spans="1:15">
      <c r="A484" s="3157" t="s">
        <v>4191</v>
      </c>
      <c r="B484" s="3157">
        <v>132</v>
      </c>
      <c r="C484" s="3096" t="s">
        <v>3218</v>
      </c>
      <c r="D484" s="3097" t="s">
        <v>3219</v>
      </c>
      <c r="E484" s="3097" t="s">
        <v>3793</v>
      </c>
      <c r="F484" s="3097">
        <v>45.64</v>
      </c>
      <c r="G484" s="3097">
        <v>420000.27</v>
      </c>
      <c r="H484" s="3156">
        <v>9202</v>
      </c>
      <c r="I484" s="3155">
        <f t="shared" ca="1" si="240"/>
        <v>7223</v>
      </c>
      <c r="J484" s="3156">
        <f t="shared" ca="1" si="241"/>
        <v>33</v>
      </c>
      <c r="K484" s="3177"/>
      <c r="L484" s="3177"/>
      <c r="M484" s="3177"/>
      <c r="N484" s="3177"/>
      <c r="O484" s="3177"/>
    </row>
    <row r="485" spans="1:15">
      <c r="A485" s="3157" t="s">
        <v>4191</v>
      </c>
      <c r="B485" s="3157">
        <v>133</v>
      </c>
      <c r="C485" s="3096" t="s">
        <v>3218</v>
      </c>
      <c r="D485" s="3097" t="s">
        <v>3219</v>
      </c>
      <c r="E485" s="3097" t="s">
        <v>3799</v>
      </c>
      <c r="F485" s="3097">
        <v>45.64</v>
      </c>
      <c r="G485" s="3097">
        <v>420000.27</v>
      </c>
      <c r="H485" s="3156">
        <v>9202</v>
      </c>
      <c r="I485" s="3155">
        <f t="shared" ca="1" si="240"/>
        <v>7223</v>
      </c>
      <c r="J485" s="3156">
        <f t="shared" ca="1" si="241"/>
        <v>33</v>
      </c>
      <c r="K485" s="3177"/>
      <c r="L485" s="3177"/>
      <c r="M485" s="3177"/>
      <c r="N485" s="3177"/>
      <c r="O485" s="3177"/>
    </row>
    <row r="486" spans="1:15">
      <c r="A486" s="3157" t="s">
        <v>4191</v>
      </c>
      <c r="B486" s="3157">
        <v>134</v>
      </c>
      <c r="C486" s="3096" t="s">
        <v>3218</v>
      </c>
      <c r="D486" s="3097" t="s">
        <v>3219</v>
      </c>
      <c r="E486" s="3097" t="s">
        <v>3801</v>
      </c>
      <c r="F486" s="3097">
        <v>45.64</v>
      </c>
      <c r="G486" s="3097">
        <v>420000.27</v>
      </c>
      <c r="H486" s="3156">
        <v>9202</v>
      </c>
      <c r="I486" s="3155">
        <f t="shared" ca="1" si="240"/>
        <v>7223</v>
      </c>
      <c r="J486" s="3156">
        <f t="shared" ca="1" si="241"/>
        <v>33</v>
      </c>
      <c r="K486" s="3177"/>
      <c r="L486" s="3177"/>
      <c r="M486" s="3177"/>
      <c r="N486" s="3177"/>
      <c r="O486" s="3177"/>
    </row>
    <row r="487" spans="1:15">
      <c r="A487" s="3157" t="s">
        <v>4191</v>
      </c>
      <c r="B487" s="3157">
        <v>135</v>
      </c>
      <c r="C487" s="3096" t="s">
        <v>3218</v>
      </c>
      <c r="D487" s="3097" t="s">
        <v>3219</v>
      </c>
      <c r="E487" s="3097" t="s">
        <v>3807</v>
      </c>
      <c r="F487" s="3097">
        <v>45.64</v>
      </c>
      <c r="G487" s="3097">
        <v>420000.27</v>
      </c>
      <c r="H487" s="3156">
        <v>9202</v>
      </c>
      <c r="I487" s="3155">
        <f t="shared" ca="1" si="240"/>
        <v>7223</v>
      </c>
      <c r="J487" s="3156">
        <f t="shared" ca="1" si="241"/>
        <v>33</v>
      </c>
      <c r="K487" s="3177"/>
      <c r="L487" s="3177"/>
      <c r="M487" s="3177"/>
      <c r="N487" s="3177"/>
      <c r="O487" s="3177"/>
    </row>
    <row r="488" spans="1:15">
      <c r="A488" s="3157" t="s">
        <v>4191</v>
      </c>
      <c r="B488" s="3157">
        <v>136</v>
      </c>
      <c r="C488" s="3096" t="s">
        <v>3218</v>
      </c>
      <c r="D488" s="3097" t="s">
        <v>3219</v>
      </c>
      <c r="E488" s="3097" t="s">
        <v>3809</v>
      </c>
      <c r="F488" s="3097">
        <v>45.64</v>
      </c>
      <c r="G488" s="3097">
        <v>420000.27</v>
      </c>
      <c r="H488" s="3156">
        <v>9202</v>
      </c>
      <c r="I488" s="3155">
        <f t="shared" ca="1" si="240"/>
        <v>7223</v>
      </c>
      <c r="J488" s="3156">
        <f t="shared" ca="1" si="241"/>
        <v>33</v>
      </c>
      <c r="K488" s="3177"/>
      <c r="L488" s="3177"/>
      <c r="M488" s="3177"/>
      <c r="N488" s="3177"/>
      <c r="O488" s="3177"/>
    </row>
    <row r="489" spans="1:15">
      <c r="A489" s="3157" t="s">
        <v>4191</v>
      </c>
      <c r="B489" s="3157">
        <v>137</v>
      </c>
      <c r="C489" s="3096" t="s">
        <v>3218</v>
      </c>
      <c r="D489" s="3097" t="s">
        <v>3219</v>
      </c>
      <c r="E489" s="3097" t="s">
        <v>3815</v>
      </c>
      <c r="F489" s="3097">
        <v>45.64</v>
      </c>
      <c r="G489" s="3097">
        <v>420000.27</v>
      </c>
      <c r="H489" s="3156">
        <v>9202</v>
      </c>
      <c r="I489" s="3155">
        <f t="shared" ca="1" si="240"/>
        <v>7223</v>
      </c>
      <c r="J489" s="3156">
        <f t="shared" ca="1" si="241"/>
        <v>33</v>
      </c>
      <c r="K489" s="3177"/>
      <c r="L489" s="3177"/>
      <c r="M489" s="3177"/>
      <c r="N489" s="3177"/>
      <c r="O489" s="3177"/>
    </row>
    <row r="490" spans="1:15">
      <c r="A490" s="3157" t="s">
        <v>4191</v>
      </c>
      <c r="B490" s="3157">
        <v>138</v>
      </c>
      <c r="C490" s="3096" t="s">
        <v>3218</v>
      </c>
      <c r="D490" s="3097" t="s">
        <v>3219</v>
      </c>
      <c r="E490" s="3097" t="s">
        <v>3817</v>
      </c>
      <c r="F490" s="3097">
        <v>45.64</v>
      </c>
      <c r="G490" s="3097">
        <v>420000.27</v>
      </c>
      <c r="H490" s="3156">
        <v>9202</v>
      </c>
      <c r="I490" s="3155">
        <f t="shared" ca="1" si="240"/>
        <v>7223</v>
      </c>
      <c r="J490" s="3156">
        <f t="shared" ca="1" si="241"/>
        <v>33</v>
      </c>
      <c r="K490" s="3177"/>
      <c r="L490" s="3177"/>
      <c r="M490" s="3177"/>
      <c r="N490" s="3177"/>
      <c r="O490" s="3177"/>
    </row>
    <row r="491" spans="1:15">
      <c r="A491" s="3157" t="s">
        <v>4191</v>
      </c>
      <c r="B491" s="3157">
        <v>139</v>
      </c>
      <c r="C491" s="3096" t="s">
        <v>3218</v>
      </c>
      <c r="D491" s="3097" t="s">
        <v>3219</v>
      </c>
      <c r="E491" s="3097" t="s">
        <v>3823</v>
      </c>
      <c r="F491" s="3097">
        <v>45.64</v>
      </c>
      <c r="G491" s="3097">
        <v>420000.27</v>
      </c>
      <c r="H491" s="3156">
        <v>9202</v>
      </c>
      <c r="I491" s="3155">
        <f t="shared" ca="1" si="240"/>
        <v>7223</v>
      </c>
      <c r="J491" s="3156">
        <f t="shared" ca="1" si="241"/>
        <v>33</v>
      </c>
      <c r="K491" s="3177"/>
      <c r="L491" s="3177"/>
      <c r="M491" s="3177"/>
      <c r="N491" s="3177"/>
      <c r="O491" s="3177"/>
    </row>
    <row r="492" spans="1:15">
      <c r="A492" s="3157" t="s">
        <v>4191</v>
      </c>
      <c r="B492" s="3157">
        <v>140</v>
      </c>
      <c r="C492" s="3096" t="s">
        <v>3218</v>
      </c>
      <c r="D492" s="3097" t="s">
        <v>3219</v>
      </c>
      <c r="E492" s="3097" t="s">
        <v>3825</v>
      </c>
      <c r="F492" s="3097">
        <v>45.64</v>
      </c>
      <c r="G492" s="3097">
        <v>420000.27</v>
      </c>
      <c r="H492" s="3156">
        <v>9202</v>
      </c>
      <c r="I492" s="3155">
        <f t="shared" ca="1" si="240"/>
        <v>7223</v>
      </c>
      <c r="J492" s="3156">
        <f t="shared" ca="1" si="241"/>
        <v>33</v>
      </c>
      <c r="K492" s="3177"/>
      <c r="L492" s="3177"/>
      <c r="M492" s="3177"/>
      <c r="N492" s="3177"/>
      <c r="O492" s="3177"/>
    </row>
    <row r="493" spans="1:15">
      <c r="A493" s="3157" t="s">
        <v>4191</v>
      </c>
      <c r="B493" s="3157">
        <v>141</v>
      </c>
      <c r="C493" s="3096" t="s">
        <v>3218</v>
      </c>
      <c r="D493" s="3097" t="s">
        <v>3219</v>
      </c>
      <c r="E493" s="3097" t="s">
        <v>3832</v>
      </c>
      <c r="F493" s="3097">
        <v>45.64</v>
      </c>
      <c r="G493" s="3097">
        <v>420000.27</v>
      </c>
      <c r="H493" s="3156">
        <v>9202</v>
      </c>
      <c r="I493" s="3155">
        <f t="shared" ca="1" si="240"/>
        <v>7223</v>
      </c>
      <c r="J493" s="3156">
        <f t="shared" ca="1" si="241"/>
        <v>33</v>
      </c>
      <c r="K493" s="3177"/>
      <c r="L493" s="3177"/>
      <c r="M493" s="3177"/>
      <c r="N493" s="3177"/>
      <c r="O493" s="3177"/>
    </row>
    <row r="494" spans="1:15">
      <c r="A494" s="3157" t="s">
        <v>4191</v>
      </c>
      <c r="B494" s="3157">
        <v>142</v>
      </c>
      <c r="C494" s="3096" t="s">
        <v>3218</v>
      </c>
      <c r="D494" s="3097" t="s">
        <v>3219</v>
      </c>
      <c r="E494" s="3097" t="s">
        <v>3834</v>
      </c>
      <c r="F494" s="3097">
        <v>45.64</v>
      </c>
      <c r="G494" s="3097">
        <v>420000.27</v>
      </c>
      <c r="H494" s="3156">
        <v>9202</v>
      </c>
      <c r="I494" s="3155">
        <f t="shared" ca="1" si="240"/>
        <v>7223</v>
      </c>
      <c r="J494" s="3156">
        <f t="shared" ca="1" si="241"/>
        <v>33</v>
      </c>
      <c r="K494" s="3177"/>
      <c r="L494" s="3177"/>
      <c r="M494" s="3177"/>
      <c r="N494" s="3177"/>
      <c r="O494" s="3177"/>
    </row>
    <row r="495" spans="1:15">
      <c r="A495" s="3157" t="s">
        <v>4191</v>
      </c>
      <c r="B495" s="3157">
        <v>143</v>
      </c>
      <c r="C495" s="3096" t="s">
        <v>3218</v>
      </c>
      <c r="D495" s="3097" t="s">
        <v>3219</v>
      </c>
      <c r="E495" s="3097" t="s">
        <v>3840</v>
      </c>
      <c r="F495" s="3097">
        <v>45.64</v>
      </c>
      <c r="G495" s="3097">
        <v>420000.27</v>
      </c>
      <c r="H495" s="3156">
        <v>9202</v>
      </c>
      <c r="I495" s="3155">
        <f t="shared" ca="1" si="240"/>
        <v>7223</v>
      </c>
      <c r="J495" s="3156">
        <f t="shared" ca="1" si="241"/>
        <v>33</v>
      </c>
      <c r="K495" s="3177"/>
      <c r="L495" s="3177"/>
      <c r="M495" s="3177"/>
      <c r="N495" s="3177"/>
      <c r="O495" s="3177"/>
    </row>
    <row r="496" spans="1:15">
      <c r="A496" s="3157" t="s">
        <v>4191</v>
      </c>
      <c r="B496" s="3157">
        <v>144</v>
      </c>
      <c r="C496" s="3096" t="s">
        <v>3218</v>
      </c>
      <c r="D496" s="3097" t="s">
        <v>3219</v>
      </c>
      <c r="E496" s="3097" t="s">
        <v>3842</v>
      </c>
      <c r="F496" s="3097">
        <v>45.64</v>
      </c>
      <c r="G496" s="3097">
        <v>420000.27</v>
      </c>
      <c r="H496" s="3156">
        <v>9202</v>
      </c>
      <c r="I496" s="3155">
        <f t="shared" ca="1" si="240"/>
        <v>7223</v>
      </c>
      <c r="J496" s="3156">
        <f t="shared" ca="1" si="241"/>
        <v>33</v>
      </c>
      <c r="K496" s="3177"/>
      <c r="L496" s="3177"/>
      <c r="M496" s="3177"/>
      <c r="N496" s="3177"/>
      <c r="O496" s="3177"/>
    </row>
    <row r="497" spans="1:15">
      <c r="A497" s="3157" t="s">
        <v>4192</v>
      </c>
      <c r="B497" s="3157">
        <v>145</v>
      </c>
      <c r="C497" s="3096" t="s">
        <v>3218</v>
      </c>
      <c r="D497" s="3097" t="s">
        <v>3219</v>
      </c>
      <c r="E497" s="3097" t="s">
        <v>3849</v>
      </c>
      <c r="F497" s="3097">
        <v>45.64</v>
      </c>
      <c r="G497" s="3097">
        <v>420000.27</v>
      </c>
      <c r="H497" s="3156">
        <v>9202</v>
      </c>
      <c r="I497" s="3155">
        <f t="shared" ca="1" si="240"/>
        <v>7223</v>
      </c>
      <c r="J497" s="3156">
        <f t="shared" ca="1" si="241"/>
        <v>33</v>
      </c>
      <c r="K497" s="3177"/>
      <c r="L497" s="3177"/>
      <c r="M497" s="3177"/>
      <c r="N497" s="3177"/>
      <c r="O497" s="3177"/>
    </row>
    <row r="498" spans="1:15">
      <c r="A498" s="3157" t="s">
        <v>4192</v>
      </c>
      <c r="B498" s="3157">
        <v>146</v>
      </c>
      <c r="C498" s="3096" t="s">
        <v>3218</v>
      </c>
      <c r="D498" s="3097" t="s">
        <v>3219</v>
      </c>
      <c r="E498" s="3097" t="s">
        <v>3851</v>
      </c>
      <c r="F498" s="3097">
        <v>45.64</v>
      </c>
      <c r="G498" s="3097">
        <v>420000.27</v>
      </c>
      <c r="H498" s="3156">
        <v>9202</v>
      </c>
      <c r="I498" s="3155">
        <f t="shared" ca="1" si="240"/>
        <v>7223</v>
      </c>
      <c r="J498" s="3156">
        <f t="shared" ca="1" si="241"/>
        <v>33</v>
      </c>
      <c r="K498" s="3177"/>
      <c r="L498" s="3177"/>
      <c r="M498" s="3177"/>
      <c r="N498" s="3177"/>
      <c r="O498" s="3177"/>
    </row>
    <row r="499" spans="1:15">
      <c r="A499" s="3157" t="s">
        <v>4192</v>
      </c>
      <c r="B499" s="3157">
        <v>147</v>
      </c>
      <c r="C499" s="3096" t="s">
        <v>3218</v>
      </c>
      <c r="D499" s="3097" t="s">
        <v>3219</v>
      </c>
      <c r="E499" s="3097" t="s">
        <v>3857</v>
      </c>
      <c r="F499" s="3097">
        <v>45.64</v>
      </c>
      <c r="G499" s="3097">
        <v>420000.27</v>
      </c>
      <c r="H499" s="3156">
        <v>9202</v>
      </c>
      <c r="I499" s="3155">
        <f t="shared" ca="1" si="240"/>
        <v>7223</v>
      </c>
      <c r="J499" s="3156">
        <f t="shared" ca="1" si="241"/>
        <v>33</v>
      </c>
      <c r="K499" s="3177"/>
      <c r="L499" s="3177"/>
      <c r="M499" s="3177"/>
      <c r="N499" s="3177"/>
      <c r="O499" s="3177"/>
    </row>
    <row r="500" spans="1:15">
      <c r="A500" s="3157" t="s">
        <v>4192</v>
      </c>
      <c r="B500" s="3157">
        <v>148</v>
      </c>
      <c r="C500" s="3096" t="s">
        <v>3218</v>
      </c>
      <c r="D500" s="3097" t="s">
        <v>3219</v>
      </c>
      <c r="E500" s="3097" t="s">
        <v>3859</v>
      </c>
      <c r="F500" s="3097">
        <v>45.64</v>
      </c>
      <c r="G500" s="3097">
        <v>420000.27</v>
      </c>
      <c r="H500" s="3156">
        <v>9202</v>
      </c>
      <c r="I500" s="3155">
        <f t="shared" ca="1" si="240"/>
        <v>7223</v>
      </c>
      <c r="J500" s="3156">
        <f t="shared" ca="1" si="241"/>
        <v>33</v>
      </c>
      <c r="K500" s="3177"/>
      <c r="L500" s="3177"/>
      <c r="M500" s="3177"/>
      <c r="N500" s="3177"/>
      <c r="O500" s="3177"/>
    </row>
    <row r="501" spans="1:15">
      <c r="A501" s="3157" t="s">
        <v>4192</v>
      </c>
      <c r="B501" s="3157">
        <v>149</v>
      </c>
      <c r="C501" s="3096" t="s">
        <v>3218</v>
      </c>
      <c r="D501" s="3097" t="s">
        <v>3219</v>
      </c>
      <c r="E501" s="3097" t="s">
        <v>3865</v>
      </c>
      <c r="F501" s="3097">
        <v>45.64</v>
      </c>
      <c r="G501" s="3097">
        <v>420000.27</v>
      </c>
      <c r="H501" s="3156">
        <v>9202</v>
      </c>
      <c r="I501" s="3155">
        <f t="shared" ca="1" si="240"/>
        <v>7223</v>
      </c>
      <c r="J501" s="3156">
        <f t="shared" ca="1" si="241"/>
        <v>33</v>
      </c>
      <c r="K501" s="3177"/>
      <c r="L501" s="3177"/>
      <c r="M501" s="3177"/>
      <c r="N501" s="3177"/>
      <c r="O501" s="3177"/>
    </row>
    <row r="502" spans="1:15">
      <c r="A502" s="3157" t="s">
        <v>4192</v>
      </c>
      <c r="B502" s="3157">
        <v>150</v>
      </c>
      <c r="C502" s="3096" t="s">
        <v>3218</v>
      </c>
      <c r="D502" s="3097" t="s">
        <v>3219</v>
      </c>
      <c r="E502" s="3097" t="s">
        <v>3867</v>
      </c>
      <c r="F502" s="3097">
        <v>45.64</v>
      </c>
      <c r="G502" s="3097">
        <v>420000.27</v>
      </c>
      <c r="H502" s="3156">
        <v>9202</v>
      </c>
      <c r="I502" s="3155">
        <f t="shared" ca="1" si="240"/>
        <v>7223</v>
      </c>
      <c r="J502" s="3156">
        <f t="shared" ca="1" si="241"/>
        <v>33</v>
      </c>
      <c r="K502" s="3177"/>
      <c r="L502" s="3177"/>
      <c r="M502" s="3177"/>
      <c r="N502" s="3177"/>
      <c r="O502" s="3177"/>
    </row>
    <row r="503" spans="1:15">
      <c r="A503" s="3157" t="s">
        <v>4192</v>
      </c>
      <c r="B503" s="3157">
        <v>151</v>
      </c>
      <c r="C503" s="3096" t="s">
        <v>3218</v>
      </c>
      <c r="D503" s="3097" t="s">
        <v>3219</v>
      </c>
      <c r="E503" s="3097" t="s">
        <v>3873</v>
      </c>
      <c r="F503" s="3097">
        <v>45.64</v>
      </c>
      <c r="G503" s="3097">
        <v>420000.27</v>
      </c>
      <c r="H503" s="3156">
        <v>9202</v>
      </c>
      <c r="I503" s="3155">
        <f t="shared" ca="1" si="240"/>
        <v>7223</v>
      </c>
      <c r="J503" s="3156">
        <f t="shared" ca="1" si="241"/>
        <v>33</v>
      </c>
      <c r="K503" s="3177"/>
      <c r="L503" s="3177"/>
      <c r="M503" s="3177"/>
      <c r="N503" s="3177"/>
      <c r="O503" s="3177"/>
    </row>
    <row r="504" spans="1:15">
      <c r="A504" s="3157" t="s">
        <v>4192</v>
      </c>
      <c r="B504" s="3157">
        <v>152</v>
      </c>
      <c r="C504" s="3096" t="s">
        <v>3218</v>
      </c>
      <c r="D504" s="3097" t="s">
        <v>3219</v>
      </c>
      <c r="E504" s="3097" t="s">
        <v>3875</v>
      </c>
      <c r="F504" s="3097">
        <v>45.64</v>
      </c>
      <c r="G504" s="3097">
        <v>420000.27</v>
      </c>
      <c r="H504" s="3156">
        <v>9202</v>
      </c>
      <c r="I504" s="3155">
        <f t="shared" ca="1" si="240"/>
        <v>7223</v>
      </c>
      <c r="J504" s="3156">
        <f t="shared" ca="1" si="241"/>
        <v>33</v>
      </c>
      <c r="K504" s="3177"/>
      <c r="L504" s="3177"/>
      <c r="M504" s="3177"/>
      <c r="N504" s="3177"/>
      <c r="O504" s="3177"/>
    </row>
    <row r="505" spans="1:15">
      <c r="A505" s="3157" t="s">
        <v>4192</v>
      </c>
      <c r="B505" s="3157">
        <v>153</v>
      </c>
      <c r="C505" s="3096" t="s">
        <v>3218</v>
      </c>
      <c r="D505" s="3097" t="s">
        <v>3219</v>
      </c>
      <c r="E505" s="3097" t="s">
        <v>3882</v>
      </c>
      <c r="F505" s="3097">
        <v>45.64</v>
      </c>
      <c r="G505" s="3097">
        <v>420000.27</v>
      </c>
      <c r="H505" s="3156">
        <v>9202</v>
      </c>
      <c r="I505" s="3155">
        <f t="shared" ca="1" si="240"/>
        <v>7223</v>
      </c>
      <c r="J505" s="3156">
        <f t="shared" ca="1" si="241"/>
        <v>33</v>
      </c>
      <c r="K505" s="3177"/>
      <c r="L505" s="3177"/>
      <c r="M505" s="3177"/>
      <c r="N505" s="3177"/>
      <c r="O505" s="3177"/>
    </row>
    <row r="506" spans="1:15">
      <c r="A506" s="3157" t="s">
        <v>4192</v>
      </c>
      <c r="B506" s="3157">
        <v>154</v>
      </c>
      <c r="C506" s="3096" t="s">
        <v>3218</v>
      </c>
      <c r="D506" s="3097" t="s">
        <v>3219</v>
      </c>
      <c r="E506" s="3097" t="s">
        <v>3884</v>
      </c>
      <c r="F506" s="3097">
        <v>45.64</v>
      </c>
      <c r="G506" s="3097">
        <v>420000.27</v>
      </c>
      <c r="H506" s="3156">
        <v>9202</v>
      </c>
      <c r="I506" s="3155">
        <f t="shared" ca="1" si="240"/>
        <v>7223</v>
      </c>
      <c r="J506" s="3156">
        <f t="shared" ca="1" si="241"/>
        <v>33</v>
      </c>
      <c r="K506" s="3177"/>
      <c r="L506" s="3177"/>
      <c r="M506" s="3177"/>
      <c r="N506" s="3177"/>
      <c r="O506" s="3177"/>
    </row>
    <row r="507" spans="1:15">
      <c r="A507" s="3157" t="s">
        <v>4192</v>
      </c>
      <c r="B507" s="3157">
        <v>155</v>
      </c>
      <c r="C507" s="3096" t="s">
        <v>3218</v>
      </c>
      <c r="D507" s="3097" t="s">
        <v>3219</v>
      </c>
      <c r="E507" s="3097" t="s">
        <v>3890</v>
      </c>
      <c r="F507" s="3097">
        <v>45.64</v>
      </c>
      <c r="G507" s="3097">
        <v>420000.27</v>
      </c>
      <c r="H507" s="3156">
        <v>9202</v>
      </c>
      <c r="I507" s="3155">
        <f t="shared" ca="1" si="240"/>
        <v>7223</v>
      </c>
      <c r="J507" s="3156">
        <f t="shared" ca="1" si="241"/>
        <v>33</v>
      </c>
      <c r="K507" s="3177"/>
      <c r="L507" s="3177"/>
      <c r="M507" s="3177"/>
      <c r="N507" s="3177"/>
      <c r="O507" s="3177"/>
    </row>
    <row r="508" spans="1:15">
      <c r="A508" s="3157" t="s">
        <v>4192</v>
      </c>
      <c r="B508" s="3157">
        <v>156</v>
      </c>
      <c r="C508" s="3096" t="s">
        <v>3218</v>
      </c>
      <c r="D508" s="3097" t="s">
        <v>3219</v>
      </c>
      <c r="E508" s="3097" t="s">
        <v>3892</v>
      </c>
      <c r="F508" s="3097">
        <v>45.64</v>
      </c>
      <c r="G508" s="3097">
        <v>420000.27</v>
      </c>
      <c r="H508" s="3156">
        <v>9202</v>
      </c>
      <c r="I508" s="3155">
        <f t="shared" ca="1" si="240"/>
        <v>7223</v>
      </c>
      <c r="J508" s="3156">
        <f t="shared" ca="1" si="241"/>
        <v>33</v>
      </c>
      <c r="K508" s="3177"/>
      <c r="L508" s="3177"/>
      <c r="M508" s="3177"/>
      <c r="N508" s="3177"/>
      <c r="O508" s="3177"/>
    </row>
    <row r="509" spans="1:15">
      <c r="A509" s="3157" t="s">
        <v>4192</v>
      </c>
      <c r="B509" s="3157">
        <v>157</v>
      </c>
      <c r="C509" s="3096" t="s">
        <v>3218</v>
      </c>
      <c r="D509" s="3097" t="s">
        <v>3219</v>
      </c>
      <c r="E509" s="3097" t="s">
        <v>3898</v>
      </c>
      <c r="F509" s="3097">
        <v>45.64</v>
      </c>
      <c r="G509" s="3097">
        <v>420000.27</v>
      </c>
      <c r="H509" s="3156">
        <v>9202</v>
      </c>
      <c r="I509" s="3155">
        <f t="shared" ca="1" si="240"/>
        <v>7223</v>
      </c>
      <c r="J509" s="3156">
        <f t="shared" ca="1" si="241"/>
        <v>33</v>
      </c>
      <c r="K509" s="3177"/>
      <c r="L509" s="3177"/>
      <c r="M509" s="3177"/>
      <c r="N509" s="3177"/>
      <c r="O509" s="3177"/>
    </row>
    <row r="510" spans="1:15">
      <c r="A510" s="3157" t="s">
        <v>4192</v>
      </c>
      <c r="B510" s="3157">
        <v>158</v>
      </c>
      <c r="C510" s="3096" t="s">
        <v>3218</v>
      </c>
      <c r="D510" s="3097" t="s">
        <v>3219</v>
      </c>
      <c r="E510" s="3097" t="s">
        <v>3900</v>
      </c>
      <c r="F510" s="3097">
        <v>45.64</v>
      </c>
      <c r="G510" s="3097">
        <v>420000.27</v>
      </c>
      <c r="H510" s="3156">
        <v>9202</v>
      </c>
      <c r="I510" s="3155">
        <f t="shared" ca="1" si="240"/>
        <v>7223</v>
      </c>
      <c r="J510" s="3156">
        <f t="shared" ca="1" si="241"/>
        <v>33</v>
      </c>
      <c r="K510" s="3177"/>
      <c r="L510" s="3177"/>
      <c r="M510" s="3177"/>
      <c r="N510" s="3177"/>
      <c r="O510" s="3177"/>
    </row>
    <row r="511" spans="1:15">
      <c r="A511" s="3157" t="s">
        <v>4192</v>
      </c>
      <c r="B511" s="3157">
        <v>159</v>
      </c>
      <c r="C511" s="3096" t="s">
        <v>3218</v>
      </c>
      <c r="D511" s="3097" t="s">
        <v>3219</v>
      </c>
      <c r="E511" s="3097" t="s">
        <v>3906</v>
      </c>
      <c r="F511" s="3097">
        <v>45.64</v>
      </c>
      <c r="G511" s="3097">
        <v>420000.27</v>
      </c>
      <c r="H511" s="3156">
        <v>9202</v>
      </c>
      <c r="I511" s="3155">
        <f t="shared" ca="1" si="240"/>
        <v>7223</v>
      </c>
      <c r="J511" s="3156">
        <f t="shared" ca="1" si="241"/>
        <v>33</v>
      </c>
      <c r="K511" s="3177"/>
      <c r="L511" s="3177"/>
      <c r="M511" s="3177"/>
      <c r="N511" s="3177"/>
      <c r="O511" s="3177"/>
    </row>
    <row r="512" spans="1:15">
      <c r="A512" s="3157" t="s">
        <v>4192</v>
      </c>
      <c r="B512" s="3157">
        <v>160</v>
      </c>
      <c r="C512" s="3096" t="s">
        <v>3218</v>
      </c>
      <c r="D512" s="3097" t="s">
        <v>3219</v>
      </c>
      <c r="E512" s="3097" t="s">
        <v>3908</v>
      </c>
      <c r="F512" s="3097">
        <v>45.64</v>
      </c>
      <c r="G512" s="3097">
        <v>420000.27</v>
      </c>
      <c r="H512" s="3156">
        <v>9202</v>
      </c>
      <c r="I512" s="3155">
        <f t="shared" ca="1" si="240"/>
        <v>7223</v>
      </c>
      <c r="J512" s="3156">
        <f t="shared" ca="1" si="241"/>
        <v>33</v>
      </c>
      <c r="K512" s="3177"/>
      <c r="L512" s="3177"/>
      <c r="M512" s="3177"/>
      <c r="N512" s="3177"/>
      <c r="O512" s="3177"/>
    </row>
    <row r="513" spans="1:15">
      <c r="A513" s="3157" t="s">
        <v>4192</v>
      </c>
      <c r="B513" s="3157">
        <v>161</v>
      </c>
      <c r="C513" s="3096" t="s">
        <v>3218</v>
      </c>
      <c r="D513" s="3097" t="s">
        <v>3219</v>
      </c>
      <c r="E513" s="3097" t="s">
        <v>3914</v>
      </c>
      <c r="F513" s="3097">
        <v>45.64</v>
      </c>
      <c r="G513" s="3097">
        <v>420000.27</v>
      </c>
      <c r="H513" s="3156">
        <v>9202</v>
      </c>
      <c r="I513" s="3155">
        <f t="shared" ca="1" si="240"/>
        <v>7223</v>
      </c>
      <c r="J513" s="3156">
        <f t="shared" ca="1" si="241"/>
        <v>33</v>
      </c>
      <c r="K513" s="3177"/>
      <c r="L513" s="3177"/>
      <c r="M513" s="3177"/>
      <c r="N513" s="3177"/>
      <c r="O513" s="3177"/>
    </row>
    <row r="514" spans="1:15">
      <c r="A514" s="3157" t="s">
        <v>4192</v>
      </c>
      <c r="B514" s="3157">
        <v>162</v>
      </c>
      <c r="C514" s="3096" t="s">
        <v>3218</v>
      </c>
      <c r="D514" s="3097" t="s">
        <v>3219</v>
      </c>
      <c r="E514" s="3097" t="s">
        <v>3916</v>
      </c>
      <c r="F514" s="3097">
        <v>45.64</v>
      </c>
      <c r="G514" s="3097">
        <v>420000.27</v>
      </c>
      <c r="H514" s="3156">
        <v>9202</v>
      </c>
      <c r="I514" s="3155">
        <f t="shared" ca="1" si="240"/>
        <v>7223</v>
      </c>
      <c r="J514" s="3156">
        <f t="shared" ca="1" si="241"/>
        <v>33</v>
      </c>
      <c r="K514" s="3177"/>
      <c r="L514" s="3177"/>
      <c r="M514" s="3177"/>
      <c r="N514" s="3177"/>
      <c r="O514" s="3177"/>
    </row>
    <row r="515" spans="1:15">
      <c r="A515" s="3157" t="s">
        <v>4192</v>
      </c>
      <c r="B515" s="3157">
        <v>163</v>
      </c>
      <c r="C515" s="3096" t="s">
        <v>3218</v>
      </c>
      <c r="D515" s="3097" t="s">
        <v>3219</v>
      </c>
      <c r="E515" s="3097" t="s">
        <v>3922</v>
      </c>
      <c r="F515" s="3097">
        <v>45.64</v>
      </c>
      <c r="G515" s="3097">
        <v>420000.27</v>
      </c>
      <c r="H515" s="3156">
        <v>9202</v>
      </c>
      <c r="I515" s="3155">
        <f t="shared" ca="1" si="240"/>
        <v>7223</v>
      </c>
      <c r="J515" s="3156">
        <f t="shared" ca="1" si="241"/>
        <v>33</v>
      </c>
      <c r="K515" s="3177"/>
      <c r="L515" s="3177"/>
      <c r="M515" s="3177"/>
      <c r="N515" s="3177"/>
      <c r="O515" s="3177"/>
    </row>
    <row r="516" spans="1:15">
      <c r="A516" s="3157" t="s">
        <v>4192</v>
      </c>
      <c r="B516" s="3157">
        <v>164</v>
      </c>
      <c r="C516" s="3096" t="s">
        <v>3218</v>
      </c>
      <c r="D516" s="3097" t="s">
        <v>3219</v>
      </c>
      <c r="E516" s="3097" t="s">
        <v>3924</v>
      </c>
      <c r="F516" s="3097">
        <v>45.64</v>
      </c>
      <c r="G516" s="3097">
        <v>420000.27</v>
      </c>
      <c r="H516" s="3156">
        <v>9202</v>
      </c>
      <c r="I516" s="3155">
        <f t="shared" ca="1" si="240"/>
        <v>7223</v>
      </c>
      <c r="J516" s="3156">
        <f t="shared" ca="1" si="241"/>
        <v>33</v>
      </c>
      <c r="K516" s="3177"/>
      <c r="L516" s="3177"/>
      <c r="M516" s="3177"/>
      <c r="N516" s="3177"/>
      <c r="O516" s="3177"/>
    </row>
    <row r="517" spans="1:15">
      <c r="A517" s="3157" t="s">
        <v>4192</v>
      </c>
      <c r="B517" s="3157">
        <v>165</v>
      </c>
      <c r="C517" s="3096" t="s">
        <v>3218</v>
      </c>
      <c r="D517" s="3097" t="s">
        <v>3219</v>
      </c>
      <c r="E517" s="3097" t="s">
        <v>3931</v>
      </c>
      <c r="F517" s="3097">
        <v>45.64</v>
      </c>
      <c r="G517" s="3097">
        <v>420000.27</v>
      </c>
      <c r="H517" s="3156">
        <v>9202</v>
      </c>
      <c r="I517" s="3155">
        <f t="shared" ca="1" si="240"/>
        <v>7223</v>
      </c>
      <c r="J517" s="3156">
        <f t="shared" ca="1" si="241"/>
        <v>33</v>
      </c>
      <c r="K517" s="3177"/>
      <c r="L517" s="3177"/>
      <c r="M517" s="3177"/>
      <c r="N517" s="3177"/>
      <c r="O517" s="3177"/>
    </row>
    <row r="518" spans="1:15">
      <c r="A518" s="3157" t="s">
        <v>4192</v>
      </c>
      <c r="B518" s="3157">
        <v>166</v>
      </c>
      <c r="C518" s="3096" t="s">
        <v>3218</v>
      </c>
      <c r="D518" s="3097" t="s">
        <v>3219</v>
      </c>
      <c r="E518" s="3097" t="s">
        <v>3933</v>
      </c>
      <c r="F518" s="3097">
        <v>45.64</v>
      </c>
      <c r="G518" s="3097">
        <v>420000.27</v>
      </c>
      <c r="H518" s="3156">
        <v>9202</v>
      </c>
      <c r="I518" s="3155">
        <f t="shared" ca="1" si="240"/>
        <v>7223</v>
      </c>
      <c r="J518" s="3156">
        <f t="shared" ca="1" si="241"/>
        <v>33</v>
      </c>
      <c r="K518" s="3177"/>
      <c r="L518" s="3177"/>
      <c r="M518" s="3177"/>
      <c r="N518" s="3177"/>
      <c r="O518" s="3177"/>
    </row>
    <row r="519" spans="1:15">
      <c r="A519" s="3157" t="s">
        <v>4192</v>
      </c>
      <c r="B519" s="3157">
        <v>167</v>
      </c>
      <c r="C519" s="3096" t="s">
        <v>3218</v>
      </c>
      <c r="D519" s="3097" t="s">
        <v>3219</v>
      </c>
      <c r="E519" s="3097" t="s">
        <v>3940</v>
      </c>
      <c r="F519" s="3097">
        <v>45.64</v>
      </c>
      <c r="G519" s="3097">
        <v>420000.27</v>
      </c>
      <c r="H519" s="3156">
        <v>9202</v>
      </c>
      <c r="I519" s="3155">
        <f t="shared" ca="1" si="240"/>
        <v>7223</v>
      </c>
      <c r="J519" s="3156">
        <f t="shared" ca="1" si="241"/>
        <v>33</v>
      </c>
      <c r="K519" s="3177"/>
      <c r="L519" s="3177"/>
      <c r="M519" s="3177"/>
      <c r="N519" s="3177"/>
      <c r="O519" s="3177"/>
    </row>
    <row r="520" spans="1:15">
      <c r="A520" s="3157" t="s">
        <v>4192</v>
      </c>
      <c r="B520" s="3157">
        <v>168</v>
      </c>
      <c r="C520" s="3096" t="s">
        <v>3218</v>
      </c>
      <c r="D520" s="3097" t="s">
        <v>3219</v>
      </c>
      <c r="E520" s="3097" t="s">
        <v>3942</v>
      </c>
      <c r="F520" s="3097">
        <v>45.64</v>
      </c>
      <c r="G520" s="3097">
        <v>420000.27</v>
      </c>
      <c r="H520" s="3156">
        <v>9202</v>
      </c>
      <c r="I520" s="3155">
        <f t="shared" ca="1" si="240"/>
        <v>7223</v>
      </c>
      <c r="J520" s="3156">
        <f t="shared" ca="1" si="241"/>
        <v>33</v>
      </c>
      <c r="K520" s="3177"/>
      <c r="L520" s="3177"/>
      <c r="M520" s="3177"/>
      <c r="N520" s="3177"/>
      <c r="O520" s="3177"/>
    </row>
    <row r="521" spans="1:15">
      <c r="A521" s="3157" t="s">
        <v>4192</v>
      </c>
      <c r="B521" s="3157">
        <v>169</v>
      </c>
      <c r="C521" s="3096" t="s">
        <v>3218</v>
      </c>
      <c r="D521" s="3097" t="s">
        <v>3219</v>
      </c>
      <c r="E521" s="3097" t="s">
        <v>3948</v>
      </c>
      <c r="F521" s="3097">
        <v>45.64</v>
      </c>
      <c r="G521" s="3097">
        <v>420000.27</v>
      </c>
      <c r="H521" s="3156">
        <v>9202</v>
      </c>
      <c r="I521" s="3155">
        <f t="shared" ca="1" si="240"/>
        <v>7223</v>
      </c>
      <c r="J521" s="3156">
        <f t="shared" ca="1" si="241"/>
        <v>33</v>
      </c>
      <c r="K521" s="3177"/>
      <c r="L521" s="3177"/>
      <c r="M521" s="3177"/>
      <c r="N521" s="3177"/>
      <c r="O521" s="3177"/>
    </row>
    <row r="522" spans="1:15">
      <c r="A522" s="3157" t="s">
        <v>4192</v>
      </c>
      <c r="B522" s="3157">
        <v>170</v>
      </c>
      <c r="C522" s="3096" t="s">
        <v>3218</v>
      </c>
      <c r="D522" s="3097" t="s">
        <v>3219</v>
      </c>
      <c r="E522" s="3097" t="s">
        <v>3950</v>
      </c>
      <c r="F522" s="3097">
        <v>45.64</v>
      </c>
      <c r="G522" s="3097">
        <v>420000.27</v>
      </c>
      <c r="H522" s="3156">
        <v>9202</v>
      </c>
      <c r="I522" s="3155">
        <f t="shared" ca="1" si="240"/>
        <v>7223</v>
      </c>
      <c r="J522" s="3156">
        <f t="shared" ca="1" si="241"/>
        <v>33</v>
      </c>
      <c r="K522" s="3177"/>
      <c r="L522" s="3177"/>
      <c r="M522" s="3177"/>
      <c r="N522" s="3177"/>
      <c r="O522" s="3177"/>
    </row>
    <row r="523" spans="1:15">
      <c r="A523" s="3157" t="s">
        <v>4192</v>
      </c>
      <c r="B523" s="3157">
        <v>171</v>
      </c>
      <c r="C523" s="3096" t="s">
        <v>3218</v>
      </c>
      <c r="D523" s="3097" t="s">
        <v>3219</v>
      </c>
      <c r="E523" s="3097" t="s">
        <v>3957</v>
      </c>
      <c r="F523" s="3097">
        <v>45.64</v>
      </c>
      <c r="G523" s="3097">
        <v>420000.27</v>
      </c>
      <c r="H523" s="3156">
        <v>9202</v>
      </c>
      <c r="I523" s="3155">
        <f t="shared" ca="1" si="240"/>
        <v>7223</v>
      </c>
      <c r="J523" s="3156">
        <f t="shared" ca="1" si="241"/>
        <v>33</v>
      </c>
      <c r="K523" s="3177"/>
      <c r="L523" s="3177"/>
      <c r="M523" s="3177"/>
      <c r="N523" s="3177"/>
      <c r="O523" s="3177"/>
    </row>
    <row r="524" spans="1:15">
      <c r="A524" s="3157" t="s">
        <v>4192</v>
      </c>
      <c r="B524" s="3157">
        <v>172</v>
      </c>
      <c r="C524" s="3096" t="s">
        <v>3218</v>
      </c>
      <c r="D524" s="3097" t="s">
        <v>3219</v>
      </c>
      <c r="E524" s="3097" t="s">
        <v>3959</v>
      </c>
      <c r="F524" s="3097">
        <v>45.64</v>
      </c>
      <c r="G524" s="3097">
        <v>420000.27</v>
      </c>
      <c r="H524" s="3156">
        <v>9202</v>
      </c>
      <c r="I524" s="3155">
        <f t="shared" ca="1" si="240"/>
        <v>7223</v>
      </c>
      <c r="J524" s="3156">
        <f t="shared" ca="1" si="241"/>
        <v>33</v>
      </c>
      <c r="K524" s="3177"/>
      <c r="L524" s="3177"/>
      <c r="M524" s="3177"/>
      <c r="N524" s="3177"/>
      <c r="O524" s="3177"/>
    </row>
    <row r="525" spans="1:15">
      <c r="A525" s="3157" t="s">
        <v>4192</v>
      </c>
      <c r="B525" s="3157">
        <v>173</v>
      </c>
      <c r="C525" s="3096" t="s">
        <v>3218</v>
      </c>
      <c r="D525" s="3097" t="s">
        <v>3219</v>
      </c>
      <c r="E525" s="3097" t="s">
        <v>3965</v>
      </c>
      <c r="F525" s="3097">
        <v>45.64</v>
      </c>
      <c r="G525" s="3097">
        <v>420000.27</v>
      </c>
      <c r="H525" s="3156">
        <v>9202</v>
      </c>
      <c r="I525" s="3155">
        <f t="shared" ca="1" si="240"/>
        <v>7223</v>
      </c>
      <c r="J525" s="3156">
        <f t="shared" ca="1" si="241"/>
        <v>33</v>
      </c>
      <c r="K525" s="3177"/>
      <c r="L525" s="3177"/>
      <c r="M525" s="3177"/>
      <c r="N525" s="3177"/>
      <c r="O525" s="3177"/>
    </row>
    <row r="526" spans="1:15">
      <c r="A526" s="3157" t="s">
        <v>4192</v>
      </c>
      <c r="B526" s="3157">
        <v>174</v>
      </c>
      <c r="C526" s="3096" t="s">
        <v>3218</v>
      </c>
      <c r="D526" s="3097" t="s">
        <v>3219</v>
      </c>
      <c r="E526" s="3097" t="s">
        <v>3967</v>
      </c>
      <c r="F526" s="3097">
        <v>45.64</v>
      </c>
      <c r="G526" s="3097">
        <v>420000.27</v>
      </c>
      <c r="H526" s="3156">
        <v>9202</v>
      </c>
      <c r="I526" s="3155">
        <f t="shared" ref="I526:I588" ca="1" si="242">IF(C526="大证住宅",$R$2,IF(C526="仓储",$R$3,$R$4))</f>
        <v>7223</v>
      </c>
      <c r="J526" s="3156">
        <f t="shared" ref="J526:J588" ca="1" si="243">ROUND(I526*F526/10000,0)</f>
        <v>33</v>
      </c>
      <c r="K526" s="3177"/>
      <c r="L526" s="3177"/>
      <c r="M526" s="3177"/>
      <c r="N526" s="3177"/>
      <c r="O526" s="3177"/>
    </row>
    <row r="527" spans="1:15">
      <c r="A527" s="3157" t="s">
        <v>4192</v>
      </c>
      <c r="B527" s="3157">
        <v>175</v>
      </c>
      <c r="C527" s="3096" t="s">
        <v>3218</v>
      </c>
      <c r="D527" s="3097" t="s">
        <v>3219</v>
      </c>
      <c r="E527" s="3097" t="s">
        <v>3974</v>
      </c>
      <c r="F527" s="3097">
        <v>45.64</v>
      </c>
      <c r="G527" s="3097">
        <v>420000.27</v>
      </c>
      <c r="H527" s="3156">
        <v>9202</v>
      </c>
      <c r="I527" s="3155">
        <f t="shared" ca="1" si="242"/>
        <v>7223</v>
      </c>
      <c r="J527" s="3156">
        <f t="shared" ca="1" si="243"/>
        <v>33</v>
      </c>
      <c r="K527" s="3177"/>
      <c r="L527" s="3177"/>
      <c r="M527" s="3177"/>
      <c r="N527" s="3177"/>
      <c r="O527" s="3177"/>
    </row>
    <row r="528" spans="1:15">
      <c r="A528" s="3157" t="s">
        <v>4192</v>
      </c>
      <c r="B528" s="3157">
        <v>176</v>
      </c>
      <c r="C528" s="3096" t="s">
        <v>3218</v>
      </c>
      <c r="D528" s="3097" t="s">
        <v>3219</v>
      </c>
      <c r="E528" s="3097" t="s">
        <v>3976</v>
      </c>
      <c r="F528" s="3097">
        <v>45.64</v>
      </c>
      <c r="G528" s="3097">
        <v>420000.27</v>
      </c>
      <c r="H528" s="3156">
        <v>9202</v>
      </c>
      <c r="I528" s="3155">
        <f t="shared" ca="1" si="242"/>
        <v>7223</v>
      </c>
      <c r="J528" s="3156">
        <f t="shared" ca="1" si="243"/>
        <v>33</v>
      </c>
      <c r="K528" s="3177"/>
      <c r="L528" s="3177"/>
      <c r="M528" s="3177"/>
      <c r="N528" s="3177"/>
      <c r="O528" s="3177"/>
    </row>
    <row r="529" spans="1:15">
      <c r="A529" s="3157" t="s">
        <v>4192</v>
      </c>
      <c r="B529" s="3157">
        <v>177</v>
      </c>
      <c r="C529" s="3096" t="s">
        <v>3218</v>
      </c>
      <c r="D529" s="3097" t="s">
        <v>3219</v>
      </c>
      <c r="E529" s="3097" t="s">
        <v>3982</v>
      </c>
      <c r="F529" s="3097">
        <v>45.64</v>
      </c>
      <c r="G529" s="3097">
        <v>420000.27</v>
      </c>
      <c r="H529" s="3156">
        <v>9202</v>
      </c>
      <c r="I529" s="3155">
        <f t="shared" ca="1" si="242"/>
        <v>7223</v>
      </c>
      <c r="J529" s="3156">
        <f t="shared" ca="1" si="243"/>
        <v>33</v>
      </c>
      <c r="K529" s="3177"/>
      <c r="L529" s="3177"/>
      <c r="M529" s="3177"/>
      <c r="N529" s="3177"/>
      <c r="O529" s="3177"/>
    </row>
    <row r="530" spans="1:15">
      <c r="A530" s="3157" t="s">
        <v>4192</v>
      </c>
      <c r="B530" s="3157">
        <v>178</v>
      </c>
      <c r="C530" s="3096" t="s">
        <v>3218</v>
      </c>
      <c r="D530" s="3097" t="s">
        <v>3219</v>
      </c>
      <c r="E530" s="3097" t="s">
        <v>3984</v>
      </c>
      <c r="F530" s="3097">
        <v>45.64</v>
      </c>
      <c r="G530" s="3097">
        <v>420000.27</v>
      </c>
      <c r="H530" s="3156">
        <v>9202</v>
      </c>
      <c r="I530" s="3155">
        <f t="shared" ca="1" si="242"/>
        <v>7223</v>
      </c>
      <c r="J530" s="3156">
        <f t="shared" ca="1" si="243"/>
        <v>33</v>
      </c>
      <c r="K530" s="3177"/>
      <c r="L530" s="3177"/>
      <c r="M530" s="3177"/>
      <c r="N530" s="3177"/>
      <c r="O530" s="3177"/>
    </row>
    <row r="531" spans="1:15">
      <c r="A531" s="3157" t="s">
        <v>4192</v>
      </c>
      <c r="B531" s="3157">
        <v>179</v>
      </c>
      <c r="C531" s="3096" t="s">
        <v>3218</v>
      </c>
      <c r="D531" s="3097" t="s">
        <v>3219</v>
      </c>
      <c r="E531" s="3097" t="s">
        <v>3991</v>
      </c>
      <c r="F531" s="3097">
        <v>45.64</v>
      </c>
      <c r="G531" s="3097">
        <v>420000.27</v>
      </c>
      <c r="H531" s="3156">
        <v>9202</v>
      </c>
      <c r="I531" s="3155">
        <f t="shared" ca="1" si="242"/>
        <v>7223</v>
      </c>
      <c r="J531" s="3156">
        <f t="shared" ca="1" si="243"/>
        <v>33</v>
      </c>
      <c r="K531" s="3177"/>
      <c r="L531" s="3177"/>
      <c r="M531" s="3177"/>
      <c r="N531" s="3177"/>
      <c r="O531" s="3177"/>
    </row>
    <row r="532" spans="1:15">
      <c r="A532" s="3157" t="s">
        <v>4192</v>
      </c>
      <c r="B532" s="3157">
        <v>180</v>
      </c>
      <c r="C532" s="3096" t="s">
        <v>3218</v>
      </c>
      <c r="D532" s="3097" t="s">
        <v>3219</v>
      </c>
      <c r="E532" s="3097" t="s">
        <v>3993</v>
      </c>
      <c r="F532" s="3097">
        <v>45.64</v>
      </c>
      <c r="G532" s="3097">
        <v>420000.27</v>
      </c>
      <c r="H532" s="3156">
        <v>9202</v>
      </c>
      <c r="I532" s="3155">
        <f t="shared" ca="1" si="242"/>
        <v>7223</v>
      </c>
      <c r="J532" s="3156">
        <f t="shared" ca="1" si="243"/>
        <v>33</v>
      </c>
      <c r="K532" s="3177"/>
      <c r="L532" s="3177"/>
      <c r="M532" s="3177"/>
      <c r="N532" s="3177"/>
      <c r="O532" s="3177"/>
    </row>
    <row r="533" spans="1:15">
      <c r="A533" s="3157" t="s">
        <v>4192</v>
      </c>
      <c r="B533" s="3157">
        <v>181</v>
      </c>
      <c r="C533" s="3096" t="s">
        <v>3218</v>
      </c>
      <c r="D533" s="3097" t="s">
        <v>3219</v>
      </c>
      <c r="E533" s="3097" t="s">
        <v>3999</v>
      </c>
      <c r="F533" s="3097">
        <v>45.64</v>
      </c>
      <c r="G533" s="3097">
        <v>420000.27</v>
      </c>
      <c r="H533" s="3156">
        <v>9202</v>
      </c>
      <c r="I533" s="3155">
        <f t="shared" ca="1" si="242"/>
        <v>7223</v>
      </c>
      <c r="J533" s="3156">
        <f t="shared" ca="1" si="243"/>
        <v>33</v>
      </c>
      <c r="K533" s="3177"/>
      <c r="L533" s="3177"/>
      <c r="M533" s="3177"/>
      <c r="N533" s="3177"/>
      <c r="O533" s="3177"/>
    </row>
    <row r="534" spans="1:15">
      <c r="A534" s="3157" t="s">
        <v>4192</v>
      </c>
      <c r="B534" s="3157">
        <v>182</v>
      </c>
      <c r="C534" s="3096" t="s">
        <v>3218</v>
      </c>
      <c r="D534" s="3097" t="s">
        <v>3219</v>
      </c>
      <c r="E534" s="3097" t="s">
        <v>4001</v>
      </c>
      <c r="F534" s="3097">
        <v>45.64</v>
      </c>
      <c r="G534" s="3097">
        <v>420000.27</v>
      </c>
      <c r="H534" s="3156">
        <v>9202</v>
      </c>
      <c r="I534" s="3155">
        <f t="shared" ca="1" si="242"/>
        <v>7223</v>
      </c>
      <c r="J534" s="3156">
        <f t="shared" ca="1" si="243"/>
        <v>33</v>
      </c>
      <c r="K534" s="3177"/>
      <c r="L534" s="3177"/>
      <c r="M534" s="3177"/>
      <c r="N534" s="3177"/>
      <c r="O534" s="3177"/>
    </row>
    <row r="535" spans="1:15">
      <c r="A535" s="3157" t="s">
        <v>4192</v>
      </c>
      <c r="B535" s="3157">
        <v>183</v>
      </c>
      <c r="C535" s="3096" t="s">
        <v>3218</v>
      </c>
      <c r="D535" s="3097" t="s">
        <v>3219</v>
      </c>
      <c r="E535" s="3097" t="s">
        <v>4007</v>
      </c>
      <c r="F535" s="3097">
        <v>45.64</v>
      </c>
      <c r="G535" s="3097">
        <v>420000.27</v>
      </c>
      <c r="H535" s="3156">
        <v>9202</v>
      </c>
      <c r="I535" s="3155">
        <f t="shared" ca="1" si="242"/>
        <v>7223</v>
      </c>
      <c r="J535" s="3156">
        <f t="shared" ca="1" si="243"/>
        <v>33</v>
      </c>
      <c r="K535" s="3177"/>
      <c r="L535" s="3177"/>
      <c r="M535" s="3177"/>
      <c r="N535" s="3177"/>
      <c r="O535" s="3177"/>
    </row>
    <row r="536" spans="1:15">
      <c r="A536" s="3157" t="s">
        <v>4192</v>
      </c>
      <c r="B536" s="3157">
        <v>184</v>
      </c>
      <c r="C536" s="3096" t="s">
        <v>3218</v>
      </c>
      <c r="D536" s="3097" t="s">
        <v>3219</v>
      </c>
      <c r="E536" s="3097" t="s">
        <v>4009</v>
      </c>
      <c r="F536" s="3097">
        <v>45.64</v>
      </c>
      <c r="G536" s="3097">
        <v>420000.27</v>
      </c>
      <c r="H536" s="3156">
        <v>9202</v>
      </c>
      <c r="I536" s="3155">
        <f t="shared" ca="1" si="242"/>
        <v>7223</v>
      </c>
      <c r="J536" s="3156">
        <f t="shared" ca="1" si="243"/>
        <v>33</v>
      </c>
      <c r="K536" s="3177"/>
      <c r="L536" s="3177"/>
      <c r="M536" s="3177"/>
      <c r="N536" s="3177"/>
      <c r="O536" s="3177"/>
    </row>
    <row r="537" spans="1:15">
      <c r="A537" s="3157" t="s">
        <v>4192</v>
      </c>
      <c r="B537" s="3157">
        <v>185</v>
      </c>
      <c r="C537" s="3096" t="s">
        <v>3218</v>
      </c>
      <c r="D537" s="3097" t="s">
        <v>3219</v>
      </c>
      <c r="E537" s="3097" t="s">
        <v>4015</v>
      </c>
      <c r="F537" s="3097">
        <v>45.64</v>
      </c>
      <c r="G537" s="3097">
        <v>420000.27</v>
      </c>
      <c r="H537" s="3156">
        <v>9202</v>
      </c>
      <c r="I537" s="3155">
        <f t="shared" ca="1" si="242"/>
        <v>7223</v>
      </c>
      <c r="J537" s="3156">
        <f t="shared" ca="1" si="243"/>
        <v>33</v>
      </c>
      <c r="K537" s="3177"/>
      <c r="L537" s="3177"/>
      <c r="M537" s="3177"/>
      <c r="N537" s="3177"/>
      <c r="O537" s="3177"/>
    </row>
    <row r="538" spans="1:15">
      <c r="A538" s="3157" t="s">
        <v>4192</v>
      </c>
      <c r="B538" s="3157">
        <v>186</v>
      </c>
      <c r="C538" s="3096" t="s">
        <v>3218</v>
      </c>
      <c r="D538" s="3097" t="s">
        <v>3219</v>
      </c>
      <c r="E538" s="3097" t="s">
        <v>4017</v>
      </c>
      <c r="F538" s="3097">
        <v>45.64</v>
      </c>
      <c r="G538" s="3097">
        <v>420000.27</v>
      </c>
      <c r="H538" s="3156">
        <v>9202</v>
      </c>
      <c r="I538" s="3155">
        <f t="shared" ca="1" si="242"/>
        <v>7223</v>
      </c>
      <c r="J538" s="3156">
        <f t="shared" ca="1" si="243"/>
        <v>33</v>
      </c>
      <c r="K538" s="3177"/>
      <c r="L538" s="3177"/>
      <c r="M538" s="3177"/>
      <c r="N538" s="3177"/>
      <c r="O538" s="3177"/>
    </row>
    <row r="539" spans="1:15">
      <c r="A539" s="3157" t="s">
        <v>4193</v>
      </c>
      <c r="B539" s="3157">
        <v>187</v>
      </c>
      <c r="C539" s="3096" t="s">
        <v>3218</v>
      </c>
      <c r="D539" s="3097" t="s">
        <v>3219</v>
      </c>
      <c r="E539" s="3097" t="s">
        <v>4024</v>
      </c>
      <c r="F539" s="3097">
        <v>45.64</v>
      </c>
      <c r="G539" s="3097">
        <v>420000.27</v>
      </c>
      <c r="H539" s="3156">
        <v>9202</v>
      </c>
      <c r="I539" s="3155">
        <f t="shared" ca="1" si="242"/>
        <v>7223</v>
      </c>
      <c r="J539" s="3156">
        <f t="shared" ca="1" si="243"/>
        <v>33</v>
      </c>
      <c r="K539" s="3177"/>
      <c r="L539" s="3177"/>
      <c r="M539" s="3177"/>
      <c r="N539" s="3177"/>
      <c r="O539" s="3177"/>
    </row>
    <row r="540" spans="1:15">
      <c r="A540" s="3157" t="s">
        <v>4193</v>
      </c>
      <c r="B540" s="3157">
        <v>188</v>
      </c>
      <c r="C540" s="3096" t="s">
        <v>3218</v>
      </c>
      <c r="D540" s="3097" t="s">
        <v>3219</v>
      </c>
      <c r="E540" s="3097" t="s">
        <v>4026</v>
      </c>
      <c r="F540" s="3097">
        <v>45.64</v>
      </c>
      <c r="G540" s="3097">
        <v>420000.27</v>
      </c>
      <c r="H540" s="3156">
        <v>9202</v>
      </c>
      <c r="I540" s="3155">
        <f t="shared" ca="1" si="242"/>
        <v>7223</v>
      </c>
      <c r="J540" s="3156">
        <f t="shared" ca="1" si="243"/>
        <v>33</v>
      </c>
      <c r="K540" s="3177"/>
      <c r="L540" s="3177"/>
      <c r="M540" s="3177"/>
      <c r="N540" s="3177"/>
      <c r="O540" s="3177"/>
    </row>
    <row r="541" spans="1:15">
      <c r="A541" s="3157" t="s">
        <v>4193</v>
      </c>
      <c r="B541" s="3157">
        <v>189</v>
      </c>
      <c r="C541" s="3096" t="s">
        <v>3218</v>
      </c>
      <c r="D541" s="3097" t="s">
        <v>3219</v>
      </c>
      <c r="E541" s="3097" t="s">
        <v>4032</v>
      </c>
      <c r="F541" s="3097">
        <v>45.64</v>
      </c>
      <c r="G541" s="3097">
        <v>420000.27</v>
      </c>
      <c r="H541" s="3156">
        <v>9202</v>
      </c>
      <c r="I541" s="3155">
        <f t="shared" ca="1" si="242"/>
        <v>7223</v>
      </c>
      <c r="J541" s="3156">
        <f t="shared" ca="1" si="243"/>
        <v>33</v>
      </c>
      <c r="K541" s="3177"/>
      <c r="L541" s="3177"/>
      <c r="M541" s="3177"/>
      <c r="N541" s="3177"/>
      <c r="O541" s="3177"/>
    </row>
    <row r="542" spans="1:15">
      <c r="A542" s="3157" t="s">
        <v>4193</v>
      </c>
      <c r="B542" s="3157">
        <v>190</v>
      </c>
      <c r="C542" s="3096" t="s">
        <v>3218</v>
      </c>
      <c r="D542" s="3097" t="s">
        <v>3219</v>
      </c>
      <c r="E542" s="3097" t="s">
        <v>4034</v>
      </c>
      <c r="F542" s="3097">
        <v>45.64</v>
      </c>
      <c r="G542" s="3097">
        <v>420000.27</v>
      </c>
      <c r="H542" s="3156">
        <v>9202</v>
      </c>
      <c r="I542" s="3155">
        <f t="shared" ca="1" si="242"/>
        <v>7223</v>
      </c>
      <c r="J542" s="3156">
        <f t="shared" ca="1" si="243"/>
        <v>33</v>
      </c>
      <c r="K542" s="3177"/>
      <c r="L542" s="3177"/>
      <c r="M542" s="3177"/>
      <c r="N542" s="3177"/>
      <c r="O542" s="3177"/>
    </row>
    <row r="543" spans="1:15">
      <c r="A543" s="3157" t="s">
        <v>4193</v>
      </c>
      <c r="B543" s="3157">
        <v>191</v>
      </c>
      <c r="C543" s="3096" t="s">
        <v>3218</v>
      </c>
      <c r="D543" s="3097" t="s">
        <v>3219</v>
      </c>
      <c r="E543" s="3097" t="s">
        <v>4040</v>
      </c>
      <c r="F543" s="3097">
        <v>45.64</v>
      </c>
      <c r="G543" s="3097">
        <v>420000.27</v>
      </c>
      <c r="H543" s="3156">
        <v>9202</v>
      </c>
      <c r="I543" s="3155">
        <f t="shared" ca="1" si="242"/>
        <v>7223</v>
      </c>
      <c r="J543" s="3156">
        <f t="shared" ca="1" si="243"/>
        <v>33</v>
      </c>
      <c r="K543" s="3177"/>
      <c r="L543" s="3177"/>
      <c r="M543" s="3177"/>
      <c r="N543" s="3177"/>
      <c r="O543" s="3177"/>
    </row>
    <row r="544" spans="1:15">
      <c r="A544" s="3157" t="s">
        <v>4193</v>
      </c>
      <c r="B544" s="3157">
        <v>192</v>
      </c>
      <c r="C544" s="3096" t="s">
        <v>3218</v>
      </c>
      <c r="D544" s="3097" t="s">
        <v>3219</v>
      </c>
      <c r="E544" s="3097" t="s">
        <v>4042</v>
      </c>
      <c r="F544" s="3097">
        <v>45.64</v>
      </c>
      <c r="G544" s="3097">
        <v>420000.27</v>
      </c>
      <c r="H544" s="3156">
        <v>9202</v>
      </c>
      <c r="I544" s="3155">
        <f t="shared" ca="1" si="242"/>
        <v>7223</v>
      </c>
      <c r="J544" s="3156">
        <f t="shared" ca="1" si="243"/>
        <v>33</v>
      </c>
      <c r="K544" s="3177"/>
      <c r="L544" s="3177"/>
      <c r="M544" s="3177"/>
      <c r="N544" s="3177"/>
      <c r="O544" s="3177"/>
    </row>
    <row r="545" spans="1:15">
      <c r="A545" s="3157" t="s">
        <v>4193</v>
      </c>
      <c r="B545" s="3157">
        <v>193</v>
      </c>
      <c r="C545" s="3096" t="s">
        <v>3218</v>
      </c>
      <c r="D545" s="3097" t="s">
        <v>3219</v>
      </c>
      <c r="E545" s="3097" t="s">
        <v>4048</v>
      </c>
      <c r="F545" s="3097">
        <v>45.64</v>
      </c>
      <c r="G545" s="3097">
        <v>420000.27</v>
      </c>
      <c r="H545" s="3156">
        <v>9202</v>
      </c>
      <c r="I545" s="3155">
        <f t="shared" ca="1" si="242"/>
        <v>7223</v>
      </c>
      <c r="J545" s="3156">
        <f t="shared" ca="1" si="243"/>
        <v>33</v>
      </c>
      <c r="K545" s="3177"/>
      <c r="L545" s="3177"/>
      <c r="M545" s="3177"/>
      <c r="N545" s="3177"/>
      <c r="O545" s="3177"/>
    </row>
    <row r="546" spans="1:15">
      <c r="A546" s="3157" t="s">
        <v>4193</v>
      </c>
      <c r="B546" s="3157">
        <v>194</v>
      </c>
      <c r="C546" s="3096" t="s">
        <v>3218</v>
      </c>
      <c r="D546" s="3097" t="s">
        <v>3219</v>
      </c>
      <c r="E546" s="3097" t="s">
        <v>4050</v>
      </c>
      <c r="F546" s="3097">
        <v>45.64</v>
      </c>
      <c r="G546" s="3097">
        <v>420000.27</v>
      </c>
      <c r="H546" s="3156">
        <v>9202</v>
      </c>
      <c r="I546" s="3155">
        <f t="shared" ca="1" si="242"/>
        <v>7223</v>
      </c>
      <c r="J546" s="3156">
        <f t="shared" ca="1" si="243"/>
        <v>33</v>
      </c>
      <c r="K546" s="3177"/>
      <c r="L546" s="3177"/>
      <c r="M546" s="3177"/>
      <c r="N546" s="3177"/>
      <c r="O546" s="3177"/>
    </row>
    <row r="547" spans="1:15">
      <c r="A547" s="3157" t="s">
        <v>4193</v>
      </c>
      <c r="B547" s="3157">
        <v>195</v>
      </c>
      <c r="C547" s="3096" t="s">
        <v>3218</v>
      </c>
      <c r="D547" s="3097" t="s">
        <v>3219</v>
      </c>
      <c r="E547" s="3097" t="s">
        <v>4056</v>
      </c>
      <c r="F547" s="3097">
        <v>45.64</v>
      </c>
      <c r="G547" s="3097">
        <v>420000.27</v>
      </c>
      <c r="H547" s="3156">
        <v>9202</v>
      </c>
      <c r="I547" s="3155">
        <f t="shared" ca="1" si="242"/>
        <v>7223</v>
      </c>
      <c r="J547" s="3156">
        <f t="shared" ca="1" si="243"/>
        <v>33</v>
      </c>
      <c r="K547" s="3177"/>
      <c r="L547" s="3177"/>
      <c r="M547" s="3177"/>
      <c r="N547" s="3177"/>
      <c r="O547" s="3177"/>
    </row>
    <row r="548" spans="1:15">
      <c r="A548" s="3157" t="s">
        <v>4193</v>
      </c>
      <c r="B548" s="3157">
        <v>196</v>
      </c>
      <c r="C548" s="3096" t="s">
        <v>3218</v>
      </c>
      <c r="D548" s="3097" t="s">
        <v>3219</v>
      </c>
      <c r="E548" s="3097" t="s">
        <v>4058</v>
      </c>
      <c r="F548" s="3097">
        <v>45.64</v>
      </c>
      <c r="G548" s="3097">
        <v>420000.27</v>
      </c>
      <c r="H548" s="3156">
        <v>9202</v>
      </c>
      <c r="I548" s="3155">
        <f t="shared" ca="1" si="242"/>
        <v>7223</v>
      </c>
      <c r="J548" s="3156">
        <f t="shared" ca="1" si="243"/>
        <v>33</v>
      </c>
      <c r="K548" s="3177"/>
      <c r="L548" s="3177"/>
      <c r="M548" s="3177"/>
      <c r="N548" s="3177"/>
      <c r="O548" s="3177"/>
    </row>
    <row r="549" spans="1:15">
      <c r="A549" s="3157" t="s">
        <v>4193</v>
      </c>
      <c r="B549" s="3157">
        <v>197</v>
      </c>
      <c r="C549" s="3096" t="s">
        <v>3218</v>
      </c>
      <c r="D549" s="3097" t="s">
        <v>3219</v>
      </c>
      <c r="E549" s="3097" t="s">
        <v>4065</v>
      </c>
      <c r="F549" s="3097">
        <v>45.64</v>
      </c>
      <c r="G549" s="3097">
        <v>420000.27</v>
      </c>
      <c r="H549" s="3156">
        <v>9202</v>
      </c>
      <c r="I549" s="3155">
        <f t="shared" ca="1" si="242"/>
        <v>7223</v>
      </c>
      <c r="J549" s="3156">
        <f t="shared" ca="1" si="243"/>
        <v>33</v>
      </c>
      <c r="K549" s="3177"/>
      <c r="L549" s="3177"/>
      <c r="M549" s="3177"/>
      <c r="N549" s="3177"/>
      <c r="O549" s="3177"/>
    </row>
    <row r="550" spans="1:15">
      <c r="A550" s="3157" t="s">
        <v>4193</v>
      </c>
      <c r="B550" s="3157">
        <v>198</v>
      </c>
      <c r="C550" s="3096" t="s">
        <v>3218</v>
      </c>
      <c r="D550" s="3097" t="s">
        <v>3219</v>
      </c>
      <c r="E550" s="3097" t="s">
        <v>4067</v>
      </c>
      <c r="F550" s="3097">
        <v>45.64</v>
      </c>
      <c r="G550" s="3097">
        <v>420000.27</v>
      </c>
      <c r="H550" s="3156">
        <v>9202</v>
      </c>
      <c r="I550" s="3155">
        <f t="shared" ca="1" si="242"/>
        <v>7223</v>
      </c>
      <c r="J550" s="3156">
        <f t="shared" ca="1" si="243"/>
        <v>33</v>
      </c>
      <c r="K550" s="3177"/>
      <c r="L550" s="3177"/>
      <c r="M550" s="3177"/>
      <c r="N550" s="3177"/>
      <c r="O550" s="3177"/>
    </row>
    <row r="551" spans="1:15">
      <c r="A551" s="3157" t="s">
        <v>4193</v>
      </c>
      <c r="B551" s="3157">
        <v>199</v>
      </c>
      <c r="C551" s="3096" t="s">
        <v>3218</v>
      </c>
      <c r="D551" s="3097" t="s">
        <v>3219</v>
      </c>
      <c r="E551" s="3097" t="s">
        <v>4073</v>
      </c>
      <c r="F551" s="3097">
        <v>45.64</v>
      </c>
      <c r="G551" s="3097">
        <v>420000.27</v>
      </c>
      <c r="H551" s="3156">
        <v>9202</v>
      </c>
      <c r="I551" s="3155">
        <f t="shared" ca="1" si="242"/>
        <v>7223</v>
      </c>
      <c r="J551" s="3156">
        <f t="shared" ca="1" si="243"/>
        <v>33</v>
      </c>
      <c r="K551" s="3177"/>
      <c r="L551" s="3177"/>
      <c r="M551" s="3177"/>
      <c r="N551" s="3177"/>
      <c r="O551" s="3177"/>
    </row>
    <row r="552" spans="1:15">
      <c r="A552" s="3157" t="s">
        <v>4193</v>
      </c>
      <c r="B552" s="3157">
        <v>200</v>
      </c>
      <c r="C552" s="3096" t="s">
        <v>3218</v>
      </c>
      <c r="D552" s="3097" t="s">
        <v>3219</v>
      </c>
      <c r="E552" s="3097" t="s">
        <v>4075</v>
      </c>
      <c r="F552" s="3097">
        <v>45.64</v>
      </c>
      <c r="G552" s="3097">
        <v>420000.27</v>
      </c>
      <c r="H552" s="3156">
        <v>9202</v>
      </c>
      <c r="I552" s="3155">
        <f t="shared" ca="1" si="242"/>
        <v>7223</v>
      </c>
      <c r="J552" s="3156">
        <f t="shared" ca="1" si="243"/>
        <v>33</v>
      </c>
      <c r="K552" s="3177"/>
      <c r="L552" s="3177"/>
      <c r="M552" s="3177"/>
      <c r="N552" s="3177"/>
      <c r="O552" s="3177"/>
    </row>
    <row r="553" spans="1:15">
      <c r="A553" s="3157" t="s">
        <v>4193</v>
      </c>
      <c r="B553" s="3157">
        <v>201</v>
      </c>
      <c r="C553" s="3096" t="s">
        <v>3218</v>
      </c>
      <c r="D553" s="3097" t="s">
        <v>3219</v>
      </c>
      <c r="E553" s="3097" t="s">
        <v>4081</v>
      </c>
      <c r="F553" s="3097">
        <v>45.64</v>
      </c>
      <c r="G553" s="3097">
        <v>420000.27</v>
      </c>
      <c r="H553" s="3156">
        <v>9202</v>
      </c>
      <c r="I553" s="3155">
        <f t="shared" ca="1" si="242"/>
        <v>7223</v>
      </c>
      <c r="J553" s="3156">
        <f t="shared" ca="1" si="243"/>
        <v>33</v>
      </c>
      <c r="K553" s="3177"/>
      <c r="L553" s="3177"/>
      <c r="M553" s="3177"/>
      <c r="N553" s="3177"/>
      <c r="O553" s="3177"/>
    </row>
    <row r="554" spans="1:15">
      <c r="A554" s="3157" t="s">
        <v>4193</v>
      </c>
      <c r="B554" s="3157">
        <v>202</v>
      </c>
      <c r="C554" s="3096" t="s">
        <v>3218</v>
      </c>
      <c r="D554" s="3097" t="s">
        <v>3219</v>
      </c>
      <c r="E554" s="3097" t="s">
        <v>4083</v>
      </c>
      <c r="F554" s="3097">
        <v>45.64</v>
      </c>
      <c r="G554" s="3097">
        <v>420000.27</v>
      </c>
      <c r="H554" s="3156">
        <v>9202</v>
      </c>
      <c r="I554" s="3155">
        <f t="shared" ca="1" si="242"/>
        <v>7223</v>
      </c>
      <c r="J554" s="3156">
        <f t="shared" ca="1" si="243"/>
        <v>33</v>
      </c>
      <c r="K554" s="3177"/>
      <c r="L554" s="3177"/>
      <c r="M554" s="3177"/>
      <c r="N554" s="3177"/>
      <c r="O554" s="3177"/>
    </row>
    <row r="555" spans="1:15">
      <c r="A555" s="3157" t="s">
        <v>4193</v>
      </c>
      <c r="B555" s="3157">
        <v>203</v>
      </c>
      <c r="C555" s="3096" t="s">
        <v>3218</v>
      </c>
      <c r="D555" s="3097" t="s">
        <v>3219</v>
      </c>
      <c r="E555" s="3097" t="s">
        <v>4089</v>
      </c>
      <c r="F555" s="3097">
        <v>45.64</v>
      </c>
      <c r="G555" s="3097">
        <v>420000.27</v>
      </c>
      <c r="H555" s="3156">
        <v>9202</v>
      </c>
      <c r="I555" s="3155">
        <f t="shared" ca="1" si="242"/>
        <v>7223</v>
      </c>
      <c r="J555" s="3156">
        <f t="shared" ca="1" si="243"/>
        <v>33</v>
      </c>
      <c r="K555" s="3177"/>
      <c r="L555" s="3177"/>
      <c r="M555" s="3177"/>
      <c r="N555" s="3177"/>
      <c r="O555" s="3177"/>
    </row>
    <row r="556" spans="1:15">
      <c r="A556" s="3157" t="s">
        <v>4193</v>
      </c>
      <c r="B556" s="3157">
        <v>204</v>
      </c>
      <c r="C556" s="3096" t="s">
        <v>3218</v>
      </c>
      <c r="D556" s="3097" t="s">
        <v>3219</v>
      </c>
      <c r="E556" s="3097" t="s">
        <v>4091</v>
      </c>
      <c r="F556" s="3097">
        <v>45.64</v>
      </c>
      <c r="G556" s="3097">
        <v>420000.27</v>
      </c>
      <c r="H556" s="3156">
        <v>9202</v>
      </c>
      <c r="I556" s="3155">
        <f t="shared" ca="1" si="242"/>
        <v>7223</v>
      </c>
      <c r="J556" s="3156">
        <f t="shared" ca="1" si="243"/>
        <v>33</v>
      </c>
      <c r="K556" s="3177"/>
      <c r="L556" s="3177"/>
      <c r="M556" s="3177"/>
      <c r="N556" s="3177"/>
      <c r="O556" s="3177"/>
    </row>
    <row r="557" spans="1:15">
      <c r="A557" s="3157" t="s">
        <v>4193</v>
      </c>
      <c r="B557" s="3157">
        <v>205</v>
      </c>
      <c r="C557" s="3096" t="s">
        <v>3218</v>
      </c>
      <c r="D557" s="3097" t="s">
        <v>3219</v>
      </c>
      <c r="E557" s="3097" t="s">
        <v>4097</v>
      </c>
      <c r="F557" s="3097">
        <v>45.64</v>
      </c>
      <c r="G557" s="3097">
        <v>420000.27</v>
      </c>
      <c r="H557" s="3156">
        <v>9202</v>
      </c>
      <c r="I557" s="3155">
        <f t="shared" ca="1" si="242"/>
        <v>7223</v>
      </c>
      <c r="J557" s="3156">
        <f t="shared" ca="1" si="243"/>
        <v>33</v>
      </c>
      <c r="K557" s="3177"/>
      <c r="L557" s="3177"/>
      <c r="M557" s="3177"/>
      <c r="N557" s="3177"/>
      <c r="O557" s="3177"/>
    </row>
    <row r="558" spans="1:15">
      <c r="A558" s="3157" t="s">
        <v>4193</v>
      </c>
      <c r="B558" s="3157">
        <v>206</v>
      </c>
      <c r="C558" s="3096" t="s">
        <v>3218</v>
      </c>
      <c r="D558" s="3097" t="s">
        <v>3219</v>
      </c>
      <c r="E558" s="3097" t="s">
        <v>4099</v>
      </c>
      <c r="F558" s="3097">
        <v>45.64</v>
      </c>
      <c r="G558" s="3097">
        <v>420000.27</v>
      </c>
      <c r="H558" s="3156">
        <v>9202</v>
      </c>
      <c r="I558" s="3155">
        <f t="shared" ca="1" si="242"/>
        <v>7223</v>
      </c>
      <c r="J558" s="3156">
        <f t="shared" ca="1" si="243"/>
        <v>33</v>
      </c>
      <c r="K558" s="3177"/>
      <c r="L558" s="3177"/>
      <c r="M558" s="3177"/>
      <c r="N558" s="3177"/>
      <c r="O558" s="3177"/>
    </row>
    <row r="559" spans="1:15">
      <c r="A559" s="3157" t="s">
        <v>4193</v>
      </c>
      <c r="B559" s="3157">
        <v>207</v>
      </c>
      <c r="C559" s="3096" t="s">
        <v>3218</v>
      </c>
      <c r="D559" s="3097" t="s">
        <v>3219</v>
      </c>
      <c r="E559" s="3097" t="s">
        <v>4106</v>
      </c>
      <c r="F559" s="3097">
        <v>45.64</v>
      </c>
      <c r="G559" s="3097">
        <v>420000.27</v>
      </c>
      <c r="H559" s="3156">
        <v>9202</v>
      </c>
      <c r="I559" s="3155">
        <f t="shared" ca="1" si="242"/>
        <v>7223</v>
      </c>
      <c r="J559" s="3156">
        <f t="shared" ca="1" si="243"/>
        <v>33</v>
      </c>
      <c r="K559" s="3177"/>
      <c r="L559" s="3177"/>
      <c r="M559" s="3177"/>
      <c r="N559" s="3177"/>
      <c r="O559" s="3177"/>
    </row>
    <row r="560" spans="1:15">
      <c r="A560" s="3157" t="s">
        <v>4193</v>
      </c>
      <c r="B560" s="3157">
        <v>208</v>
      </c>
      <c r="C560" s="3096" t="s">
        <v>3218</v>
      </c>
      <c r="D560" s="3097" t="s">
        <v>3219</v>
      </c>
      <c r="E560" s="3097" t="s">
        <v>4108</v>
      </c>
      <c r="F560" s="3097">
        <v>45.64</v>
      </c>
      <c r="G560" s="3097">
        <v>420000.27</v>
      </c>
      <c r="H560" s="3156">
        <v>9202</v>
      </c>
      <c r="I560" s="3155">
        <f t="shared" ca="1" si="242"/>
        <v>7223</v>
      </c>
      <c r="J560" s="3156">
        <f t="shared" ca="1" si="243"/>
        <v>33</v>
      </c>
      <c r="K560" s="3177"/>
      <c r="L560" s="3177"/>
      <c r="M560" s="3177"/>
      <c r="N560" s="3177"/>
      <c r="O560" s="3177"/>
    </row>
    <row r="561" spans="1:15">
      <c r="A561" s="3157" t="s">
        <v>4193</v>
      </c>
      <c r="B561" s="3157">
        <v>209</v>
      </c>
      <c r="C561" s="3096" t="s">
        <v>3218</v>
      </c>
      <c r="D561" s="3097" t="s">
        <v>3219</v>
      </c>
      <c r="E561" s="3097" t="s">
        <v>4114</v>
      </c>
      <c r="F561" s="3097">
        <v>45.64</v>
      </c>
      <c r="G561" s="3097">
        <v>420000.27</v>
      </c>
      <c r="H561" s="3156">
        <v>9202</v>
      </c>
      <c r="I561" s="3155">
        <f t="shared" ca="1" si="242"/>
        <v>7223</v>
      </c>
      <c r="J561" s="3156">
        <f t="shared" ca="1" si="243"/>
        <v>33</v>
      </c>
      <c r="K561" s="3177"/>
      <c r="L561" s="3177"/>
      <c r="M561" s="3177"/>
      <c r="N561" s="3177"/>
      <c r="O561" s="3177"/>
    </row>
    <row r="562" spans="1:15">
      <c r="A562" s="3157" t="s">
        <v>4193</v>
      </c>
      <c r="B562" s="3157">
        <v>210</v>
      </c>
      <c r="C562" s="3096" t="s">
        <v>3218</v>
      </c>
      <c r="D562" s="3097" t="s">
        <v>3219</v>
      </c>
      <c r="E562" s="3097" t="s">
        <v>4116</v>
      </c>
      <c r="F562" s="3097">
        <v>45.64</v>
      </c>
      <c r="G562" s="3097">
        <v>420000.27</v>
      </c>
      <c r="H562" s="3156">
        <v>9202</v>
      </c>
      <c r="I562" s="3155">
        <f t="shared" ca="1" si="242"/>
        <v>7223</v>
      </c>
      <c r="J562" s="3156">
        <f t="shared" ca="1" si="243"/>
        <v>33</v>
      </c>
      <c r="K562" s="3177"/>
      <c r="L562" s="3177"/>
      <c r="M562" s="3177"/>
      <c r="N562" s="3177"/>
      <c r="O562" s="3177"/>
    </row>
    <row r="563" spans="1:15">
      <c r="A563" s="3157" t="s">
        <v>4193</v>
      </c>
      <c r="B563" s="3157">
        <v>211</v>
      </c>
      <c r="C563" s="3096" t="s">
        <v>3218</v>
      </c>
      <c r="D563" s="3097" t="s">
        <v>3219</v>
      </c>
      <c r="E563" s="3097" t="s">
        <v>4123</v>
      </c>
      <c r="F563" s="3097">
        <v>45.64</v>
      </c>
      <c r="G563" s="3097">
        <v>420000.27</v>
      </c>
      <c r="H563" s="3156">
        <v>9202</v>
      </c>
      <c r="I563" s="3155">
        <f t="shared" ca="1" si="242"/>
        <v>7223</v>
      </c>
      <c r="J563" s="3156">
        <f t="shared" ca="1" si="243"/>
        <v>33</v>
      </c>
      <c r="K563" s="3177"/>
      <c r="L563" s="3177"/>
      <c r="M563" s="3177"/>
      <c r="N563" s="3177"/>
      <c r="O563" s="3177"/>
    </row>
    <row r="564" spans="1:15">
      <c r="A564" s="3157" t="s">
        <v>4193</v>
      </c>
      <c r="B564" s="3157">
        <v>212</v>
      </c>
      <c r="C564" s="3096" t="s">
        <v>3218</v>
      </c>
      <c r="D564" s="3097" t="s">
        <v>3219</v>
      </c>
      <c r="E564" s="3097" t="s">
        <v>4125</v>
      </c>
      <c r="F564" s="3097">
        <v>45.64</v>
      </c>
      <c r="G564" s="3097">
        <v>420000.27</v>
      </c>
      <c r="H564" s="3156">
        <v>9202</v>
      </c>
      <c r="I564" s="3155">
        <f t="shared" ca="1" si="242"/>
        <v>7223</v>
      </c>
      <c r="J564" s="3156">
        <f t="shared" ca="1" si="243"/>
        <v>33</v>
      </c>
      <c r="K564" s="3177"/>
      <c r="L564" s="3177"/>
      <c r="M564" s="3177"/>
      <c r="N564" s="3177"/>
      <c r="O564" s="3177"/>
    </row>
    <row r="565" spans="1:15">
      <c r="A565" s="3157" t="s">
        <v>4193</v>
      </c>
      <c r="B565" s="3157">
        <v>213</v>
      </c>
      <c r="C565" s="3096" t="s">
        <v>3218</v>
      </c>
      <c r="D565" s="3097" t="s">
        <v>3219</v>
      </c>
      <c r="E565" s="3097" t="s">
        <v>4131</v>
      </c>
      <c r="F565" s="3097">
        <v>45.64</v>
      </c>
      <c r="G565" s="3097">
        <v>420000.27</v>
      </c>
      <c r="H565" s="3156">
        <v>9202</v>
      </c>
      <c r="I565" s="3155">
        <f t="shared" ca="1" si="242"/>
        <v>7223</v>
      </c>
      <c r="J565" s="3156">
        <f t="shared" ca="1" si="243"/>
        <v>33</v>
      </c>
      <c r="K565" s="3177"/>
      <c r="L565" s="3177"/>
      <c r="M565" s="3177"/>
      <c r="N565" s="3177"/>
      <c r="O565" s="3177"/>
    </row>
    <row r="566" spans="1:15">
      <c r="A566" s="3157" t="s">
        <v>4193</v>
      </c>
      <c r="B566" s="3157">
        <v>214</v>
      </c>
      <c r="C566" s="3096" t="s">
        <v>3218</v>
      </c>
      <c r="D566" s="3097" t="s">
        <v>3219</v>
      </c>
      <c r="E566" s="3097" t="s">
        <v>4133</v>
      </c>
      <c r="F566" s="3097">
        <v>45.64</v>
      </c>
      <c r="G566" s="3097">
        <v>420000.27</v>
      </c>
      <c r="H566" s="3156">
        <v>9202</v>
      </c>
      <c r="I566" s="3155">
        <f t="shared" ca="1" si="242"/>
        <v>7223</v>
      </c>
      <c r="J566" s="3156">
        <f t="shared" ca="1" si="243"/>
        <v>33</v>
      </c>
      <c r="K566" s="3177"/>
      <c r="L566" s="3177"/>
      <c r="M566" s="3177"/>
      <c r="N566" s="3177"/>
      <c r="O566" s="3177"/>
    </row>
    <row r="567" spans="1:15">
      <c r="A567" s="3157" t="s">
        <v>4193</v>
      </c>
      <c r="B567" s="3157">
        <v>215</v>
      </c>
      <c r="C567" s="3096" t="s">
        <v>3218</v>
      </c>
      <c r="D567" s="3097" t="s">
        <v>3219</v>
      </c>
      <c r="E567" s="3097" t="s">
        <v>4140</v>
      </c>
      <c r="F567" s="3097">
        <v>45.64</v>
      </c>
      <c r="G567" s="3097">
        <v>420000.27</v>
      </c>
      <c r="H567" s="3156">
        <v>9202</v>
      </c>
      <c r="I567" s="3155">
        <f t="shared" ca="1" si="242"/>
        <v>7223</v>
      </c>
      <c r="J567" s="3156">
        <f t="shared" ca="1" si="243"/>
        <v>33</v>
      </c>
      <c r="K567" s="3177"/>
      <c r="L567" s="3177"/>
      <c r="M567" s="3177"/>
      <c r="N567" s="3177"/>
      <c r="O567" s="3177"/>
    </row>
    <row r="568" spans="1:15">
      <c r="A568" s="3157" t="s">
        <v>4193</v>
      </c>
      <c r="B568" s="3157">
        <v>216</v>
      </c>
      <c r="C568" s="3096" t="s">
        <v>3218</v>
      </c>
      <c r="D568" s="3097" t="s">
        <v>3219</v>
      </c>
      <c r="E568" s="3097" t="s">
        <v>4142</v>
      </c>
      <c r="F568" s="3097">
        <v>45.64</v>
      </c>
      <c r="G568" s="3097">
        <v>420000.27</v>
      </c>
      <c r="H568" s="3156">
        <v>9202</v>
      </c>
      <c r="I568" s="3155">
        <f t="shared" ca="1" si="242"/>
        <v>7223</v>
      </c>
      <c r="J568" s="3156">
        <f t="shared" ca="1" si="243"/>
        <v>33</v>
      </c>
      <c r="K568" s="3177"/>
      <c r="L568" s="3177"/>
      <c r="M568" s="3177"/>
      <c r="N568" s="3177"/>
      <c r="O568" s="3177"/>
    </row>
    <row r="569" spans="1:15">
      <c r="A569" s="3157" t="s">
        <v>4193</v>
      </c>
      <c r="B569" s="3157">
        <v>217</v>
      </c>
      <c r="C569" s="3096" t="s">
        <v>3218</v>
      </c>
      <c r="D569" s="3097" t="s">
        <v>3219</v>
      </c>
      <c r="E569" s="3097" t="s">
        <v>4148</v>
      </c>
      <c r="F569" s="3097">
        <v>45.64</v>
      </c>
      <c r="G569" s="3097">
        <v>420000.27</v>
      </c>
      <c r="H569" s="3156">
        <v>9202</v>
      </c>
      <c r="I569" s="3155">
        <f t="shared" ca="1" si="242"/>
        <v>7223</v>
      </c>
      <c r="J569" s="3156">
        <f t="shared" ca="1" si="243"/>
        <v>33</v>
      </c>
      <c r="K569" s="3177"/>
      <c r="L569" s="3177"/>
      <c r="M569" s="3177"/>
      <c r="N569" s="3177"/>
      <c r="O569" s="3177"/>
    </row>
    <row r="570" spans="1:15">
      <c r="A570" s="3157" t="s">
        <v>4193</v>
      </c>
      <c r="B570" s="3157">
        <v>218</v>
      </c>
      <c r="C570" s="3096" t="s">
        <v>3218</v>
      </c>
      <c r="D570" s="3097" t="s">
        <v>3219</v>
      </c>
      <c r="E570" s="3097" t="s">
        <v>4150</v>
      </c>
      <c r="F570" s="3097">
        <v>45.64</v>
      </c>
      <c r="G570" s="3097">
        <v>420000.27</v>
      </c>
      <c r="H570" s="3156">
        <v>9202</v>
      </c>
      <c r="I570" s="3155">
        <f t="shared" ca="1" si="242"/>
        <v>7223</v>
      </c>
      <c r="J570" s="3156">
        <f t="shared" ca="1" si="243"/>
        <v>33</v>
      </c>
      <c r="K570" s="3177"/>
      <c r="L570" s="3177"/>
      <c r="M570" s="3177"/>
      <c r="N570" s="3177"/>
      <c r="O570" s="3177"/>
    </row>
    <row r="571" spans="1:15">
      <c r="A571" s="3157" t="s">
        <v>4193</v>
      </c>
      <c r="B571" s="3157">
        <v>219</v>
      </c>
      <c r="C571" s="3096" t="s">
        <v>3218</v>
      </c>
      <c r="D571" s="3097" t="s">
        <v>3219</v>
      </c>
      <c r="E571" s="3097" t="s">
        <v>4156</v>
      </c>
      <c r="F571" s="3097">
        <v>45.64</v>
      </c>
      <c r="G571" s="3097">
        <v>420000.27</v>
      </c>
      <c r="H571" s="3156">
        <v>9202</v>
      </c>
      <c r="I571" s="3155">
        <f t="shared" ca="1" si="242"/>
        <v>7223</v>
      </c>
      <c r="J571" s="3156">
        <f t="shared" ca="1" si="243"/>
        <v>33</v>
      </c>
      <c r="K571" s="3177"/>
      <c r="L571" s="3177"/>
      <c r="M571" s="3177"/>
      <c r="N571" s="3177"/>
      <c r="O571" s="3177"/>
    </row>
    <row r="572" spans="1:15">
      <c r="A572" s="3157" t="s">
        <v>4193</v>
      </c>
      <c r="B572" s="3157">
        <v>220</v>
      </c>
      <c r="C572" s="3096" t="s">
        <v>3218</v>
      </c>
      <c r="D572" s="3097" t="s">
        <v>3219</v>
      </c>
      <c r="E572" s="3097" t="s">
        <v>4158</v>
      </c>
      <c r="F572" s="3097">
        <v>45.64</v>
      </c>
      <c r="G572" s="3097">
        <v>420000.27</v>
      </c>
      <c r="H572" s="3156">
        <v>9202</v>
      </c>
      <c r="I572" s="3155">
        <f t="shared" ca="1" si="242"/>
        <v>7223</v>
      </c>
      <c r="J572" s="3156">
        <f t="shared" ca="1" si="243"/>
        <v>33</v>
      </c>
      <c r="K572" s="3177"/>
      <c r="L572" s="3177"/>
      <c r="M572" s="3177"/>
      <c r="N572" s="3177"/>
      <c r="O572" s="3177"/>
    </row>
    <row r="573" spans="1:15">
      <c r="A573" s="3157" t="s">
        <v>4193</v>
      </c>
      <c r="B573" s="3157">
        <v>221</v>
      </c>
      <c r="C573" s="3096" t="s">
        <v>3218</v>
      </c>
      <c r="D573" s="3097" t="s">
        <v>3219</v>
      </c>
      <c r="E573" s="3097" t="s">
        <v>4164</v>
      </c>
      <c r="F573" s="3097">
        <v>45.64</v>
      </c>
      <c r="G573" s="3097">
        <v>420000.27</v>
      </c>
      <c r="H573" s="3156">
        <v>9202</v>
      </c>
      <c r="I573" s="3155">
        <f t="shared" ca="1" si="242"/>
        <v>7223</v>
      </c>
      <c r="J573" s="3156">
        <f t="shared" ca="1" si="243"/>
        <v>33</v>
      </c>
      <c r="K573" s="3177"/>
      <c r="L573" s="3177"/>
      <c r="M573" s="3177"/>
      <c r="N573" s="3177"/>
      <c r="O573" s="3177"/>
    </row>
    <row r="574" spans="1:15">
      <c r="A574" s="3157" t="s">
        <v>4193</v>
      </c>
      <c r="B574" s="3157">
        <v>222</v>
      </c>
      <c r="C574" s="3096" t="s">
        <v>3218</v>
      </c>
      <c r="D574" s="3097" t="s">
        <v>3219</v>
      </c>
      <c r="E574" s="3097" t="s">
        <v>4166</v>
      </c>
      <c r="F574" s="3097">
        <v>45.64</v>
      </c>
      <c r="G574" s="3097">
        <v>420000.27</v>
      </c>
      <c r="H574" s="3156">
        <v>9202</v>
      </c>
      <c r="I574" s="3155">
        <f t="shared" ca="1" si="242"/>
        <v>7223</v>
      </c>
      <c r="J574" s="3156">
        <f t="shared" ca="1" si="243"/>
        <v>33</v>
      </c>
      <c r="K574" s="3177"/>
      <c r="L574" s="3177"/>
      <c r="M574" s="3177"/>
      <c r="N574" s="3177"/>
      <c r="O574" s="3177"/>
    </row>
    <row r="575" spans="1:15">
      <c r="A575" s="3157" t="s">
        <v>4193</v>
      </c>
      <c r="B575" s="3157">
        <v>223</v>
      </c>
      <c r="C575" s="3096" t="s">
        <v>3218</v>
      </c>
      <c r="D575" s="3097" t="s">
        <v>3219</v>
      </c>
      <c r="E575" s="3097" t="s">
        <v>4459</v>
      </c>
      <c r="F575" s="3097">
        <v>45.64</v>
      </c>
      <c r="G575" s="3097">
        <v>420000.27</v>
      </c>
      <c r="H575" s="3156">
        <v>9202</v>
      </c>
      <c r="I575" s="3155">
        <f t="shared" ca="1" si="242"/>
        <v>7223</v>
      </c>
      <c r="J575" s="3156">
        <f t="shared" ca="1" si="243"/>
        <v>33</v>
      </c>
      <c r="K575" s="3177"/>
      <c r="L575" s="3177"/>
      <c r="M575" s="3177"/>
      <c r="N575" s="3177"/>
      <c r="O575" s="3177"/>
    </row>
    <row r="576" spans="1:15">
      <c r="A576" s="3192" t="s">
        <v>4193</v>
      </c>
      <c r="B576" s="3192">
        <v>224</v>
      </c>
      <c r="C576" s="3096" t="s">
        <v>3218</v>
      </c>
      <c r="D576" s="3097" t="s">
        <v>3219</v>
      </c>
      <c r="E576" s="3097" t="s">
        <v>4173</v>
      </c>
      <c r="F576" s="3097">
        <v>45.64</v>
      </c>
      <c r="G576" s="3097">
        <v>420000.27</v>
      </c>
      <c r="H576" s="3156">
        <v>9202</v>
      </c>
      <c r="I576" s="3155">
        <f t="shared" ca="1" si="242"/>
        <v>7223</v>
      </c>
      <c r="J576" s="3156">
        <f t="shared" ca="1" si="243"/>
        <v>33</v>
      </c>
      <c r="K576" s="3177"/>
      <c r="L576" s="3177"/>
      <c r="M576" s="3177"/>
      <c r="N576" s="3177"/>
      <c r="O576" s="3177"/>
    </row>
    <row r="577" spans="1:15">
      <c r="A577" s="3192" t="s">
        <v>4520</v>
      </c>
      <c r="B577" s="3192">
        <v>225</v>
      </c>
      <c r="C577" s="3096" t="s">
        <v>3218</v>
      </c>
      <c r="D577" s="3097" t="s">
        <v>3219</v>
      </c>
      <c r="E577" s="3097" t="s">
        <v>4521</v>
      </c>
      <c r="F577" s="3097">
        <v>45.64</v>
      </c>
      <c r="G577" s="3097">
        <v>420000.27</v>
      </c>
      <c r="H577" s="3191">
        <v>9202</v>
      </c>
      <c r="I577" s="3190">
        <f t="shared" ca="1" si="242"/>
        <v>7223</v>
      </c>
      <c r="J577" s="3191">
        <f t="shared" ca="1" si="243"/>
        <v>33</v>
      </c>
      <c r="K577" s="3177"/>
      <c r="L577" s="3177"/>
      <c r="M577" s="3177"/>
      <c r="N577" s="3177"/>
      <c r="O577" s="3177"/>
    </row>
    <row r="578" spans="1:15">
      <c r="A578" s="3192" t="s">
        <v>4520</v>
      </c>
      <c r="B578" s="3192">
        <v>226</v>
      </c>
      <c r="C578" s="3096" t="s">
        <v>3218</v>
      </c>
      <c r="D578" s="3097" t="s">
        <v>3219</v>
      </c>
      <c r="E578" s="3097" t="s">
        <v>4522</v>
      </c>
      <c r="F578" s="3097">
        <v>45.64</v>
      </c>
      <c r="G578" s="3097">
        <v>420000.27</v>
      </c>
      <c r="H578" s="3191">
        <v>9202</v>
      </c>
      <c r="I578" s="3190">
        <f t="shared" ca="1" si="242"/>
        <v>7223</v>
      </c>
      <c r="J578" s="3191">
        <f t="shared" ca="1" si="243"/>
        <v>33</v>
      </c>
      <c r="K578" s="3177"/>
      <c r="L578" s="3177"/>
      <c r="M578" s="3177"/>
      <c r="N578" s="3177"/>
      <c r="O578" s="3177"/>
    </row>
    <row r="579" spans="1:15">
      <c r="A579" s="3192" t="s">
        <v>4514</v>
      </c>
      <c r="B579" s="3192">
        <v>227</v>
      </c>
      <c r="C579" s="3096" t="s">
        <v>3218</v>
      </c>
      <c r="D579" s="3097" t="s">
        <v>3219</v>
      </c>
      <c r="E579" s="3097" t="s">
        <v>4523</v>
      </c>
      <c r="F579" s="3097">
        <v>45.64</v>
      </c>
      <c r="G579" s="3097">
        <v>420000.27</v>
      </c>
      <c r="H579" s="3191">
        <v>9202</v>
      </c>
      <c r="I579" s="3190">
        <f t="shared" ca="1" si="242"/>
        <v>7223</v>
      </c>
      <c r="J579" s="3191">
        <f t="shared" ca="1" si="243"/>
        <v>33</v>
      </c>
      <c r="K579" s="3177"/>
      <c r="L579" s="3177"/>
      <c r="M579" s="3177"/>
      <c r="N579" s="3177"/>
      <c r="O579" s="3177"/>
    </row>
    <row r="580" spans="1:15">
      <c r="A580" s="3192" t="s">
        <v>4514</v>
      </c>
      <c r="B580" s="3192">
        <v>228</v>
      </c>
      <c r="C580" s="3096" t="s">
        <v>3218</v>
      </c>
      <c r="D580" s="3097" t="s">
        <v>3219</v>
      </c>
      <c r="E580" s="3097" t="s">
        <v>4524</v>
      </c>
      <c r="F580" s="3097">
        <v>45.64</v>
      </c>
      <c r="G580" s="3097">
        <v>420000.27</v>
      </c>
      <c r="H580" s="3191">
        <v>9202</v>
      </c>
      <c r="I580" s="3190">
        <f t="shared" ca="1" si="242"/>
        <v>7223</v>
      </c>
      <c r="J580" s="3191">
        <f t="shared" ca="1" si="243"/>
        <v>33</v>
      </c>
      <c r="K580" s="3177"/>
      <c r="L580" s="3177"/>
      <c r="M580" s="3177"/>
      <c r="N580" s="3177"/>
      <c r="O580" s="3177"/>
    </row>
    <row r="581" spans="1:15">
      <c r="A581" s="3192" t="s">
        <v>4520</v>
      </c>
      <c r="B581" s="3192">
        <v>229</v>
      </c>
      <c r="C581" s="3096" t="s">
        <v>3218</v>
      </c>
      <c r="D581" s="3097" t="s">
        <v>3219</v>
      </c>
      <c r="E581" s="3097" t="s">
        <v>4525</v>
      </c>
      <c r="F581" s="3097">
        <v>45.64</v>
      </c>
      <c r="G581" s="3097">
        <v>420000.27</v>
      </c>
      <c r="H581" s="3191">
        <v>9202</v>
      </c>
      <c r="I581" s="3190">
        <f t="shared" ca="1" si="242"/>
        <v>7223</v>
      </c>
      <c r="J581" s="3191">
        <f t="shared" ca="1" si="243"/>
        <v>33</v>
      </c>
      <c r="K581" s="3177"/>
      <c r="L581" s="3177"/>
      <c r="M581" s="3177"/>
      <c r="N581" s="3177"/>
      <c r="O581" s="3177"/>
    </row>
    <row r="582" spans="1:15">
      <c r="A582" s="3192" t="s">
        <v>4520</v>
      </c>
      <c r="B582" s="3192">
        <v>230</v>
      </c>
      <c r="C582" s="3096" t="s">
        <v>3218</v>
      </c>
      <c r="D582" s="3097" t="s">
        <v>3219</v>
      </c>
      <c r="E582" s="3097" t="s">
        <v>4526</v>
      </c>
      <c r="F582" s="3097">
        <v>45.64</v>
      </c>
      <c r="G582" s="3097">
        <v>420000.27</v>
      </c>
      <c r="H582" s="3191">
        <v>9202</v>
      </c>
      <c r="I582" s="3190">
        <f t="shared" ca="1" si="242"/>
        <v>7223</v>
      </c>
      <c r="J582" s="3191">
        <f t="shared" ca="1" si="243"/>
        <v>33</v>
      </c>
      <c r="K582" s="3177"/>
      <c r="L582" s="3177"/>
      <c r="M582" s="3177"/>
      <c r="N582" s="3177"/>
      <c r="O582" s="3177"/>
    </row>
    <row r="583" spans="1:15">
      <c r="A583" s="3192" t="s">
        <v>4514</v>
      </c>
      <c r="B583" s="3192">
        <v>231</v>
      </c>
      <c r="C583" s="3096" t="s">
        <v>3218</v>
      </c>
      <c r="D583" s="3097" t="s">
        <v>3219</v>
      </c>
      <c r="E583" s="3097" t="s">
        <v>4527</v>
      </c>
      <c r="F583" s="3097">
        <v>45.64</v>
      </c>
      <c r="G583" s="3097">
        <v>420000.27</v>
      </c>
      <c r="H583" s="3191">
        <v>9202</v>
      </c>
      <c r="I583" s="3190">
        <f t="shared" ca="1" si="242"/>
        <v>7223</v>
      </c>
      <c r="J583" s="3191">
        <f t="shared" ca="1" si="243"/>
        <v>33</v>
      </c>
      <c r="K583" s="3177"/>
      <c r="L583" s="3177"/>
      <c r="M583" s="3177"/>
      <c r="N583" s="3177"/>
      <c r="O583" s="3177"/>
    </row>
    <row r="584" spans="1:15">
      <c r="A584" s="3192" t="s">
        <v>4514</v>
      </c>
      <c r="B584" s="3192">
        <v>232</v>
      </c>
      <c r="C584" s="3096" t="s">
        <v>3218</v>
      </c>
      <c r="D584" s="3097" t="s">
        <v>3219</v>
      </c>
      <c r="E584" s="3097" t="s">
        <v>4528</v>
      </c>
      <c r="F584" s="3097">
        <v>45.64</v>
      </c>
      <c r="G584" s="3097">
        <v>420000.27</v>
      </c>
      <c r="H584" s="3191">
        <v>9202</v>
      </c>
      <c r="I584" s="3190">
        <f t="shared" ca="1" si="242"/>
        <v>7223</v>
      </c>
      <c r="J584" s="3191">
        <f t="shared" ca="1" si="243"/>
        <v>33</v>
      </c>
      <c r="K584" s="3177"/>
      <c r="L584" s="3177"/>
      <c r="M584" s="3177"/>
      <c r="N584" s="3177"/>
      <c r="O584" s="3177"/>
    </row>
    <row r="585" spans="1:15">
      <c r="A585" s="3192" t="s">
        <v>4514</v>
      </c>
      <c r="B585" s="3192">
        <v>233</v>
      </c>
      <c r="C585" s="3096" t="s">
        <v>3218</v>
      </c>
      <c r="D585" s="3097" t="s">
        <v>3219</v>
      </c>
      <c r="E585" s="3097" t="s">
        <v>4529</v>
      </c>
      <c r="F585" s="3097">
        <v>45.64</v>
      </c>
      <c r="G585" s="3097">
        <v>420000.27</v>
      </c>
      <c r="H585" s="3191">
        <v>9202</v>
      </c>
      <c r="I585" s="3190">
        <f t="shared" ca="1" si="242"/>
        <v>7223</v>
      </c>
      <c r="J585" s="3191">
        <f t="shared" ca="1" si="243"/>
        <v>33</v>
      </c>
      <c r="K585" s="3177"/>
      <c r="L585" s="3177"/>
      <c r="M585" s="3177"/>
      <c r="N585" s="3177"/>
      <c r="O585" s="3177"/>
    </row>
    <row r="586" spans="1:15">
      <c r="A586" s="3192" t="s">
        <v>4514</v>
      </c>
      <c r="B586" s="3192">
        <v>234</v>
      </c>
      <c r="C586" s="3096" t="s">
        <v>3218</v>
      </c>
      <c r="D586" s="3097" t="s">
        <v>3219</v>
      </c>
      <c r="E586" s="3097" t="s">
        <v>4530</v>
      </c>
      <c r="F586" s="3097">
        <v>45.64</v>
      </c>
      <c r="G586" s="3097">
        <v>420000.27</v>
      </c>
      <c r="H586" s="3191">
        <v>9202</v>
      </c>
      <c r="I586" s="3190">
        <f t="shared" ca="1" si="242"/>
        <v>7223</v>
      </c>
      <c r="J586" s="3191">
        <f t="shared" ca="1" si="243"/>
        <v>33</v>
      </c>
      <c r="K586" s="3177"/>
      <c r="L586" s="3177"/>
      <c r="M586" s="3177"/>
      <c r="N586" s="3177"/>
      <c r="O586" s="3177"/>
    </row>
    <row r="587" spans="1:15">
      <c r="A587" s="3192" t="s">
        <v>4514</v>
      </c>
      <c r="B587" s="3192">
        <v>235</v>
      </c>
      <c r="C587" s="3096" t="s">
        <v>3218</v>
      </c>
      <c r="D587" s="3097" t="s">
        <v>3219</v>
      </c>
      <c r="E587" s="3097" t="s">
        <v>4531</v>
      </c>
      <c r="F587" s="3097">
        <v>45.64</v>
      </c>
      <c r="G587" s="3097">
        <v>420000.27</v>
      </c>
      <c r="H587" s="3191">
        <v>9202</v>
      </c>
      <c r="I587" s="3190">
        <f t="shared" ca="1" si="242"/>
        <v>7223</v>
      </c>
      <c r="J587" s="3191">
        <f t="shared" ca="1" si="243"/>
        <v>33</v>
      </c>
      <c r="K587" s="3177"/>
      <c r="L587" s="3177"/>
      <c r="M587" s="3177"/>
      <c r="N587" s="3177"/>
      <c r="O587" s="3177"/>
    </row>
    <row r="588" spans="1:15">
      <c r="A588" s="3192" t="s">
        <v>4514</v>
      </c>
      <c r="B588" s="3192">
        <v>236</v>
      </c>
      <c r="C588" s="3096" t="s">
        <v>3218</v>
      </c>
      <c r="D588" s="3097" t="s">
        <v>3219</v>
      </c>
      <c r="E588" s="3097" t="s">
        <v>4532</v>
      </c>
      <c r="F588" s="3097">
        <v>45.64</v>
      </c>
      <c r="G588" s="3097">
        <v>420000.27</v>
      </c>
      <c r="H588" s="3191">
        <v>9202</v>
      </c>
      <c r="I588" s="3190">
        <f t="shared" ca="1" si="242"/>
        <v>7223</v>
      </c>
      <c r="J588" s="3191">
        <f t="shared" ca="1" si="243"/>
        <v>33</v>
      </c>
      <c r="K588" s="3177"/>
      <c r="L588" s="3177"/>
      <c r="M588" s="3177"/>
      <c r="N588" s="3177"/>
      <c r="O588" s="3177"/>
    </row>
    <row r="589" spans="1:15">
      <c r="A589" s="3327" t="s">
        <v>4460</v>
      </c>
      <c r="B589" s="3327"/>
      <c r="C589" s="3328"/>
      <c r="D589" s="3328"/>
      <c r="E589" s="3328"/>
      <c r="F589" s="3156">
        <f>SUM(F353:F588)</f>
        <v>10771.039999999994</v>
      </c>
      <c r="G589" s="3156"/>
      <c r="H589" s="3156"/>
      <c r="I589" s="3156"/>
      <c r="J589" s="3156">
        <f ca="1">SUM(J353:J588)</f>
        <v>7788</v>
      </c>
      <c r="K589" s="3177"/>
      <c r="L589" s="3177"/>
      <c r="M589" s="3177"/>
      <c r="N589" s="3177"/>
      <c r="O589" s="3177"/>
    </row>
    <row r="590" spans="1:15">
      <c r="A590" s="3327" t="s">
        <v>4461</v>
      </c>
      <c r="B590" s="3327"/>
      <c r="C590" s="3328"/>
      <c r="D590" s="3328"/>
      <c r="E590" s="3328"/>
      <c r="F590" s="3156">
        <f>F589+F352+F294+F163+F69</f>
        <v>46306.38</v>
      </c>
      <c r="G590" s="3156"/>
      <c r="H590" s="3156"/>
      <c r="I590" s="3156"/>
      <c r="J590" s="3156">
        <f ca="1">J589+J352+J294+J163+J69</f>
        <v>126130</v>
      </c>
      <c r="K590" s="3177"/>
      <c r="L590" s="3177"/>
      <c r="M590" s="3177"/>
      <c r="N590" s="3177"/>
      <c r="O590" s="3177"/>
    </row>
  </sheetData>
  <autoFilter ref="A1:AA590" xr:uid="{00000000-0009-0000-0000-000010000000}"/>
  <mergeCells count="154">
    <mergeCell ref="AE18:AG18"/>
    <mergeCell ref="AE19:AG19"/>
    <mergeCell ref="AE5:AE6"/>
    <mergeCell ref="AF5:AF6"/>
    <mergeCell ref="AG5:AG6"/>
    <mergeCell ref="AH5:AJ5"/>
    <mergeCell ref="AE7:AE9"/>
    <mergeCell ref="AF7:AF9"/>
    <mergeCell ref="AE10:AG10"/>
    <mergeCell ref="AE11:AE17"/>
    <mergeCell ref="AF11:AF17"/>
    <mergeCell ref="T35:U35"/>
    <mergeCell ref="V16:X16"/>
    <mergeCell ref="N15:O15"/>
    <mergeCell ref="P15:Q15"/>
    <mergeCell ref="R15:S15"/>
    <mergeCell ref="V11:V15"/>
    <mergeCell ref="W7:W9"/>
    <mergeCell ref="W5:W6"/>
    <mergeCell ref="X5:X6"/>
    <mergeCell ref="W11:W15"/>
    <mergeCell ref="N11:S11"/>
    <mergeCell ref="N16:O16"/>
    <mergeCell ref="P16:Q16"/>
    <mergeCell ref="R16:S16"/>
    <mergeCell ref="V5:V9"/>
    <mergeCell ref="V10:X10"/>
    <mergeCell ref="W17:W20"/>
    <mergeCell ref="W21:X21"/>
    <mergeCell ref="W23:X23"/>
    <mergeCell ref="V24:X24"/>
    <mergeCell ref="V17:V23"/>
    <mergeCell ref="V25:X25"/>
    <mergeCell ref="B20:B22"/>
    <mergeCell ref="B23:B25"/>
    <mergeCell ref="B26:B28"/>
    <mergeCell ref="B29:B31"/>
    <mergeCell ref="B32:B34"/>
    <mergeCell ref="B35:B37"/>
    <mergeCell ref="B2:B4"/>
    <mergeCell ref="B5:B7"/>
    <mergeCell ref="B8:B10"/>
    <mergeCell ref="B11:B13"/>
    <mergeCell ref="B14:B16"/>
    <mergeCell ref="B17:B19"/>
    <mergeCell ref="B56:B58"/>
    <mergeCell ref="A69:E69"/>
    <mergeCell ref="B70:B72"/>
    <mergeCell ref="B73:B75"/>
    <mergeCell ref="B76:B78"/>
    <mergeCell ref="B79:B81"/>
    <mergeCell ref="B38:B40"/>
    <mergeCell ref="B41:B43"/>
    <mergeCell ref="B44:B46"/>
    <mergeCell ref="B47:B49"/>
    <mergeCell ref="B50:B52"/>
    <mergeCell ref="B53:B55"/>
    <mergeCell ref="B59:B61"/>
    <mergeCell ref="B62:B64"/>
    <mergeCell ref="B65:B67"/>
    <mergeCell ref="B100:B102"/>
    <mergeCell ref="B103:B105"/>
    <mergeCell ref="B106:B108"/>
    <mergeCell ref="B109:B111"/>
    <mergeCell ref="B112:B114"/>
    <mergeCell ref="B115:B117"/>
    <mergeCell ref="B82:B84"/>
    <mergeCell ref="B85:B87"/>
    <mergeCell ref="B88:B90"/>
    <mergeCell ref="B91:B93"/>
    <mergeCell ref="B94:B96"/>
    <mergeCell ref="B97:B99"/>
    <mergeCell ref="B136:B138"/>
    <mergeCell ref="B139:B141"/>
    <mergeCell ref="B142:B144"/>
    <mergeCell ref="B145:B147"/>
    <mergeCell ref="B148:B150"/>
    <mergeCell ref="B151:B153"/>
    <mergeCell ref="B118:B120"/>
    <mergeCell ref="B121:B123"/>
    <mergeCell ref="B124:B126"/>
    <mergeCell ref="B127:B129"/>
    <mergeCell ref="B130:B132"/>
    <mergeCell ref="B133:B135"/>
    <mergeCell ref="B170:B172"/>
    <mergeCell ref="B173:B175"/>
    <mergeCell ref="B176:B178"/>
    <mergeCell ref="B179:B181"/>
    <mergeCell ref="B182:B184"/>
    <mergeCell ref="B185:B187"/>
    <mergeCell ref="B154:B156"/>
    <mergeCell ref="B157:B159"/>
    <mergeCell ref="B160:B162"/>
    <mergeCell ref="A163:E163"/>
    <mergeCell ref="B164:B166"/>
    <mergeCell ref="B167:B169"/>
    <mergeCell ref="B206:B208"/>
    <mergeCell ref="B209:B211"/>
    <mergeCell ref="B212:B214"/>
    <mergeCell ref="B215:B217"/>
    <mergeCell ref="B218:B220"/>
    <mergeCell ref="B221:B223"/>
    <mergeCell ref="B188:B190"/>
    <mergeCell ref="B191:B193"/>
    <mergeCell ref="B194:B196"/>
    <mergeCell ref="B197:B199"/>
    <mergeCell ref="B200:B202"/>
    <mergeCell ref="B203:B205"/>
    <mergeCell ref="B242:B244"/>
    <mergeCell ref="B245:B247"/>
    <mergeCell ref="B248:B250"/>
    <mergeCell ref="B251:B253"/>
    <mergeCell ref="B254:B256"/>
    <mergeCell ref="B257:B259"/>
    <mergeCell ref="B224:B226"/>
    <mergeCell ref="B227:B229"/>
    <mergeCell ref="B230:B232"/>
    <mergeCell ref="B233:B235"/>
    <mergeCell ref="B236:B238"/>
    <mergeCell ref="B239:B241"/>
    <mergeCell ref="B287:B289"/>
    <mergeCell ref="B290:B292"/>
    <mergeCell ref="A294:E294"/>
    <mergeCell ref="B260:B262"/>
    <mergeCell ref="B263:B265"/>
    <mergeCell ref="B266:B268"/>
    <mergeCell ref="B269:B271"/>
    <mergeCell ref="B272:B274"/>
    <mergeCell ref="B275:B277"/>
    <mergeCell ref="B278:B280"/>
    <mergeCell ref="B281:B283"/>
    <mergeCell ref="B284:B286"/>
    <mergeCell ref="A352:E352"/>
    <mergeCell ref="A589:E589"/>
    <mergeCell ref="A590:E590"/>
    <mergeCell ref="B331:B333"/>
    <mergeCell ref="B334:B336"/>
    <mergeCell ref="B337:B339"/>
    <mergeCell ref="B340:B342"/>
    <mergeCell ref="B343:B345"/>
    <mergeCell ref="B346:B348"/>
    <mergeCell ref="B349:B351"/>
    <mergeCell ref="B313:B315"/>
    <mergeCell ref="B316:B318"/>
    <mergeCell ref="B319:B321"/>
    <mergeCell ref="B322:B324"/>
    <mergeCell ref="B325:B327"/>
    <mergeCell ref="B328:B330"/>
    <mergeCell ref="B295:B297"/>
    <mergeCell ref="B298:B300"/>
    <mergeCell ref="B301:B303"/>
    <mergeCell ref="B304:B306"/>
    <mergeCell ref="B307:B309"/>
    <mergeCell ref="B310:B312"/>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8" sqref="I18"/>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3"/>
      <c r="AO1" s="2893"/>
      <c r="AP1" s="2893"/>
      <c r="AQ1" s="2893"/>
      <c r="AR1" s="2893"/>
    </row>
    <row r="2" spans="1:67" s="1742" customFormat="1" ht="15.75" thickBot="1">
      <c r="A2" s="1866" t="s">
        <v>1846</v>
      </c>
      <c r="B2" s="1175">
        <f>项目基本情况!D3</f>
        <v>44495</v>
      </c>
      <c r="C2" s="1867"/>
      <c r="D2" s="1868"/>
      <c r="E2" s="1867"/>
      <c r="F2" s="1867"/>
      <c r="G2" s="1867"/>
      <c r="H2" s="1867"/>
      <c r="I2" s="1867"/>
      <c r="J2" s="1867"/>
      <c r="K2" s="1329"/>
      <c r="L2" s="1329"/>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5"/>
      <c r="AO2" s="2895"/>
      <c r="AP2" s="2895"/>
      <c r="AQ2" s="2895"/>
      <c r="AR2" s="2895"/>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9"/>
      <c r="L3" s="1329"/>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5"/>
      <c r="AO3" s="2895"/>
      <c r="AP3" s="2895"/>
      <c r="AQ3" s="2895"/>
      <c r="AR3" s="2895"/>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3" t="s">
        <v>1847</v>
      </c>
      <c r="B4" s="1871"/>
      <c r="C4" s="1872"/>
      <c r="D4" s="1873"/>
      <c r="E4" s="1872" t="s">
        <v>1848</v>
      </c>
      <c r="F4" s="1872"/>
      <c r="G4" s="1872"/>
      <c r="H4" s="1872"/>
      <c r="I4" s="1872"/>
      <c r="J4" s="1874"/>
      <c r="K4" s="1875"/>
      <c r="L4" s="1876"/>
      <c r="M4" s="1872"/>
      <c r="N4" s="1872" t="s">
        <v>1849</v>
      </c>
      <c r="O4" s="1872"/>
      <c r="P4" s="1872"/>
      <c r="Q4" s="1872"/>
      <c r="R4" s="1872"/>
      <c r="S4" s="1874"/>
      <c r="T4" s="2879"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5"/>
      <c r="AO4" s="2895"/>
      <c r="AP4" s="2895"/>
      <c r="AQ4" s="2895"/>
      <c r="AR4" s="2895"/>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1853</v>
      </c>
      <c r="B5" s="1879" t="s">
        <v>1854</v>
      </c>
      <c r="C5" s="1880" t="s">
        <v>1855</v>
      </c>
      <c r="D5" s="1881" t="s">
        <v>1856</v>
      </c>
      <c r="E5" s="1177" t="s">
        <v>1857</v>
      </c>
      <c r="F5" s="1882" t="s">
        <v>1858</v>
      </c>
      <c r="G5" s="1177" t="s">
        <v>1859</v>
      </c>
      <c r="H5" s="1177" t="s">
        <v>1860</v>
      </c>
      <c r="I5" s="1177" t="s">
        <v>1861</v>
      </c>
      <c r="J5" s="1883" t="s">
        <v>1862</v>
      </c>
      <c r="K5" s="1884" t="s">
        <v>1863</v>
      </c>
      <c r="L5" s="1885" t="s">
        <v>1864</v>
      </c>
      <c r="M5" s="1886" t="s">
        <v>1865</v>
      </c>
      <c r="N5" s="1887" t="s">
        <v>4196</v>
      </c>
      <c r="O5" s="1885" t="s">
        <v>1866</v>
      </c>
      <c r="P5" s="1888" t="s">
        <v>1867</v>
      </c>
      <c r="Q5" s="64" t="s">
        <v>1868</v>
      </c>
      <c r="R5" s="1889" t="s">
        <v>1869</v>
      </c>
      <c r="S5" s="1890" t="s">
        <v>1870</v>
      </c>
      <c r="T5" s="1891" t="s">
        <v>1871</v>
      </c>
      <c r="U5" s="1176" t="s">
        <v>1872</v>
      </c>
      <c r="V5" s="1177" t="s">
        <v>1873</v>
      </c>
      <c r="W5" s="1177" t="s">
        <v>1874</v>
      </c>
      <c r="X5" s="66"/>
      <c r="Y5" s="65" t="s">
        <v>1875</v>
      </c>
      <c r="Z5" s="1892" t="s">
        <v>1872</v>
      </c>
      <c r="AA5" s="1177" t="s">
        <v>1873</v>
      </c>
      <c r="AB5" s="1177" t="s">
        <v>1874</v>
      </c>
      <c r="AC5" s="66"/>
      <c r="AD5" s="66" t="s">
        <v>1875</v>
      </c>
      <c r="AE5" s="1176" t="s">
        <v>1876</v>
      </c>
      <c r="AF5" s="1177" t="s">
        <v>1877</v>
      </c>
      <c r="AG5" s="65" t="s">
        <v>1878</v>
      </c>
      <c r="AH5" s="1176" t="s">
        <v>1879</v>
      </c>
      <c r="AI5" s="1892" t="s">
        <v>1880</v>
      </c>
      <c r="AJ5" s="1892" t="s">
        <v>1881</v>
      </c>
      <c r="AK5" s="1177" t="s">
        <v>1882</v>
      </c>
      <c r="AL5" s="1177" t="s">
        <v>1883</v>
      </c>
      <c r="AM5" s="65" t="s">
        <v>1884</v>
      </c>
      <c r="AN5" s="1893" t="s">
        <v>1885</v>
      </c>
      <c r="AO5" s="1745" t="s">
        <v>1886</v>
      </c>
      <c r="AP5" s="1158" t="s">
        <v>1887</v>
      </c>
      <c r="AQ5" s="1894" t="s">
        <v>1888</v>
      </c>
      <c r="AR5" s="1894" t="s">
        <v>1889</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合院住宅</v>
      </c>
      <c r="B6" s="1896" t="str">
        <f>IF(A6=0,"","经营性")</f>
        <v>经营性</v>
      </c>
      <c r="C6" s="1897" t="s">
        <v>3061</v>
      </c>
      <c r="D6" s="966">
        <f>SUMIF(项目基本情况!D$12:I$12,C6,项目基本情况!D$14:I$14)</f>
        <v>70</v>
      </c>
      <c r="E6" s="965">
        <f>IF(B6="","",SUMIF(项目基本情况!D$12:I$12,C6,项目基本情况!D$13:I$13))</f>
        <v>68510</v>
      </c>
      <c r="F6" s="67">
        <f>SUMIF(项目基本情况!D$12:I$12,C6,项目基本情况!D$15:I$15)</f>
        <v>65.790000000000006</v>
      </c>
      <c r="G6" s="68">
        <f>IF(ISERROR(ROUND(POWER(1+H6,D6-F6)*(POWER(1+H6,F6)-1)/(POWER(1+H6,D6)-1),3)),0,ROUND(POWER(1+H6,D6-F6)*(POWER(1+H6,F6)-1)/(POWER(1+H6,D6)-1),3))</f>
        <v>0.98799999999999999</v>
      </c>
      <c r="H6" s="740">
        <v>0.04</v>
      </c>
      <c r="I6" s="740">
        <v>5.5E-2</v>
      </c>
      <c r="J6" s="69">
        <v>8.5000000000000006E-2</v>
      </c>
      <c r="K6" s="1160">
        <f>SUMIF('数据-汇总表'!C$19:C$33,A6,'数据-汇总表'!E$19:E$33)</f>
        <v>15708.62</v>
      </c>
      <c r="L6" s="741">
        <v>3000</v>
      </c>
      <c r="M6" s="70">
        <f t="shared" ref="M6:M14" si="0">ROUND(K6*L6/10000,0)</f>
        <v>4713</v>
      </c>
      <c r="N6" s="739">
        <v>1</v>
      </c>
      <c r="O6" s="70" t="str">
        <f>IF($N$5="成新度","——",ROUND(M6*N6,0))</f>
        <v>——</v>
      </c>
      <c r="P6" s="71" t="str">
        <f>IF($N$5="成新度","——",M6-O6)</f>
        <v>——</v>
      </c>
      <c r="Q6" s="742">
        <v>0.1</v>
      </c>
      <c r="R6" s="72">
        <f ca="1">SUMIF('数据-汇总表'!C$19:C$33,A6,'数据-汇总表'!R$19:R$27)</f>
        <v>7866.14</v>
      </c>
      <c r="S6" s="53">
        <f>IF('数据-汇总表'!$I$17="按面积比例",SUMIF('数据-汇总表'!C$19:C$33,A6,'数据-汇总表'!K$19:K$33),SUMIF('数据-汇总表'!C$19:C$33,A6,'数据-汇总表'!N$19:N$33))</f>
        <v>0</v>
      </c>
      <c r="T6" s="1333">
        <f>ROUND($L$14*S6/10000,0)</f>
        <v>0</v>
      </c>
      <c r="U6" s="73"/>
      <c r="V6" s="74"/>
      <c r="W6" s="74"/>
      <c r="X6" s="1170"/>
      <c r="Y6" s="75"/>
      <c r="Z6" s="76"/>
      <c r="AA6" s="69"/>
      <c r="AB6" s="69"/>
      <c r="AC6" s="1170"/>
      <c r="AD6" s="77"/>
      <c r="AE6" s="1171">
        <f ca="1">IF(AN6="",0,SUMIF(INDIRECT("'"&amp;AN6&amp;"'"&amp;"!E:E"),$AE$5,INDIRECT("'"&amp;AN6&amp;"'"&amp;"!F:F")))</f>
        <v>0</v>
      </c>
      <c r="AF6" s="1530"/>
      <c r="AG6" s="142">
        <f>IF(AF6="",0,AE6-AF6)</f>
        <v>0</v>
      </c>
      <c r="AH6" s="78"/>
      <c r="AI6" s="80"/>
      <c r="AJ6" s="81"/>
      <c r="AK6" s="82"/>
      <c r="AL6" s="83"/>
      <c r="AM6" s="84"/>
      <c r="AN6" s="1898"/>
      <c r="AO6" s="54" t="e">
        <f ca="1">SUMIF(INDIRECT("'"&amp;AN6&amp;"'"&amp;"!A:A"),"总价",INDIRECT("'"&amp;AN6&amp;"'"&amp;"!B:B"))</f>
        <v>#REF!</v>
      </c>
      <c r="AP6" s="1899">
        <f>IF(C6="住宅",K6*L6,0)</f>
        <v>47125860</v>
      </c>
      <c r="AQ6" s="54">
        <f>ROUND($L$14*$N$14*S6/10000,0)</f>
        <v>0</v>
      </c>
      <c r="AR6" s="54">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t="str">
        <f>'数据-汇总表'!C20</f>
        <v>地下仓储（配套）</v>
      </c>
      <c r="B7" s="1896" t="str">
        <f t="shared" ref="B7:B13" si="1">IF(A7=0,"","经营性")</f>
        <v>经营性</v>
      </c>
      <c r="C7" s="1897" t="s">
        <v>4180</v>
      </c>
      <c r="D7" s="966">
        <f>SUMIF(项目基本情况!D$12:I$12,C7,项目基本情况!D$14:I$14)</f>
        <v>50</v>
      </c>
      <c r="E7" s="965">
        <f>IF(B7="","",SUMIF(项目基本情况!D$12:I$12,C7,项目基本情况!D$13:I$13))</f>
        <v>61205</v>
      </c>
      <c r="F7" s="67">
        <f>SUMIF(项目基本情况!D$12:I$12,C7,项目基本情况!D$15:I$15)</f>
        <v>45.78</v>
      </c>
      <c r="G7" s="68">
        <f t="shared" ref="G7:G11" si="2">IF(ISERROR(ROUND(POWER(1+H7,D7-F7)*(POWER(1+H7,F7)-1)/(POWER(1+H7,D7)-1),3)),0,ROUND(POWER(1+H7,D7-F7)*(POWER(1+H7,F7)-1)/(POWER(1+H7,D7)-1),3))</f>
        <v>0.97099999999999997</v>
      </c>
      <c r="H7" s="740">
        <v>0.04</v>
      </c>
      <c r="I7" s="740">
        <v>5.5E-2</v>
      </c>
      <c r="J7" s="69">
        <v>8.5000000000000006E-2</v>
      </c>
      <c r="K7" s="1160">
        <f>SUMIF('数据-汇总表'!C$19:C$33,A7,'数据-汇总表'!E$19:E$33)</f>
        <v>19826.719999999998</v>
      </c>
      <c r="L7" s="741">
        <v>3000</v>
      </c>
      <c r="M7" s="70">
        <f t="shared" si="0"/>
        <v>5948</v>
      </c>
      <c r="N7" s="739">
        <v>1</v>
      </c>
      <c r="O7" s="70" t="str">
        <f t="shared" ref="O7:O14" si="3">IF($N$5="成新度","——",ROUND(M7*N7,0))</f>
        <v>——</v>
      </c>
      <c r="P7" s="71" t="str">
        <f t="shared" ref="P7:P14" si="4">IF($N$5="成新度","——",M7-O7)</f>
        <v>——</v>
      </c>
      <c r="Q7" s="742">
        <v>0.1</v>
      </c>
      <c r="R7" s="72">
        <f ca="1">SUMIF('数据-汇总表'!C$19:C$33,A7,'数据-汇总表'!R$19:R$27)</f>
        <v>9928.2900000000009</v>
      </c>
      <c r="S7" s="53">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8"/>
      <c r="AO7" s="54" t="e">
        <f t="shared" ref="AO7:AO13" ca="1" si="8">SUMIF(INDIRECT("'"&amp;AN7&amp;"'"&amp;"!A:A"),"总价",INDIRECT("'"&amp;AN7&amp;"'"&amp;"!B:B"))</f>
        <v>#REF!</v>
      </c>
      <c r="AP7" s="1899">
        <f t="shared" ref="AP7:AP13" si="9">IF(C7="住宅",K7*L7,0)</f>
        <v>0</v>
      </c>
      <c r="AQ7" s="54">
        <f t="shared" ref="AQ7:AQ13" si="10">ROUND($L$14*$N$14*S7/10000,0)</f>
        <v>0</v>
      </c>
      <c r="AR7" s="54">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t="str">
        <f>'数据-汇总表'!C21</f>
        <v>地下车库</v>
      </c>
      <c r="B8" s="1896" t="str">
        <f t="shared" si="1"/>
        <v>经营性</v>
      </c>
      <c r="C8" s="1897" t="s">
        <v>3186</v>
      </c>
      <c r="D8" s="966">
        <f>SUMIF(项目基本情况!D$12:I$12,C8,项目基本情况!D$14:I$14)</f>
        <v>50</v>
      </c>
      <c r="E8" s="965">
        <f>IF(B8="","",SUMIF(项目基本情况!D$12:I$12,C8,项目基本情况!D$13:I$13))</f>
        <v>61205</v>
      </c>
      <c r="F8" s="67">
        <f>SUMIF(项目基本情况!D$12:I$12,C8,项目基本情况!D$15:I$15)</f>
        <v>45.78</v>
      </c>
      <c r="G8" s="68">
        <f t="shared" si="2"/>
        <v>0.97099999999999997</v>
      </c>
      <c r="H8" s="740">
        <v>0.04</v>
      </c>
      <c r="I8" s="740">
        <v>5.5E-2</v>
      </c>
      <c r="J8" s="69">
        <v>8.5000000000000006E-2</v>
      </c>
      <c r="K8" s="1160">
        <f>SUMIF('数据-汇总表'!C$19:C$33,A8,'数据-汇总表'!E$19:E$33)</f>
        <v>10771.04</v>
      </c>
      <c r="L8" s="741">
        <v>3000</v>
      </c>
      <c r="M8" s="70">
        <f>ROUND(K8*L8/10000,0)</f>
        <v>3231</v>
      </c>
      <c r="N8" s="739">
        <v>1</v>
      </c>
      <c r="O8" s="70" t="str">
        <f t="shared" si="3"/>
        <v>——</v>
      </c>
      <c r="P8" s="71" t="str">
        <f t="shared" si="4"/>
        <v>——</v>
      </c>
      <c r="Q8" s="742">
        <v>0.05</v>
      </c>
      <c r="R8" s="72">
        <f ca="1">SUMIF('数据-汇总表'!C$19:C$33,A8,'数据-汇总表'!R$19:R$27)</f>
        <v>5393.63</v>
      </c>
      <c r="S8" s="53">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0"/>
      <c r="AG8" s="142">
        <f t="shared" si="7"/>
        <v>0</v>
      </c>
      <c r="AH8" s="746">
        <v>236</v>
      </c>
      <c r="AI8" s="80"/>
      <c r="AJ8" s="81"/>
      <c r="AK8" s="747"/>
      <c r="AL8" s="748"/>
      <c r="AM8" s="749"/>
      <c r="AN8" s="1898"/>
      <c r="AO8" s="54" t="e">
        <f t="shared" ca="1" si="8"/>
        <v>#REF!</v>
      </c>
      <c r="AP8" s="1899">
        <f t="shared" si="9"/>
        <v>0</v>
      </c>
      <c r="AQ8" s="54">
        <f t="shared" si="10"/>
        <v>0</v>
      </c>
      <c r="AR8" s="54">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8"/>
      <c r="AO9" s="54" t="e">
        <f t="shared" ca="1" si="8"/>
        <v>#REF!</v>
      </c>
      <c r="AP9" s="1899">
        <f t="shared" si="9"/>
        <v>0</v>
      </c>
      <c r="AQ9" s="54">
        <f t="shared" si="10"/>
        <v>0</v>
      </c>
      <c r="AR9" s="54">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3">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8"/>
      <c r="AO10" s="54" t="e">
        <f t="shared" ca="1" si="8"/>
        <v>#REF!</v>
      </c>
      <c r="AP10" s="1899">
        <f t="shared" si="9"/>
        <v>0</v>
      </c>
      <c r="AQ10" s="54">
        <f t="shared" si="10"/>
        <v>0</v>
      </c>
      <c r="AR10" s="54">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8"/>
      <c r="AO11" s="54" t="e">
        <f t="shared" ca="1" si="8"/>
        <v>#REF!</v>
      </c>
      <c r="AP11" s="1899">
        <f t="shared" si="9"/>
        <v>0</v>
      </c>
      <c r="AQ11" s="54">
        <f t="shared" si="10"/>
        <v>0</v>
      </c>
      <c r="AR11" s="54">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3">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8"/>
      <c r="AO12" s="54" t="e">
        <f t="shared" ca="1" si="8"/>
        <v>#REF!</v>
      </c>
      <c r="AP12" s="1899">
        <f t="shared" si="9"/>
        <v>0</v>
      </c>
      <c r="AQ12" s="54">
        <f t="shared" si="10"/>
        <v>0</v>
      </c>
      <c r="AR12" s="54">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3">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8"/>
      <c r="AO13" s="54" t="e">
        <f t="shared" ca="1" si="8"/>
        <v>#REF!</v>
      </c>
      <c r="AP13" s="1899">
        <f t="shared" si="9"/>
        <v>0</v>
      </c>
      <c r="AQ13" s="54">
        <f t="shared" si="10"/>
        <v>0</v>
      </c>
      <c r="AR13" s="54">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1890</v>
      </c>
      <c r="B14" s="1896" t="s">
        <v>1891</v>
      </c>
      <c r="C14" s="1901" t="s">
        <v>1890</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3"/>
      <c r="U14" s="678"/>
      <c r="V14" s="1165"/>
      <c r="W14" s="1165"/>
      <c r="X14" s="1166"/>
      <c r="Y14" s="1167"/>
      <c r="Z14" s="1168"/>
      <c r="AA14" s="1169"/>
      <c r="AB14" s="1169"/>
      <c r="AC14" s="1170"/>
      <c r="AD14" s="1166"/>
      <c r="AE14" s="1171"/>
      <c r="AF14" s="54"/>
      <c r="AG14" s="142"/>
      <c r="AH14" s="1171"/>
      <c r="AI14" s="1539"/>
      <c r="AJ14" s="712"/>
      <c r="AK14" s="1172"/>
      <c r="AL14" s="1173"/>
      <c r="AM14" s="1174"/>
      <c r="AN14" s="2893"/>
      <c r="AO14" s="2895"/>
      <c r="AP14" s="2895"/>
      <c r="AQ14" s="2895"/>
      <c r="AR14" s="2895"/>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1892</v>
      </c>
      <c r="B15" s="1896" t="s">
        <v>1891</v>
      </c>
      <c r="C15" s="1901" t="s">
        <v>1893</v>
      </c>
      <c r="D15" s="966"/>
      <c r="E15" s="965"/>
      <c r="F15" s="67"/>
      <c r="G15" s="68"/>
      <c r="H15" s="1159"/>
      <c r="I15" s="1159"/>
      <c r="J15" s="1159"/>
      <c r="K15" s="1160">
        <f>SUMIF('数据-汇总表'!C$19:C$33,A15,'数据-汇总表'!E$19:E$33)</f>
        <v>0</v>
      </c>
      <c r="L15" s="1161"/>
      <c r="M15" s="70"/>
      <c r="N15" s="1162"/>
      <c r="O15" s="70"/>
      <c r="P15" s="71"/>
      <c r="Q15" s="1163"/>
      <c r="R15" s="72"/>
      <c r="S15" s="53"/>
      <c r="T15" s="1333"/>
      <c r="U15" s="678"/>
      <c r="V15" s="1165"/>
      <c r="W15" s="1165"/>
      <c r="X15" s="1166"/>
      <c r="Y15" s="1167"/>
      <c r="Z15" s="1168"/>
      <c r="AA15" s="1169"/>
      <c r="AB15" s="1169"/>
      <c r="AC15" s="1170"/>
      <c r="AD15" s="1166"/>
      <c r="AE15" s="1171"/>
      <c r="AF15" s="54"/>
      <c r="AG15" s="142"/>
      <c r="AH15" s="1171"/>
      <c r="AI15" s="1539"/>
      <c r="AJ15" s="712"/>
      <c r="AK15" s="1172"/>
      <c r="AL15" s="1173"/>
      <c r="AM15" s="1174"/>
      <c r="AN15" s="2893"/>
      <c r="AO15" s="2895"/>
      <c r="AP15" s="2895"/>
      <c r="AQ15" s="2895"/>
      <c r="AR15" s="2895"/>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1894</v>
      </c>
      <c r="B16" s="92"/>
      <c r="C16" s="941"/>
      <c r="D16" s="1903"/>
      <c r="E16" s="92"/>
      <c r="F16" s="92"/>
      <c r="G16" s="93">
        <f>ROUND(SUMPRODUCT(G6:G13,K6:K13)/SUMPRODUCT((G6:G13&gt;0)*(K6:K13)),3)</f>
        <v>0.97699999999999998</v>
      </c>
      <c r="H16" s="94">
        <f>ROUND(SUMPRODUCT(H6:H13,K6:K13)/SUMPRODUCT((H6:H13&gt;0)*(K6:K13)),3)</f>
        <v>0.04</v>
      </c>
      <c r="I16" s="95"/>
      <c r="J16" s="95"/>
      <c r="K16" s="96">
        <f>SUM(K6:K15)</f>
        <v>46306.38</v>
      </c>
      <c r="L16" s="97">
        <f>ROUND(M16*10000/SUM(K6:K14),0)</f>
        <v>3000</v>
      </c>
      <c r="M16" s="97">
        <f>SUM(M6:M14)</f>
        <v>13892</v>
      </c>
      <c r="N16" s="98">
        <f>ROUND(SUMPRODUCT(M6:M14,N6:N14)/M16,3)</f>
        <v>1</v>
      </c>
      <c r="O16" s="97">
        <f>SUM(O6:O14)</f>
        <v>0</v>
      </c>
      <c r="P16" s="97">
        <f>SUM(P6:P14)</f>
        <v>0</v>
      </c>
      <c r="Q16" s="99">
        <f>ROUND(SUMPRODUCT(Q6:Q13,K6:K13)/SUMPRODUCT((Q6:Q13&gt;0)*(K6:K13)),2)</f>
        <v>0.09</v>
      </c>
      <c r="R16" s="1164">
        <f ca="1">SUM(R6:R13)</f>
        <v>23188.06</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3"/>
      <c r="AO16" s="2895"/>
      <c r="AP16" s="2895"/>
      <c r="AQ16" s="2895"/>
      <c r="AR16" s="2895"/>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4"/>
      <c r="C17" s="2893"/>
      <c r="D17" s="2897"/>
      <c r="E17" s="2897"/>
      <c r="F17" s="2893"/>
      <c r="G17" s="2893"/>
      <c r="H17" s="2893"/>
      <c r="I17" s="2893"/>
      <c r="J17" s="2893"/>
      <c r="K17" s="2894"/>
      <c r="L17" s="2894"/>
      <c r="M17" s="2893"/>
      <c r="N17" s="2893"/>
      <c r="O17" s="2893"/>
      <c r="P17" s="2893"/>
      <c r="Q17" s="2893"/>
      <c r="R17" s="2893"/>
      <c r="S17" s="2893"/>
      <c r="T17" s="2893"/>
      <c r="U17" s="2893"/>
      <c r="V17" s="2893"/>
      <c r="W17" s="2893"/>
      <c r="X17" s="2893"/>
      <c r="Y17" s="2893"/>
      <c r="Z17" s="2893"/>
      <c r="AA17" s="2893"/>
      <c r="AB17" s="2893"/>
      <c r="AC17" s="2893"/>
      <c r="AD17" s="2893"/>
      <c r="AE17" s="2893"/>
      <c r="AF17" s="2893"/>
      <c r="AG17" s="2893"/>
      <c r="AH17" s="2893">
        <f>K8/AH8</f>
        <v>45.64</v>
      </c>
      <c r="AI17" s="2893"/>
      <c r="AJ17" s="2893"/>
      <c r="AK17" s="2893"/>
      <c r="AL17" s="2893"/>
      <c r="AM17" s="2893"/>
      <c r="AN17" s="2893"/>
      <c r="AO17" s="2893"/>
      <c r="AP17" s="2893"/>
      <c r="AQ17" s="2893"/>
      <c r="AR17" s="2893"/>
    </row>
    <row r="18" spans="1:67" ht="15" thickBot="1">
      <c r="A18" s="63" t="s">
        <v>1895</v>
      </c>
      <c r="B18" s="2907"/>
      <c r="C18" s="2895"/>
      <c r="D18" s="2898"/>
      <c r="E18" s="2895"/>
      <c r="F18" s="2895"/>
      <c r="G18" s="2895">
        <f>(0.988*15708.62 +0.972*(19826.72 + 10771.04))/46306.38</f>
        <v>0.97742771687184371</v>
      </c>
      <c r="H18" s="2895"/>
      <c r="I18" s="2895"/>
      <c r="J18" s="2895"/>
      <c r="K18" s="2894"/>
      <c r="L18" s="2894"/>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93"/>
    </row>
    <row r="19" spans="1:67" ht="14.25">
      <c r="A19" s="1905" t="s">
        <v>1896</v>
      </c>
      <c r="B19" s="107">
        <v>0</v>
      </c>
      <c r="C19" s="3023" t="s">
        <v>3045</v>
      </c>
      <c r="D19" s="2898"/>
      <c r="E19" s="2895"/>
      <c r="F19" s="2895"/>
      <c r="G19" s="2895"/>
      <c r="H19" s="2895"/>
      <c r="I19" s="2895"/>
      <c r="J19" s="2895"/>
      <c r="K19" s="2894"/>
      <c r="L19" s="2894"/>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row>
    <row r="20" spans="1:67" ht="14.25">
      <c r="A20" s="1906" t="s">
        <v>1897</v>
      </c>
      <c r="B20" s="108">
        <v>2</v>
      </c>
      <c r="C20" s="3024" t="s">
        <v>3043</v>
      </c>
      <c r="D20" s="2898"/>
      <c r="E20" s="2895"/>
      <c r="F20" s="2895"/>
      <c r="G20" s="2895"/>
      <c r="H20" s="2895"/>
      <c r="I20" s="2895"/>
      <c r="J20" s="2895"/>
      <c r="K20" s="2894"/>
      <c r="L20" s="2894"/>
      <c r="M20" s="2893"/>
      <c r="N20" s="2893"/>
      <c r="O20" s="2893"/>
      <c r="P20" s="2893"/>
      <c r="Q20" s="2893"/>
      <c r="R20" s="2893"/>
      <c r="S20" s="2893"/>
      <c r="T20" s="2893"/>
      <c r="U20" s="2893"/>
      <c r="V20" s="2893"/>
      <c r="W20" s="2893"/>
      <c r="X20" s="2893"/>
      <c r="Y20" s="2893"/>
      <c r="Z20" s="2893"/>
      <c r="AA20" s="2893"/>
      <c r="AB20" s="2893"/>
      <c r="AC20" s="2893"/>
      <c r="AD20" s="2893"/>
      <c r="AE20" s="2893"/>
      <c r="AF20" s="2893"/>
      <c r="AG20" s="2893"/>
      <c r="AH20" s="2893"/>
      <c r="AI20" s="2893"/>
      <c r="AJ20" s="2893"/>
      <c r="AK20" s="2893"/>
      <c r="AL20" s="2893"/>
      <c r="AM20" s="2893"/>
      <c r="AN20" s="2893"/>
      <c r="AO20" s="2893"/>
      <c r="AP20" s="2893"/>
      <c r="AQ20" s="2893"/>
      <c r="AR20" s="2893"/>
    </row>
    <row r="21" spans="1:67" ht="14.25">
      <c r="A21" s="1907" t="s">
        <v>1898</v>
      </c>
      <c r="B21" s="108">
        <v>2</v>
      </c>
      <c r="C21" s="2895"/>
      <c r="D21" s="2898"/>
      <c r="E21" s="2895"/>
      <c r="F21" s="2895"/>
      <c r="G21" s="2895"/>
      <c r="H21" s="2895"/>
      <c r="I21" s="2895"/>
      <c r="J21" s="2895"/>
      <c r="K21" s="2894"/>
      <c r="L21" s="2894"/>
      <c r="M21" s="2893"/>
      <c r="N21" s="2893"/>
      <c r="O21" s="2893"/>
      <c r="P21" s="2893"/>
      <c r="Q21" s="2893"/>
      <c r="R21" s="2893"/>
      <c r="S21" s="2893"/>
      <c r="T21" s="2893"/>
      <c r="U21" s="2893"/>
      <c r="V21" s="2893"/>
      <c r="W21" s="2893"/>
      <c r="X21" s="2893"/>
      <c r="Y21" s="2893"/>
      <c r="Z21" s="2893"/>
      <c r="AA21" s="2893"/>
      <c r="AB21" s="2893"/>
      <c r="AC21" s="2893"/>
      <c r="AD21" s="2893"/>
      <c r="AE21" s="2893"/>
      <c r="AF21" s="2893"/>
      <c r="AG21" s="2893"/>
      <c r="AH21" s="2893"/>
      <c r="AI21" s="2893"/>
      <c r="AJ21" s="2893"/>
      <c r="AK21" s="2893"/>
      <c r="AL21" s="2893"/>
      <c r="AM21" s="2893"/>
      <c r="AN21" s="2893"/>
      <c r="AO21" s="2893"/>
      <c r="AP21" s="2893"/>
      <c r="AQ21" s="2893"/>
      <c r="AR21" s="2893"/>
    </row>
    <row r="22" spans="1:67" ht="14.25">
      <c r="A22" s="1906" t="s">
        <v>1899</v>
      </c>
      <c r="B22" s="109">
        <f>B19+B20</f>
        <v>2</v>
      </c>
      <c r="C22" s="2895"/>
      <c r="D22" s="2898"/>
      <c r="E22" s="2895"/>
      <c r="F22" s="2895"/>
      <c r="G22" s="2895"/>
      <c r="H22" s="2895"/>
      <c r="I22" s="2895"/>
      <c r="J22" s="2895"/>
      <c r="K22" s="2894"/>
      <c r="L22" s="2894"/>
      <c r="M22" s="2893"/>
      <c r="N22" s="2893"/>
      <c r="O22" s="2893"/>
      <c r="P22" s="2893"/>
      <c r="Q22" s="2893"/>
      <c r="R22" s="2893"/>
      <c r="S22" s="2893"/>
      <c r="T22" s="2893"/>
      <c r="U22" s="2893"/>
      <c r="V22" s="2893"/>
      <c r="W22" s="2893"/>
      <c r="X22" s="2893"/>
      <c r="Y22" s="2893"/>
      <c r="Z22" s="2893"/>
      <c r="AA22" s="2893"/>
      <c r="AB22" s="2893"/>
      <c r="AC22" s="2893"/>
      <c r="AD22" s="2893"/>
      <c r="AE22" s="2893"/>
      <c r="AF22" s="2893"/>
      <c r="AG22" s="2893"/>
      <c r="AH22" s="2893"/>
      <c r="AI22" s="2893"/>
      <c r="AJ22" s="2893"/>
      <c r="AK22" s="2893"/>
      <c r="AL22" s="2893"/>
      <c r="AM22" s="2893"/>
      <c r="AN22" s="2893"/>
      <c r="AO22" s="2893"/>
      <c r="AP22" s="2893"/>
      <c r="AQ22" s="2893"/>
      <c r="AR22" s="2893"/>
    </row>
    <row r="23" spans="1:67" ht="14.25">
      <c r="A23" s="1907" t="s">
        <v>1900</v>
      </c>
      <c r="B23" s="109">
        <f>B19+B21</f>
        <v>2</v>
      </c>
      <c r="C23" s="2895"/>
      <c r="D23" s="2898"/>
      <c r="E23" s="2895"/>
      <c r="F23" s="2895"/>
      <c r="G23" s="2895"/>
      <c r="H23" s="2895"/>
      <c r="I23" s="2895"/>
      <c r="J23" s="2895"/>
      <c r="K23" s="2894"/>
      <c r="L23" s="2894">
        <f>(15172.5*10%+18970.78*10%+10223.36*5%)/44366.64</f>
        <v>8.8478550550593879E-2</v>
      </c>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spans="1:67" ht="15" thickBot="1">
      <c r="A24" s="1908" t="s">
        <v>1901</v>
      </c>
      <c r="B24" s="110">
        <f>B20-B21</f>
        <v>0</v>
      </c>
      <c r="C24" s="2895"/>
      <c r="D24" s="2898"/>
      <c r="E24" s="2895"/>
      <c r="F24" s="2895"/>
      <c r="G24" s="2895"/>
      <c r="H24" s="2895"/>
      <c r="I24" s="2895"/>
      <c r="J24" s="2895"/>
      <c r="K24" s="2894"/>
      <c r="L24" s="2894"/>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spans="1:67" ht="15" thickBot="1">
      <c r="A25" s="1740"/>
      <c r="B25" s="1870"/>
      <c r="C25" s="2895"/>
      <c r="D25" s="2898"/>
      <c r="E25" s="2895"/>
      <c r="F25" s="2895"/>
      <c r="G25" s="2895"/>
      <c r="H25" s="2895"/>
      <c r="I25" s="2895"/>
      <c r="J25" s="2895"/>
      <c r="K25" s="2894"/>
      <c r="L25" s="2894"/>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spans="1:67" ht="15" thickBot="1">
      <c r="A26" s="1866" t="s">
        <v>1902</v>
      </c>
      <c r="B26" s="1909" t="s">
        <v>1903</v>
      </c>
      <c r="C26" s="2899" t="s">
        <v>1904</v>
      </c>
      <c r="D26" s="2898"/>
      <c r="E26" s="2895"/>
      <c r="F26" s="2895"/>
      <c r="G26" s="2895"/>
      <c r="H26" s="2895"/>
      <c r="I26" s="2895"/>
      <c r="J26" s="2895"/>
      <c r="K26" s="2894"/>
      <c r="L26" s="2894"/>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pans="1:67" s="1911" customFormat="1" ht="27.75">
      <c r="A27" s="1910" t="s">
        <v>1905</v>
      </c>
      <c r="B27" s="111"/>
      <c r="C27" s="3025" t="s">
        <v>3047</v>
      </c>
      <c r="D27" s="2901"/>
      <c r="E27" s="2882"/>
      <c r="F27" s="2882"/>
      <c r="G27" s="2895"/>
      <c r="H27" s="2895"/>
      <c r="I27" s="2895"/>
      <c r="J27" s="2895"/>
      <c r="K27" s="2894"/>
      <c r="L27" s="2894"/>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1" customFormat="1" ht="27.75">
      <c r="A28" s="1912" t="s">
        <v>1906</v>
      </c>
      <c r="B28" s="114"/>
      <c r="C28" s="2902"/>
      <c r="D28" s="2901"/>
      <c r="E28" s="2882"/>
      <c r="F28" s="2882"/>
      <c r="G28" s="2895"/>
      <c r="H28" s="2895"/>
      <c r="I28" s="2895"/>
      <c r="J28" s="2895"/>
      <c r="K28" s="2894"/>
      <c r="L28" s="2894"/>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1" customFormat="1" ht="28.5" thickBot="1">
      <c r="A29" s="1913" t="s">
        <v>1907</v>
      </c>
      <c r="B29" s="116"/>
      <c r="C29" s="3026" t="s">
        <v>3034</v>
      </c>
      <c r="D29" s="2901"/>
      <c r="E29" s="2882"/>
      <c r="F29" s="2882"/>
      <c r="G29" s="2895"/>
      <c r="H29" s="2895"/>
      <c r="I29" s="2895"/>
      <c r="J29" s="2895"/>
      <c r="K29" s="2894"/>
      <c r="L29" s="2894"/>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1" customFormat="1" ht="27">
      <c r="A30" s="1914" t="s">
        <v>1908</v>
      </c>
      <c r="B30" s="679">
        <v>200</v>
      </c>
      <c r="C30" s="2902"/>
      <c r="D30" s="2901"/>
      <c r="E30" s="2882"/>
      <c r="F30" s="2882"/>
      <c r="G30" s="2895"/>
      <c r="H30" s="2895"/>
      <c r="I30" s="2895"/>
      <c r="J30" s="2895"/>
      <c r="K30" s="2894"/>
      <c r="L30" s="2894"/>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1" customFormat="1" ht="27">
      <c r="A31" s="1912" t="s">
        <v>1909</v>
      </c>
      <c r="B31" s="115">
        <f>B30-B32</f>
        <v>200</v>
      </c>
      <c r="C31" s="2900"/>
      <c r="D31" s="2901"/>
      <c r="E31" s="2882"/>
      <c r="F31" s="2882"/>
      <c r="G31" s="2895"/>
      <c r="H31" s="2895"/>
      <c r="I31" s="2895"/>
      <c r="J31" s="2895"/>
      <c r="K31" s="2894"/>
      <c r="L31" s="2894"/>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1" customFormat="1" ht="27.75" thickBot="1">
      <c r="A32" s="1915" t="s">
        <v>1910</v>
      </c>
      <c r="B32" s="680">
        <v>0</v>
      </c>
      <c r="C32" s="2902"/>
      <c r="D32" s="2898"/>
      <c r="E32" s="2895"/>
      <c r="F32" s="2895"/>
      <c r="G32" s="2895"/>
      <c r="H32" s="2895"/>
      <c r="I32" s="2895"/>
      <c r="J32" s="2895"/>
      <c r="K32" s="2894"/>
      <c r="L32" s="2894"/>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1" customFormat="1" ht="14.25">
      <c r="A33" s="1910" t="s">
        <v>1911</v>
      </c>
      <c r="B33" s="681">
        <v>0.05</v>
      </c>
      <c r="C33" s="3027" t="s">
        <v>3035</v>
      </c>
      <c r="D33" s="2898"/>
      <c r="E33" s="2895"/>
      <c r="F33" s="2895"/>
      <c r="G33" s="2895"/>
      <c r="H33" s="2895"/>
      <c r="I33" s="2895"/>
      <c r="J33" s="2895"/>
      <c r="K33" s="2894"/>
      <c r="L33" s="2894"/>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1" customFormat="1" ht="14.25">
      <c r="A34" s="1912" t="s">
        <v>1912</v>
      </c>
      <c r="B34" s="117">
        <v>0.05</v>
      </c>
      <c r="C34" s="3027" t="s">
        <v>3036</v>
      </c>
      <c r="D34" s="2906" t="s">
        <v>3044</v>
      </c>
      <c r="E34" s="2904"/>
      <c r="F34" s="2895"/>
      <c r="G34" s="2895"/>
      <c r="H34" s="2895"/>
      <c r="I34" s="2895"/>
      <c r="J34" s="2895"/>
      <c r="K34" s="2894"/>
      <c r="L34" s="2894"/>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1" customFormat="1" ht="14.25">
      <c r="A35" s="1912" t="s">
        <v>1913</v>
      </c>
      <c r="B35" s="114">
        <v>200</v>
      </c>
      <c r="C35" s="3027" t="s">
        <v>3037</v>
      </c>
      <c r="D35" s="2901"/>
      <c r="E35" s="2882"/>
      <c r="F35" s="2882"/>
      <c r="G35" s="2895"/>
      <c r="H35" s="2895"/>
      <c r="I35" s="2895"/>
      <c r="J35" s="2895"/>
      <c r="K35" s="2894"/>
      <c r="L35" s="2894"/>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3" t="s">
        <v>1914</v>
      </c>
      <c r="B36" s="118">
        <v>1.4999999999999999E-2</v>
      </c>
      <c r="C36" s="3027" t="s">
        <v>3038</v>
      </c>
      <c r="D36" s="2898"/>
      <c r="E36" s="2895"/>
      <c r="F36" s="2895"/>
      <c r="G36" s="2895"/>
      <c r="H36" s="2895"/>
      <c r="I36" s="2895"/>
      <c r="J36" s="2895"/>
      <c r="K36" s="2894"/>
      <c r="L36" s="2894"/>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spans="1:67" ht="14.25">
      <c r="A37" s="1914" t="s">
        <v>1915</v>
      </c>
      <c r="B37" s="119">
        <v>0.03</v>
      </c>
      <c r="C37" s="3027" t="s">
        <v>3039</v>
      </c>
      <c r="D37" s="2898"/>
      <c r="E37" s="2895"/>
      <c r="F37" s="2895"/>
      <c r="G37" s="2895"/>
      <c r="H37" s="2895"/>
      <c r="I37" s="2895"/>
      <c r="J37" s="2895"/>
      <c r="K37" s="2894"/>
      <c r="L37" s="2894"/>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spans="1:67" ht="14.25">
      <c r="A38" s="1912" t="s">
        <v>1916</v>
      </c>
      <c r="B38" s="117">
        <v>0.03</v>
      </c>
      <c r="C38" s="3027" t="s">
        <v>3039</v>
      </c>
      <c r="D38" s="2898"/>
      <c r="E38" s="2895"/>
      <c r="F38" s="2895"/>
      <c r="G38" s="2895"/>
      <c r="H38" s="2895"/>
      <c r="I38" s="2895"/>
      <c r="J38" s="2895"/>
      <c r="K38" s="2894"/>
      <c r="L38" s="2894"/>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spans="1:67" ht="14.25">
      <c r="A39" s="1915" t="s">
        <v>1917</v>
      </c>
      <c r="B39" s="322">
        <f ca="1">存贷款利率!I1</f>
        <v>1.4999999999999999E-2</v>
      </c>
      <c r="C39" s="2903"/>
      <c r="D39" s="2898"/>
      <c r="E39" s="2895"/>
      <c r="F39" s="2895"/>
      <c r="G39" s="2895"/>
      <c r="H39" s="2895"/>
      <c r="I39" s="2895"/>
      <c r="J39" s="2895"/>
      <c r="K39" s="2894"/>
      <c r="L39" s="2894"/>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spans="1:67" ht="29.25" thickBot="1">
      <c r="A40" s="3039" t="s">
        <v>4197</v>
      </c>
      <c r="B40" s="1209">
        <f ca="1">IF(A40="利息：取LPR",存贷款利率!G1,存贷款利率!G1+C40)</f>
        <v>4.3499999999999997E-2</v>
      </c>
      <c r="C40" s="3038">
        <v>5.0000000000000001E-3</v>
      </c>
      <c r="D40" s="2893"/>
      <c r="E40" s="2898"/>
      <c r="F40" s="2895"/>
      <c r="G40" s="2895"/>
      <c r="H40" s="2895"/>
      <c r="I40" s="2895"/>
      <c r="J40" s="2895"/>
      <c r="K40" s="2894"/>
      <c r="L40" s="2894"/>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spans="1:67" ht="14.25">
      <c r="A41" s="1910" t="s">
        <v>1918</v>
      </c>
      <c r="B41" s="120">
        <f>B42+B43</f>
        <v>5.5000000000000007E-2</v>
      </c>
      <c r="C41" s="2900"/>
      <c r="D41" s="2893"/>
      <c r="E41" s="2898"/>
      <c r="F41" s="2895"/>
      <c r="G41" s="2895"/>
      <c r="H41" s="2895"/>
      <c r="I41" s="2895"/>
      <c r="J41" s="2895"/>
      <c r="K41" s="2894"/>
      <c r="L41" s="2894"/>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spans="1:67" ht="14.25">
      <c r="A42" s="1916" t="s">
        <v>1919</v>
      </c>
      <c r="B42" s="121">
        <v>0.05</v>
      </c>
      <c r="C42" s="2905">
        <f>IF(B2&lt;DATE(2016,5,1),0,B42)</f>
        <v>0.05</v>
      </c>
      <c r="D42" s="2898"/>
      <c r="E42" s="2895"/>
      <c r="F42" s="2895"/>
      <c r="G42" s="2895"/>
      <c r="H42" s="2895"/>
      <c r="I42" s="2895"/>
      <c r="J42" s="2895"/>
      <c r="K42" s="2894"/>
      <c r="L42" s="2894"/>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spans="1:67" ht="14.25">
      <c r="A43" s="1916" t="s">
        <v>1920</v>
      </c>
      <c r="B43" s="122">
        <f>B42*(B44+B45+B46)+B47</f>
        <v>5.000000000000001E-3</v>
      </c>
      <c r="C43" s="2900"/>
      <c r="D43" s="2898"/>
      <c r="E43" s="2895"/>
      <c r="F43" s="2895"/>
      <c r="G43" s="2895"/>
      <c r="H43" s="2895"/>
      <c r="I43" s="2895"/>
      <c r="J43" s="2895"/>
      <c r="K43" s="2894"/>
      <c r="L43" s="2894"/>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spans="1:67" ht="14.25">
      <c r="A44" s="1917" t="s">
        <v>1921</v>
      </c>
      <c r="B44" s="123">
        <v>0.05</v>
      </c>
      <c r="C44" s="3027" t="s">
        <v>3048</v>
      </c>
      <c r="D44" s="2898"/>
      <c r="E44" s="2895"/>
      <c r="F44" s="2895"/>
      <c r="G44" s="2895"/>
      <c r="H44" s="2895"/>
      <c r="I44" s="2895"/>
      <c r="J44" s="2895"/>
      <c r="K44" s="2894"/>
      <c r="L44" s="2894"/>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spans="1:67" ht="14.25">
      <c r="A45" s="1917" t="s">
        <v>1922</v>
      </c>
      <c r="B45" s="121">
        <v>0.03</v>
      </c>
      <c r="C45" s="3026" t="s">
        <v>3040</v>
      </c>
      <c r="D45" s="2898"/>
      <c r="E45" s="2895"/>
      <c r="F45" s="2895"/>
      <c r="G45" s="2895"/>
      <c r="H45" s="2895"/>
      <c r="I45" s="2895"/>
      <c r="J45" s="2895"/>
      <c r="K45" s="2894"/>
      <c r="L45" s="2894"/>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spans="1:67" ht="14.25">
      <c r="A46" s="1917" t="s">
        <v>1923</v>
      </c>
      <c r="B46" s="121">
        <v>0.02</v>
      </c>
      <c r="C46" s="3026" t="s">
        <v>3041</v>
      </c>
      <c r="D46" s="2898"/>
      <c r="E46" s="2895"/>
      <c r="F46" s="2895"/>
      <c r="G46" s="2895"/>
      <c r="H46" s="2895"/>
      <c r="I46" s="2895"/>
      <c r="J46" s="2895"/>
      <c r="K46" s="2894"/>
      <c r="L46" s="2894"/>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spans="1:67" ht="15" thickBot="1">
      <c r="A47" s="1918" t="s">
        <v>1924</v>
      </c>
      <c r="B47" s="124"/>
      <c r="C47" s="3029" t="s">
        <v>3049</v>
      </c>
      <c r="D47" s="2898"/>
      <c r="E47" s="2895"/>
      <c r="F47" s="2895"/>
      <c r="G47" s="2895"/>
      <c r="H47" s="2895"/>
      <c r="I47" s="2895"/>
      <c r="J47" s="2895"/>
      <c r="K47" s="2894"/>
      <c r="L47" s="2894"/>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spans="1:67" ht="14.25">
      <c r="A48" s="1919" t="s">
        <v>1925</v>
      </c>
      <c r="B48" s="125">
        <v>0.03</v>
      </c>
      <c r="C48" s="3026" t="s">
        <v>3040</v>
      </c>
      <c r="D48" s="2898"/>
      <c r="E48" s="2895"/>
      <c r="F48" s="2895"/>
      <c r="G48" s="2895"/>
      <c r="H48" s="2895"/>
      <c r="I48" s="2895"/>
      <c r="J48" s="2895"/>
      <c r="K48" s="2894"/>
      <c r="L48" s="2894"/>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spans="1:44" ht="15" thickBot="1">
      <c r="A49" s="1915" t="s">
        <v>1926</v>
      </c>
      <c r="B49" s="121">
        <v>5.0000000000000001E-4</v>
      </c>
      <c r="C49" s="3026" t="s">
        <v>3042</v>
      </c>
      <c r="D49" s="2898"/>
      <c r="E49" s="2895"/>
      <c r="F49" s="2895"/>
      <c r="G49" s="2895"/>
      <c r="H49" s="2895"/>
      <c r="I49" s="2895"/>
      <c r="J49" s="2895"/>
      <c r="K49" s="2894"/>
      <c r="L49" s="2894"/>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spans="1:44" ht="14.25">
      <c r="A50" s="1920" t="s">
        <v>1927</v>
      </c>
      <c r="B50" s="126">
        <v>1.2E-2</v>
      </c>
      <c r="C50" s="2882"/>
      <c r="D50" s="2898"/>
      <c r="E50" s="2895"/>
      <c r="F50" s="2895"/>
      <c r="G50" s="2895"/>
      <c r="H50" s="2895"/>
      <c r="I50" s="2895"/>
      <c r="J50" s="2895"/>
      <c r="K50" s="2894"/>
      <c r="L50" s="2894"/>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spans="1:44" ht="15" thickBot="1">
      <c r="A51" s="1913" t="s">
        <v>1928</v>
      </c>
      <c r="B51" s="127">
        <v>0.12</v>
      </c>
      <c r="C51" s="2882"/>
      <c r="D51" s="2898"/>
      <c r="E51" s="2895"/>
      <c r="F51" s="2895"/>
      <c r="G51" s="2895"/>
      <c r="H51" s="2895"/>
      <c r="I51" s="2895"/>
      <c r="J51" s="2895"/>
      <c r="K51" s="2894"/>
      <c r="L51" s="2894"/>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spans="1:44" ht="14.25">
      <c r="A52" s="1920" t="s">
        <v>1929</v>
      </c>
      <c r="B52" s="128">
        <f>SUMIF(A54:A63,B53,B54:B63)</f>
        <v>0</v>
      </c>
      <c r="C52" s="2882"/>
      <c r="D52" s="2898"/>
      <c r="E52" s="2895"/>
      <c r="F52" s="2895"/>
      <c r="G52" s="2895"/>
      <c r="H52" s="2895"/>
      <c r="I52" s="2895"/>
      <c r="J52" s="2895"/>
      <c r="K52" s="2894"/>
      <c r="L52" s="2894"/>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spans="1:44" ht="27">
      <c r="A53" s="1912" t="s">
        <v>1930</v>
      </c>
      <c r="B53" s="1921"/>
      <c r="C53" s="2882" t="s">
        <v>1931</v>
      </c>
      <c r="D53" s="3028" t="s">
        <v>3046</v>
      </c>
      <c r="E53" s="2895"/>
      <c r="F53" s="2895"/>
      <c r="G53" s="2895"/>
      <c r="H53" s="2895"/>
      <c r="I53" s="2895"/>
      <c r="J53" s="2895"/>
      <c r="K53" s="2894"/>
      <c r="L53" s="2894"/>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spans="1:44" ht="14.25">
      <c r="A54" s="1922" t="s">
        <v>1932</v>
      </c>
      <c r="B54" s="79"/>
      <c r="C54" s="2882">
        <v>30</v>
      </c>
      <c r="D54" s="2898"/>
      <c r="E54" s="2895"/>
      <c r="F54" s="2895"/>
      <c r="G54" s="2895"/>
      <c r="H54" s="2895"/>
      <c r="I54" s="2895"/>
      <c r="J54" s="2895"/>
      <c r="K54" s="2894"/>
      <c r="L54" s="2894"/>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spans="1:44" ht="14.25">
      <c r="A55" s="1922" t="s">
        <v>1933</v>
      </c>
      <c r="B55" s="79"/>
      <c r="C55" s="2882">
        <v>24</v>
      </c>
      <c r="D55" s="2898"/>
      <c r="E55" s="2895"/>
      <c r="F55" s="2895"/>
      <c r="G55" s="2895"/>
      <c r="H55" s="2895"/>
      <c r="I55" s="2896"/>
      <c r="J55" s="2895"/>
      <c r="K55" s="2894"/>
      <c r="L55" s="2894"/>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spans="1:44" ht="14.25">
      <c r="A56" s="1922" t="s">
        <v>1934</v>
      </c>
      <c r="B56" s="79"/>
      <c r="C56" s="2882">
        <v>18</v>
      </c>
      <c r="D56" s="2898"/>
      <c r="E56" s="2895"/>
      <c r="F56" s="2895"/>
      <c r="G56" s="2895"/>
      <c r="H56" s="2895"/>
      <c r="I56" s="2895"/>
      <c r="J56" s="2895"/>
      <c r="K56" s="2894"/>
      <c r="L56" s="2894"/>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spans="1:44" ht="14.25">
      <c r="A57" s="1922" t="s">
        <v>1935</v>
      </c>
      <c r="B57" s="79"/>
      <c r="C57" s="2882">
        <v>12</v>
      </c>
      <c r="D57" s="2898"/>
      <c r="E57" s="2895"/>
      <c r="F57" s="2895"/>
      <c r="G57" s="2895"/>
      <c r="H57" s="2895"/>
      <c r="I57" s="2895"/>
      <c r="J57" s="2895"/>
      <c r="K57" s="2894"/>
      <c r="L57" s="2894"/>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spans="1:44" ht="14.25">
      <c r="A58" s="1922" t="s">
        <v>1936</v>
      </c>
      <c r="B58" s="79"/>
      <c r="C58" s="2882">
        <v>3</v>
      </c>
      <c r="D58" s="2898"/>
      <c r="E58" s="2895"/>
      <c r="F58" s="2895"/>
      <c r="G58" s="2895"/>
      <c r="H58" s="2895"/>
      <c r="I58" s="2895"/>
      <c r="J58" s="2895"/>
      <c r="K58" s="2894"/>
      <c r="L58" s="2894"/>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spans="1:44" ht="14.25">
      <c r="A59" s="1922" t="s">
        <v>1937</v>
      </c>
      <c r="B59" s="79"/>
      <c r="C59" s="2882">
        <v>1.5</v>
      </c>
      <c r="D59" s="2898"/>
      <c r="E59" s="2895"/>
      <c r="F59" s="2895"/>
      <c r="G59" s="2895"/>
      <c r="H59" s="2895"/>
      <c r="I59" s="2895"/>
      <c r="J59" s="2895"/>
      <c r="K59" s="2894"/>
      <c r="L59" s="2894"/>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spans="1:44" ht="14.25">
      <c r="A60" s="1922" t="s">
        <v>1938</v>
      </c>
      <c r="B60" s="79"/>
      <c r="C60" s="2895"/>
      <c r="D60" s="2898"/>
      <c r="E60" s="2895"/>
      <c r="F60" s="2895"/>
      <c r="G60" s="2895"/>
      <c r="H60" s="2895"/>
      <c r="I60" s="2895"/>
      <c r="J60" s="2895"/>
      <c r="K60" s="2894"/>
      <c r="L60" s="2894"/>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spans="1:44" ht="14.25">
      <c r="A61" s="1922" t="s">
        <v>1939</v>
      </c>
      <c r="B61" s="79"/>
      <c r="C61" s="2895"/>
      <c r="D61" s="2898"/>
      <c r="E61" s="2895"/>
      <c r="F61" s="2895"/>
      <c r="G61" s="2895"/>
      <c r="H61" s="2895"/>
      <c r="I61" s="2895"/>
      <c r="J61" s="2895"/>
      <c r="K61" s="2894"/>
      <c r="L61" s="2894"/>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spans="1:44" ht="14.25">
      <c r="A62" s="1922" t="s">
        <v>1940</v>
      </c>
      <c r="B62" s="79"/>
      <c r="C62" s="2895"/>
      <c r="D62" s="2898"/>
      <c r="E62" s="2895"/>
      <c r="F62" s="2895"/>
      <c r="G62" s="2895"/>
      <c r="H62" s="2895"/>
      <c r="I62" s="2895"/>
      <c r="J62" s="2895"/>
      <c r="K62" s="2894"/>
      <c r="L62" s="2894"/>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spans="1:44" ht="15" thickBot="1">
      <c r="A63" s="1923" t="s">
        <v>1941</v>
      </c>
      <c r="B63" s="129"/>
      <c r="C63" s="2895"/>
      <c r="D63" s="2898"/>
      <c r="E63" s="2895"/>
      <c r="F63" s="2895"/>
      <c r="G63" s="2895"/>
      <c r="H63" s="2895"/>
      <c r="I63" s="2895"/>
      <c r="J63" s="2895"/>
      <c r="K63" s="2894"/>
      <c r="L63" s="2894"/>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pans="1:44" s="900" customFormat="1">
      <c r="A64" s="2885"/>
      <c r="B64" s="2893"/>
      <c r="C64" s="2893"/>
      <c r="D64" s="2897"/>
      <c r="E64" s="2893"/>
      <c r="F64" s="2893"/>
      <c r="G64" s="2893"/>
      <c r="H64" s="2893"/>
      <c r="I64" s="2893"/>
      <c r="J64" s="2893"/>
      <c r="K64" s="2894"/>
      <c r="L64" s="2894"/>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pans="1:44" s="900" customFormat="1">
      <c r="A65" s="2885"/>
      <c r="B65" s="2893"/>
      <c r="C65" s="2893"/>
      <c r="D65" s="2897"/>
      <c r="E65" s="2893"/>
      <c r="F65" s="2893"/>
      <c r="G65" s="2893"/>
      <c r="H65" s="2893"/>
      <c r="I65" s="2893"/>
      <c r="J65" s="2893"/>
      <c r="K65" s="2894"/>
      <c r="L65" s="2894"/>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pans="1:44" s="900" customFormat="1">
      <c r="A66" s="2885"/>
      <c r="B66" s="2893"/>
      <c r="C66" s="2893"/>
      <c r="D66" s="2897"/>
      <c r="E66" s="2893"/>
      <c r="F66" s="2893"/>
      <c r="G66" s="2893"/>
      <c r="H66" s="2893"/>
      <c r="I66" s="2893"/>
      <c r="J66" s="2893"/>
      <c r="K66" s="2894"/>
      <c r="L66" s="2894"/>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pans="1:44" s="900" customFormat="1">
      <c r="A67" s="2885"/>
      <c r="B67" s="2893"/>
      <c r="C67" s="2893"/>
      <c r="D67" s="2897"/>
      <c r="E67" s="2893"/>
      <c r="F67" s="2893"/>
      <c r="G67" s="2893"/>
      <c r="H67" s="2893"/>
      <c r="I67" s="2893"/>
      <c r="J67" s="2893"/>
      <c r="K67" s="2894"/>
      <c r="L67" s="2894"/>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pans="1:44" s="900" customFormat="1">
      <c r="A68" s="2885"/>
      <c r="B68" s="2893"/>
      <c r="C68" s="2893"/>
      <c r="D68" s="2897"/>
      <c r="E68" s="2893"/>
      <c r="F68" s="2893"/>
      <c r="G68" s="2893"/>
      <c r="H68" s="2893"/>
      <c r="I68" s="2893"/>
      <c r="J68" s="2893"/>
      <c r="K68" s="2894"/>
      <c r="L68" s="2894"/>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pans="1:44" s="900" customFormat="1">
      <c r="A69" s="1924"/>
      <c r="D69" s="1925"/>
      <c r="K69" s="736"/>
      <c r="L69" s="736"/>
    </row>
    <row r="70" spans="1:44" s="900" customFormat="1">
      <c r="A70" s="1924"/>
      <c r="D70" s="1925"/>
      <c r="K70" s="736"/>
      <c r="L70" s="736"/>
    </row>
    <row r="71" spans="1:44" s="900" customFormat="1">
      <c r="A71" s="1924"/>
      <c r="D71" s="1925"/>
      <c r="K71" s="736"/>
      <c r="L71" s="736"/>
    </row>
    <row r="72" spans="1:44" s="900" customFormat="1">
      <c r="A72" s="1924"/>
      <c r="D72" s="1925"/>
      <c r="K72" s="736"/>
      <c r="L72" s="736"/>
    </row>
    <row r="73" spans="1:44" s="900" customFormat="1">
      <c r="A73" s="1924"/>
      <c r="D73" s="1925"/>
      <c r="K73" s="736"/>
      <c r="L73" s="736"/>
    </row>
    <row r="74" spans="1:44" s="900" customFormat="1">
      <c r="A74" s="1924"/>
      <c r="D74" s="1925"/>
      <c r="K74" s="736"/>
      <c r="L74" s="736"/>
    </row>
    <row r="75" spans="1:44" s="900" customFormat="1">
      <c r="A75" s="1924"/>
      <c r="D75" s="1925"/>
      <c r="K75" s="736"/>
      <c r="L75" s="736"/>
    </row>
    <row r="76" spans="1:44" s="900" customFormat="1">
      <c r="A76" s="1924"/>
      <c r="D76" s="1925"/>
      <c r="K76" s="736"/>
      <c r="L76" s="736"/>
    </row>
    <row r="77" spans="1:44" s="900" customFormat="1">
      <c r="A77" s="1924"/>
      <c r="D77" s="1925"/>
      <c r="K77" s="736"/>
      <c r="L77" s="736"/>
    </row>
    <row r="78" spans="1:44" s="900" customFormat="1">
      <c r="A78" s="1924"/>
      <c r="D78" s="1925"/>
      <c r="K78" s="736"/>
      <c r="L78" s="736"/>
    </row>
    <row r="79" spans="1:44" s="900" customFormat="1">
      <c r="A79" s="1924"/>
      <c r="D79" s="1925"/>
      <c r="K79" s="736"/>
      <c r="L79" s="736"/>
    </row>
    <row r="80" spans="1:44" s="900" customFormat="1">
      <c r="A80" s="1924"/>
      <c r="D80" s="1925"/>
      <c r="K80" s="736"/>
      <c r="L80" s="736"/>
    </row>
    <row r="81" spans="1:12" s="900" customFormat="1">
      <c r="A81" s="1924"/>
      <c r="D81" s="1925"/>
      <c r="K81" s="736"/>
      <c r="L81" s="736"/>
    </row>
    <row r="82" spans="1:12" s="900" customFormat="1">
      <c r="A82" s="1924"/>
      <c r="D82" s="1925"/>
      <c r="K82" s="736"/>
      <c r="L82" s="736"/>
    </row>
    <row r="83" spans="1:12" s="900" customFormat="1">
      <c r="A83" s="1924"/>
      <c r="D83" s="1925"/>
      <c r="K83" s="736"/>
      <c r="L83" s="736"/>
    </row>
    <row r="84" spans="1:12" s="900" customFormat="1">
      <c r="A84" s="1924"/>
      <c r="D84" s="1925"/>
      <c r="K84" s="736"/>
      <c r="L84" s="736"/>
    </row>
    <row r="85" spans="1:12" s="900" customFormat="1">
      <c r="A85" s="1924"/>
      <c r="D85" s="1925"/>
      <c r="K85" s="736"/>
      <c r="L85" s="736"/>
    </row>
    <row r="86" spans="1:12" s="900" customFormat="1">
      <c r="A86" s="1924"/>
      <c r="D86" s="1925"/>
      <c r="K86" s="736"/>
      <c r="L86" s="736"/>
    </row>
    <row r="87" spans="1:12" s="900" customFormat="1">
      <c r="A87" s="1924"/>
      <c r="D87" s="1925"/>
      <c r="K87" s="736"/>
      <c r="L87" s="736"/>
    </row>
    <row r="88" spans="1:12" s="900" customFormat="1">
      <c r="A88" s="1924"/>
      <c r="D88" s="1925"/>
      <c r="K88" s="736"/>
      <c r="L88" s="736"/>
    </row>
    <row r="89" spans="1:12" s="900" customFormat="1">
      <c r="A89" s="1924"/>
      <c r="D89" s="1925"/>
      <c r="K89" s="736"/>
      <c r="L89" s="736"/>
    </row>
    <row r="90" spans="1:12" s="900" customFormat="1">
      <c r="A90" s="1924"/>
      <c r="D90" s="1925"/>
      <c r="K90" s="736"/>
      <c r="L90" s="736"/>
    </row>
    <row r="91" spans="1:12" s="900" customFormat="1">
      <c r="A91" s="1924"/>
      <c r="D91" s="1925"/>
      <c r="K91" s="736"/>
      <c r="L91" s="736"/>
    </row>
    <row r="92" spans="1:12" s="900" customFormat="1">
      <c r="A92" s="1924"/>
      <c r="D92" s="1925"/>
      <c r="K92" s="736"/>
      <c r="L92" s="736"/>
    </row>
    <row r="93" spans="1:12" s="900" customFormat="1">
      <c r="A93" s="1924"/>
      <c r="D93" s="1925"/>
      <c r="K93" s="736"/>
      <c r="L93" s="736"/>
    </row>
    <row r="94" spans="1:12" s="900" customFormat="1">
      <c r="A94" s="1924"/>
      <c r="D94" s="1925"/>
      <c r="K94" s="736"/>
      <c r="L94" s="736"/>
    </row>
    <row r="95" spans="1:12" s="900" customFormat="1">
      <c r="A95" s="1924"/>
      <c r="D95" s="1925"/>
      <c r="K95" s="736"/>
      <c r="L95" s="736"/>
    </row>
    <row r="96" spans="1:12" s="900" customFormat="1">
      <c r="A96" s="1924"/>
      <c r="D96" s="1925"/>
      <c r="K96" s="736"/>
      <c r="L96" s="736"/>
    </row>
    <row r="97" spans="1:12" s="900" customFormat="1">
      <c r="A97" s="1924"/>
      <c r="D97" s="1925"/>
      <c r="K97" s="736"/>
      <c r="L97" s="736"/>
    </row>
    <row r="98" spans="1:12" s="900" customFormat="1">
      <c r="A98" s="1924"/>
      <c r="D98" s="1925"/>
      <c r="K98" s="736"/>
      <c r="L98" s="736"/>
    </row>
    <row r="99" spans="1:12" s="900" customFormat="1">
      <c r="A99" s="1924"/>
      <c r="D99" s="1925"/>
      <c r="K99" s="736"/>
      <c r="L99" s="736"/>
    </row>
    <row r="100" spans="1:12" s="900" customFormat="1">
      <c r="A100" s="1924"/>
      <c r="D100" s="1925"/>
      <c r="K100" s="736"/>
      <c r="L100" s="736"/>
    </row>
    <row r="101" spans="1:12" s="900" customFormat="1">
      <c r="A101" s="1924"/>
      <c r="D101" s="1925"/>
      <c r="K101" s="736"/>
      <c r="L101" s="736"/>
    </row>
    <row r="102" spans="1:12" s="900" customFormat="1">
      <c r="A102" s="1924"/>
      <c r="D102" s="1925"/>
      <c r="K102" s="736"/>
      <c r="L102" s="736"/>
    </row>
    <row r="103" spans="1:12" s="900" customFormat="1">
      <c r="A103" s="1924"/>
      <c r="D103" s="1925"/>
      <c r="K103" s="736"/>
      <c r="L103" s="736"/>
    </row>
    <row r="104" spans="1:12" s="900" customFormat="1">
      <c r="A104" s="1924"/>
      <c r="D104" s="1925"/>
      <c r="K104" s="736"/>
      <c r="L104" s="736"/>
    </row>
    <row r="105" spans="1:12" s="900" customFormat="1">
      <c r="A105" s="1924"/>
      <c r="D105" s="1925"/>
      <c r="K105" s="736"/>
      <c r="L105" s="736"/>
    </row>
    <row r="106" spans="1:12" s="900" customFormat="1">
      <c r="A106" s="1924"/>
      <c r="D106" s="1925"/>
      <c r="K106" s="736"/>
      <c r="L106" s="736"/>
    </row>
    <row r="107" spans="1:12" s="900" customFormat="1">
      <c r="A107" s="1924"/>
      <c r="D107" s="1925"/>
      <c r="K107" s="736"/>
      <c r="L107" s="736"/>
    </row>
    <row r="108" spans="1:12" s="900" customFormat="1">
      <c r="A108" s="1924"/>
      <c r="D108" s="1925"/>
      <c r="K108" s="736"/>
      <c r="L108" s="736"/>
    </row>
    <row r="109" spans="1:12" s="900" customFormat="1">
      <c r="A109" s="1924"/>
      <c r="D109" s="1925"/>
      <c r="K109" s="736"/>
      <c r="L109" s="736"/>
    </row>
    <row r="110" spans="1:12" s="900" customFormat="1">
      <c r="A110" s="1924"/>
      <c r="D110" s="1925"/>
      <c r="K110" s="736"/>
      <c r="L110" s="736"/>
    </row>
    <row r="111" spans="1:12" s="900" customFormat="1">
      <c r="A111" s="1924"/>
      <c r="D111" s="1925"/>
      <c r="K111" s="736"/>
      <c r="L111" s="736"/>
    </row>
    <row r="112" spans="1:12" s="900" customFormat="1">
      <c r="A112" s="1924"/>
      <c r="D112" s="1925"/>
      <c r="K112" s="736"/>
      <c r="L112" s="736"/>
    </row>
    <row r="113" spans="1:12" s="900" customFormat="1">
      <c r="A113" s="1924"/>
      <c r="D113" s="1925"/>
      <c r="K113" s="736"/>
      <c r="L113" s="736"/>
    </row>
    <row r="114" spans="1:12" s="900" customFormat="1">
      <c r="A114" s="1924"/>
      <c r="D114" s="1925"/>
      <c r="K114" s="736"/>
      <c r="L114" s="736"/>
    </row>
    <row r="115" spans="1:12" s="900" customFormat="1">
      <c r="A115" s="1924"/>
      <c r="D115" s="1925"/>
      <c r="K115" s="736"/>
      <c r="L115" s="736"/>
    </row>
    <row r="116" spans="1:12" s="900" customFormat="1">
      <c r="A116" s="1924"/>
      <c r="D116" s="1925"/>
      <c r="K116" s="736"/>
      <c r="L116" s="736"/>
    </row>
    <row r="117" spans="1:12" s="900" customFormat="1">
      <c r="A117" s="1924"/>
      <c r="D117" s="1925"/>
      <c r="K117" s="736"/>
      <c r="L117" s="736"/>
    </row>
    <row r="118" spans="1:12" s="900" customFormat="1">
      <c r="A118" s="1924"/>
      <c r="D118" s="1925"/>
      <c r="K118" s="736"/>
      <c r="L118" s="736"/>
    </row>
    <row r="119" spans="1:12" s="900" customFormat="1">
      <c r="A119" s="1924"/>
      <c r="D119" s="1925"/>
      <c r="K119" s="736"/>
      <c r="L119" s="736"/>
    </row>
    <row r="120" spans="1:12" s="900" customFormat="1">
      <c r="A120" s="1924"/>
      <c r="D120" s="1925"/>
      <c r="K120" s="736"/>
      <c r="L120" s="736"/>
    </row>
    <row r="121" spans="1:12" s="900" customFormat="1">
      <c r="A121" s="1924"/>
      <c r="D121" s="1925"/>
      <c r="K121" s="736"/>
      <c r="L121" s="736"/>
    </row>
    <row r="122" spans="1:12" s="900" customFormat="1">
      <c r="A122" s="1924"/>
      <c r="D122" s="1925"/>
      <c r="K122" s="736"/>
      <c r="L122" s="736"/>
    </row>
    <row r="123" spans="1:12" s="900" customFormat="1">
      <c r="A123" s="1924"/>
      <c r="D123" s="1925"/>
      <c r="K123" s="736"/>
      <c r="L123" s="736"/>
    </row>
    <row r="124" spans="1:12" s="900" customFormat="1">
      <c r="A124" s="1924"/>
      <c r="D124" s="1925"/>
      <c r="K124" s="736"/>
      <c r="L124" s="736"/>
    </row>
    <row r="125" spans="1:12" s="900" customFormat="1">
      <c r="A125" s="1924"/>
      <c r="D125" s="1925"/>
      <c r="K125" s="736"/>
      <c r="L125" s="736"/>
    </row>
    <row r="126" spans="1:12" s="900" customFormat="1">
      <c r="A126" s="1924"/>
      <c r="D126" s="1925"/>
      <c r="K126" s="736"/>
      <c r="L126" s="736"/>
    </row>
    <row r="127" spans="1:12" s="900" customFormat="1">
      <c r="A127" s="1924"/>
      <c r="D127" s="1925"/>
      <c r="K127" s="736"/>
      <c r="L127" s="736"/>
    </row>
    <row r="128" spans="1:12" s="900" customFormat="1">
      <c r="A128" s="1924"/>
      <c r="D128" s="1925"/>
      <c r="K128" s="736"/>
      <c r="L128" s="736"/>
    </row>
    <row r="129" spans="1:12" s="900" customFormat="1">
      <c r="A129" s="1924"/>
      <c r="D129" s="1925"/>
      <c r="K129" s="736"/>
      <c r="L129" s="736"/>
    </row>
    <row r="130" spans="1:12" s="900" customFormat="1">
      <c r="A130" s="1924"/>
      <c r="D130" s="1925"/>
      <c r="K130" s="736"/>
      <c r="L130" s="736"/>
    </row>
    <row r="131" spans="1:12" s="900" customFormat="1">
      <c r="A131" s="1924"/>
      <c r="D131" s="1925"/>
      <c r="K131" s="736"/>
      <c r="L131" s="736"/>
    </row>
    <row r="132" spans="1:12" s="900" customFormat="1">
      <c r="A132" s="1924"/>
      <c r="D132" s="1925"/>
      <c r="K132" s="736"/>
      <c r="L132" s="736"/>
    </row>
    <row r="133" spans="1:12" s="900" customFormat="1">
      <c r="A133" s="1924"/>
      <c r="D133" s="1925"/>
      <c r="K133" s="736"/>
      <c r="L133" s="736"/>
    </row>
    <row r="134" spans="1:12" s="1864" customFormat="1">
      <c r="A134" s="1926"/>
      <c r="D134" s="1927"/>
      <c r="K134" s="26"/>
      <c r="L134" s="26"/>
    </row>
    <row r="135" spans="1:12" s="1864" customFormat="1">
      <c r="A135" s="1926"/>
      <c r="D135" s="1927"/>
      <c r="K135" s="26"/>
      <c r="L135" s="26"/>
    </row>
    <row r="136" spans="1:12" s="1864" customFormat="1">
      <c r="A136" s="1926"/>
      <c r="D136" s="1927"/>
      <c r="K136" s="26"/>
      <c r="L136" s="26"/>
    </row>
    <row r="137" spans="1:12" s="1864" customFormat="1">
      <c r="A137" s="1926"/>
      <c r="D137" s="1927"/>
      <c r="K137" s="26"/>
      <c r="L137" s="26"/>
    </row>
    <row r="138" spans="1:12" s="1864" customFormat="1">
      <c r="A138" s="1926"/>
      <c r="D138" s="1927"/>
      <c r="K138" s="26"/>
      <c r="L138" s="26"/>
    </row>
    <row r="139" spans="1:12" s="1864" customFormat="1">
      <c r="A139" s="1926"/>
      <c r="D139" s="1927"/>
      <c r="K139" s="26"/>
      <c r="L139" s="26"/>
    </row>
    <row r="140" spans="1:12" s="1864" customFormat="1">
      <c r="A140" s="1926"/>
      <c r="D140" s="1927"/>
      <c r="K140" s="26"/>
      <c r="L140" s="26"/>
    </row>
    <row r="141" spans="1:12" s="1864" customFormat="1">
      <c r="A141" s="1926"/>
      <c r="D141" s="1927"/>
      <c r="K141" s="26"/>
      <c r="L141" s="26"/>
    </row>
    <row r="142" spans="1:12" s="1864" customFormat="1">
      <c r="A142" s="1926"/>
      <c r="D142" s="1927"/>
      <c r="K142" s="26"/>
      <c r="L142" s="26"/>
    </row>
    <row r="143" spans="1:12" s="1864" customFormat="1">
      <c r="A143" s="1926"/>
      <c r="D143" s="1927"/>
      <c r="K143" s="26"/>
      <c r="L143" s="26"/>
    </row>
    <row r="144" spans="1:12" s="1864" customFormat="1">
      <c r="A144" s="1926"/>
      <c r="D144" s="1927"/>
      <c r="K144" s="26"/>
      <c r="L144" s="26"/>
    </row>
    <row r="145" spans="1:12" s="1864" customFormat="1">
      <c r="A145" s="1926"/>
      <c r="D145" s="1927"/>
      <c r="K145" s="26"/>
      <c r="L145" s="26"/>
    </row>
    <row r="146" spans="1:12" s="1864" customFormat="1">
      <c r="A146" s="1926"/>
      <c r="D146" s="1927"/>
      <c r="K146" s="26"/>
      <c r="L146" s="26"/>
    </row>
    <row r="147" spans="1:12" s="1864" customFormat="1">
      <c r="A147" s="1926"/>
      <c r="D147" s="1927"/>
      <c r="K147" s="26"/>
      <c r="L147" s="26"/>
    </row>
    <row r="148" spans="1:12" s="1864" customFormat="1">
      <c r="A148" s="1926"/>
      <c r="D148" s="1927"/>
      <c r="K148" s="26"/>
      <c r="L148" s="26"/>
    </row>
    <row r="149" spans="1:12" s="1864" customFormat="1">
      <c r="A149" s="1926"/>
      <c r="D149" s="1927"/>
      <c r="K149" s="26"/>
      <c r="L149" s="26"/>
    </row>
    <row r="150" spans="1:12" s="1864" customFormat="1">
      <c r="A150" s="1926"/>
      <c r="D150" s="1927"/>
      <c r="K150" s="26"/>
      <c r="L150" s="26"/>
    </row>
    <row r="151" spans="1:12" s="1864" customFormat="1">
      <c r="A151" s="1926"/>
      <c r="D151" s="1927"/>
      <c r="K151" s="26"/>
      <c r="L151" s="26"/>
    </row>
    <row r="152" spans="1:12" s="1864" customFormat="1">
      <c r="A152" s="1926"/>
      <c r="D152" s="1927"/>
      <c r="K152" s="26"/>
      <c r="L152" s="26"/>
    </row>
    <row r="153" spans="1:12" s="1864" customFormat="1">
      <c r="A153" s="1926"/>
      <c r="D153" s="1927"/>
      <c r="K153" s="26"/>
      <c r="L153" s="26"/>
    </row>
    <row r="154" spans="1:12" s="1864" customFormat="1">
      <c r="A154" s="1926"/>
      <c r="D154" s="1927"/>
      <c r="K154" s="26"/>
      <c r="L154" s="26"/>
    </row>
    <row r="155" spans="1:12" s="1864" customFormat="1">
      <c r="A155" s="1926"/>
      <c r="D155" s="1927"/>
      <c r="K155" s="26"/>
      <c r="L155" s="26"/>
    </row>
    <row r="156" spans="1:12" s="1864" customFormat="1">
      <c r="A156" s="1926"/>
      <c r="D156" s="1927"/>
      <c r="K156" s="26"/>
      <c r="L156" s="26"/>
    </row>
    <row r="157" spans="1:12" s="1864" customFormat="1">
      <c r="A157" s="1926"/>
      <c r="D157" s="1927"/>
      <c r="K157" s="26"/>
      <c r="L157" s="26"/>
    </row>
    <row r="158" spans="1:12" s="1864" customFormat="1">
      <c r="A158" s="1926"/>
      <c r="D158" s="1927"/>
      <c r="K158" s="26"/>
      <c r="L158" s="26"/>
    </row>
    <row r="159" spans="1:12" s="1864" customFormat="1">
      <c r="A159" s="1926"/>
      <c r="D159" s="1927"/>
      <c r="K159" s="26"/>
      <c r="L159" s="26"/>
    </row>
    <row r="160" spans="1:12" s="1864" customFormat="1">
      <c r="A160" s="1926"/>
      <c r="D160" s="1927"/>
      <c r="K160" s="26"/>
      <c r="L160" s="26"/>
    </row>
    <row r="161" spans="1:12" s="1864" customFormat="1">
      <c r="A161" s="1926"/>
      <c r="D161" s="1927"/>
      <c r="K161" s="26"/>
      <c r="L161" s="26"/>
    </row>
    <row r="162" spans="1:12" s="1864" customFormat="1">
      <c r="A162" s="1926"/>
      <c r="D162" s="1927"/>
      <c r="K162" s="26"/>
      <c r="L162" s="26"/>
    </row>
    <row r="163" spans="1:12" s="1864" customFormat="1">
      <c r="A163" s="1926"/>
      <c r="D163" s="1927"/>
      <c r="K163" s="26"/>
      <c r="L163" s="26"/>
    </row>
    <row r="164" spans="1:12" s="1864" customFormat="1">
      <c r="A164" s="1926"/>
      <c r="D164" s="1927"/>
      <c r="K164" s="26"/>
      <c r="L164" s="26"/>
    </row>
    <row r="165" spans="1:12" s="1864" customFormat="1">
      <c r="A165" s="1926"/>
      <c r="D165" s="1927"/>
      <c r="K165" s="26"/>
      <c r="L165" s="26"/>
    </row>
    <row r="166" spans="1:12" s="1864" customFormat="1">
      <c r="A166" s="1926"/>
      <c r="D166" s="1927"/>
      <c r="K166" s="26"/>
      <c r="L166" s="26"/>
    </row>
    <row r="167" spans="1:12" s="1864" customFormat="1">
      <c r="A167" s="1926"/>
      <c r="D167" s="1927"/>
      <c r="K167" s="26"/>
      <c r="L167" s="26"/>
    </row>
    <row r="168" spans="1:12" s="1864" customFormat="1">
      <c r="A168" s="1926"/>
      <c r="D168" s="1927"/>
      <c r="K168" s="26"/>
      <c r="L168" s="26"/>
    </row>
    <row r="169" spans="1:12" s="1864" customFormat="1">
      <c r="A169" s="1926"/>
      <c r="D169" s="1927"/>
      <c r="K169" s="26"/>
      <c r="L169" s="26"/>
    </row>
    <row r="170" spans="1:12" s="1864" customFormat="1">
      <c r="A170" s="1926"/>
      <c r="D170" s="1927"/>
      <c r="K170" s="26"/>
      <c r="L170" s="26"/>
    </row>
    <row r="171" spans="1:12" s="1864" customFormat="1">
      <c r="A171" s="1926"/>
      <c r="D171" s="1927"/>
      <c r="K171" s="26"/>
      <c r="L171" s="26"/>
    </row>
    <row r="172" spans="1:12" s="1864" customFormat="1">
      <c r="A172" s="1926"/>
      <c r="D172" s="1927"/>
      <c r="K172" s="26"/>
      <c r="L172" s="26"/>
    </row>
    <row r="173" spans="1:12" s="1864" customFormat="1">
      <c r="A173" s="1926"/>
      <c r="D173" s="1927"/>
      <c r="K173" s="26"/>
      <c r="L173" s="26"/>
    </row>
    <row r="174" spans="1:12" s="1864" customFormat="1">
      <c r="A174" s="1926"/>
      <c r="D174" s="1927"/>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1869" customWidth="1"/>
    <col min="2" max="2" width="24.5" style="1755" customWidth="1"/>
    <col min="3" max="3" width="24.5" style="2730" customWidth="1"/>
    <col min="4" max="4" width="2.625" style="2730" customWidth="1"/>
    <col min="5" max="5" width="5.875" style="2730" customWidth="1"/>
    <col min="6" max="6" width="27" style="1755"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69"/>
  </cols>
  <sheetData>
    <row r="1" spans="1:29" s="2680" customFormat="1" ht="18.75" thickBot="1">
      <c r="A1" s="3368" t="s">
        <v>3026</v>
      </c>
      <c r="B1" s="3369"/>
      <c r="C1" s="3369"/>
      <c r="D1" s="3369"/>
      <c r="E1" s="3369"/>
      <c r="F1" s="3369"/>
      <c r="G1" s="336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6"/>
      <c r="I2" s="906"/>
      <c r="J2" s="906"/>
      <c r="K2" s="906"/>
      <c r="L2" s="906"/>
      <c r="M2" s="906"/>
      <c r="N2" s="906"/>
      <c r="O2" s="906"/>
      <c r="P2" s="906"/>
      <c r="Q2" s="906"/>
      <c r="R2" s="906"/>
    </row>
    <row r="3" spans="1:29" ht="25.5">
      <c r="A3" s="2664" t="s">
        <v>3024</v>
      </c>
      <c r="B3" s="2686" t="s">
        <v>2996</v>
      </c>
      <c r="C3" s="3127" t="s">
        <v>4198</v>
      </c>
      <c r="D3" s="2687"/>
      <c r="E3" s="2665" t="s">
        <v>3024</v>
      </c>
      <c r="F3" s="2688" t="s">
        <v>2997</v>
      </c>
      <c r="G3" s="2689" t="s">
        <v>3025</v>
      </c>
      <c r="H3" s="906"/>
      <c r="I3" s="906"/>
      <c r="J3" s="906"/>
      <c r="K3" s="906"/>
      <c r="L3" s="906"/>
      <c r="M3" s="906"/>
      <c r="N3" s="906"/>
      <c r="O3" s="906"/>
      <c r="P3" s="906"/>
      <c r="Q3" s="906"/>
      <c r="R3" s="906"/>
    </row>
    <row r="4" spans="1:29" ht="36">
      <c r="A4" s="2665"/>
      <c r="B4" s="328" t="s">
        <v>2998</v>
      </c>
      <c r="C4" s="3128" t="s">
        <v>4199</v>
      </c>
      <c r="D4" s="2687"/>
      <c r="E4" s="2690"/>
      <c r="F4" s="1555" t="s">
        <v>2999</v>
      </c>
      <c r="G4" s="2691" t="s">
        <v>3000</v>
      </c>
      <c r="H4" s="906"/>
      <c r="I4" s="906"/>
      <c r="J4" s="906"/>
      <c r="K4" s="906"/>
      <c r="L4" s="906"/>
      <c r="M4" s="906"/>
      <c r="N4" s="906"/>
      <c r="O4" s="906"/>
      <c r="P4" s="906"/>
      <c r="Q4" s="906"/>
      <c r="R4" s="906"/>
    </row>
    <row r="5" spans="1:29" ht="24">
      <c r="A5" s="2665"/>
      <c r="B5" s="328" t="s">
        <v>3001</v>
      </c>
      <c r="C5" s="3128"/>
      <c r="D5" s="2687"/>
      <c r="E5" s="2690"/>
      <c r="F5" s="328" t="s">
        <v>3002</v>
      </c>
      <c r="G5" s="2691" t="s">
        <v>3003</v>
      </c>
      <c r="H5" s="906"/>
      <c r="I5" s="906"/>
      <c r="J5" s="906"/>
      <c r="K5" s="906"/>
      <c r="L5" s="906"/>
      <c r="M5" s="906"/>
      <c r="N5" s="906"/>
      <c r="O5" s="906"/>
      <c r="P5" s="906"/>
      <c r="Q5" s="906"/>
      <c r="R5" s="906"/>
    </row>
    <row r="6" spans="1:29">
      <c r="A6" s="2665"/>
      <c r="B6" s="328" t="s">
        <v>3004</v>
      </c>
      <c r="C6" s="3128" t="s">
        <v>4198</v>
      </c>
      <c r="D6" s="2687"/>
      <c r="E6" s="2690"/>
      <c r="F6" s="328" t="s">
        <v>3005</v>
      </c>
      <c r="G6" s="2691" t="s">
        <v>3006</v>
      </c>
      <c r="H6" s="906"/>
      <c r="I6" s="906"/>
      <c r="J6" s="906"/>
      <c r="K6" s="906"/>
      <c r="L6" s="906"/>
      <c r="M6" s="906"/>
      <c r="N6" s="906"/>
      <c r="O6" s="906"/>
      <c r="P6" s="906"/>
      <c r="Q6" s="906"/>
      <c r="R6" s="906"/>
    </row>
    <row r="7" spans="1:29" ht="24.75" thickBot="1">
      <c r="A7" s="2665"/>
      <c r="B7" s="328" t="s">
        <v>3002</v>
      </c>
      <c r="C7" s="3128" t="s">
        <v>4198</v>
      </c>
      <c r="D7" s="2692"/>
      <c r="E7" s="2693"/>
      <c r="F7" s="2694" t="s">
        <v>3007</v>
      </c>
      <c r="G7" s="2695" t="s">
        <v>3008</v>
      </c>
      <c r="H7" s="906"/>
      <c r="I7" s="906"/>
      <c r="J7" s="906"/>
      <c r="K7" s="906"/>
      <c r="L7" s="906"/>
      <c r="M7" s="906"/>
      <c r="N7" s="906"/>
      <c r="O7" s="906"/>
      <c r="P7" s="906"/>
      <c r="Q7" s="906"/>
      <c r="R7" s="906"/>
    </row>
    <row r="8" spans="1:29">
      <c r="A8" s="2665"/>
      <c r="B8" s="328" t="s">
        <v>3005</v>
      </c>
      <c r="C8" s="3128" t="s">
        <v>4200</v>
      </c>
      <c r="D8" s="2692"/>
      <c r="E8" s="2692"/>
      <c r="F8" s="2696"/>
      <c r="G8" s="2696"/>
      <c r="H8" s="906"/>
      <c r="I8" s="906"/>
      <c r="J8" s="906"/>
      <c r="K8" s="906"/>
      <c r="L8" s="906"/>
      <c r="M8" s="906"/>
      <c r="N8" s="906"/>
      <c r="O8" s="906"/>
      <c r="P8" s="906"/>
      <c r="Q8" s="906"/>
      <c r="R8" s="906"/>
    </row>
    <row r="9" spans="1:29">
      <c r="A9" s="2665"/>
      <c r="B9" s="328" t="s">
        <v>3009</v>
      </c>
      <c r="C9" s="3128" t="s">
        <v>4198</v>
      </c>
      <c r="D9" s="2687"/>
      <c r="E9" s="2692"/>
      <c r="F9" s="2696"/>
      <c r="G9" s="2696"/>
      <c r="H9" s="906"/>
      <c r="I9" s="906"/>
      <c r="J9" s="906"/>
      <c r="K9" s="906"/>
      <c r="L9" s="906"/>
      <c r="M9" s="906"/>
      <c r="N9" s="906"/>
      <c r="O9" s="906"/>
      <c r="P9" s="906"/>
      <c r="Q9" s="906"/>
      <c r="R9" s="906"/>
    </row>
    <row r="10" spans="1:29" s="2701" customFormat="1" ht="15" thickBot="1">
      <c r="A10" s="2666"/>
      <c r="B10" s="2697" t="s">
        <v>3010</v>
      </c>
      <c r="C10" s="3129" t="s">
        <v>4201</v>
      </c>
      <c r="D10" s="2687"/>
      <c r="E10" s="2687"/>
      <c r="F10" s="2696"/>
      <c r="G10" s="2696"/>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2"/>
      <c r="C11" s="2687"/>
      <c r="D11" s="2687"/>
      <c r="E11" s="2687"/>
      <c r="F11" s="2692"/>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80" customFormat="1" ht="18">
      <c r="A12" s="2702"/>
      <c r="B12" s="2692"/>
      <c r="C12" s="2687"/>
      <c r="D12" s="2704"/>
      <c r="E12" s="2687"/>
      <c r="F12" s="2692"/>
      <c r="G12" s="2703"/>
      <c r="H12" s="2705"/>
      <c r="I12" s="2706"/>
      <c r="J12" s="2705"/>
      <c r="K12" s="2705"/>
      <c r="L12" s="2707"/>
      <c r="M12" s="2705"/>
      <c r="N12" s="2708"/>
      <c r="O12" s="2709"/>
      <c r="P12" s="2708"/>
      <c r="Q12" s="2708"/>
      <c r="R12" s="2678"/>
      <c r="S12" s="2679"/>
      <c r="T12" s="2679"/>
      <c r="U12" s="2679"/>
      <c r="V12" s="2679"/>
      <c r="W12" s="2679"/>
      <c r="X12" s="2679"/>
      <c r="Y12" s="2679"/>
      <c r="Z12" s="2679"/>
      <c r="AA12" s="2679"/>
      <c r="AB12" s="2679"/>
      <c r="AC12" s="2679"/>
    </row>
    <row r="13" spans="1:29" ht="15.75" thickBot="1">
      <c r="A13" s="2710" t="s">
        <v>3027</v>
      </c>
      <c r="B13" s="2704"/>
      <c r="C13" s="2704"/>
      <c r="D13" s="2702"/>
      <c r="E13" s="2704"/>
      <c r="F13" s="2704"/>
      <c r="G13" s="2704"/>
    </row>
    <row r="14" spans="1:29" ht="15" thickBot="1">
      <c r="A14" s="2714"/>
      <c r="B14" s="2714"/>
      <c r="C14" s="2715" t="s">
        <v>3011</v>
      </c>
      <c r="D14" s="2687"/>
      <c r="E14" s="2716"/>
      <c r="F14" s="2716"/>
      <c r="G14" s="2683" t="s">
        <v>3012</v>
      </c>
    </row>
    <row r="15" spans="1:29" ht="25.5">
      <c r="A15" s="2667" t="s">
        <v>3013</v>
      </c>
      <c r="B15" s="2717" t="s">
        <v>2996</v>
      </c>
      <c r="C15" s="2718" t="str">
        <f>C3</f>
        <v>一般</v>
      </c>
      <c r="D15" s="2687"/>
      <c r="E15" s="2668" t="s">
        <v>3014</v>
      </c>
      <c r="F15" s="2717" t="s">
        <v>3015</v>
      </c>
      <c r="G15" s="2719" t="str">
        <f>G3</f>
        <v>估价对象位于XX开发区，园区建设成熟度XX，产业集聚程度XX</v>
      </c>
    </row>
    <row r="16" spans="1:29" ht="38.25">
      <c r="A16" s="2669"/>
      <c r="B16" s="2720" t="s">
        <v>2998</v>
      </c>
      <c r="C16" s="2721" t="str">
        <f>C4</f>
        <v>较差</v>
      </c>
      <c r="D16" s="2687"/>
      <c r="E16" s="2670"/>
      <c r="F16" s="2722" t="s">
        <v>2999</v>
      </c>
      <c r="G16" s="2723" t="str">
        <f>G4</f>
        <v>估价对象周边道路状况、公共交通通达情况、停车便捷程度，综合评价交通便捷度较好</v>
      </c>
    </row>
    <row r="17" spans="1:18">
      <c r="A17" s="2669"/>
      <c r="B17" s="2720" t="s">
        <v>3001</v>
      </c>
      <c r="C17" s="2721">
        <f>C5</f>
        <v>0</v>
      </c>
      <c r="D17" s="2692"/>
      <c r="E17" s="2670"/>
      <c r="F17" s="2722" t="s">
        <v>3016</v>
      </c>
      <c r="G17" s="2724"/>
    </row>
    <row r="18" spans="1:18" ht="25.5">
      <c r="A18" s="2669"/>
      <c r="B18" s="2722" t="s">
        <v>3004</v>
      </c>
      <c r="C18" s="2723" t="str">
        <f>C6</f>
        <v>一般</v>
      </c>
      <c r="D18" s="2692"/>
      <c r="E18" s="2670"/>
      <c r="F18" s="2722" t="s">
        <v>3007</v>
      </c>
      <c r="G18" s="2723" t="str">
        <f>G7</f>
        <v>该园区内是否有污染型企业，绿化情况，卫生条件，整体环境状况判断</v>
      </c>
    </row>
    <row r="19" spans="1:18" ht="25.5">
      <c r="A19" s="2669"/>
      <c r="B19" s="2722" t="s">
        <v>3017</v>
      </c>
      <c r="C19" s="2724"/>
      <c r="D19" s="2687"/>
      <c r="E19" s="2670"/>
      <c r="F19" s="328" t="s">
        <v>3002</v>
      </c>
      <c r="G19" s="2723" t="str">
        <f>G5</f>
        <v>估价对象所在区域公共配套设施齐备情况</v>
      </c>
    </row>
    <row r="20" spans="1:18">
      <c r="A20" s="2669"/>
      <c r="B20" s="2722" t="s">
        <v>3018</v>
      </c>
      <c r="C20" s="2721" t="str">
        <f>C9</f>
        <v>一般</v>
      </c>
      <c r="D20" s="2692"/>
      <c r="E20" s="2670"/>
      <c r="F20" s="328" t="s">
        <v>3005</v>
      </c>
      <c r="G20" s="2723" t="str">
        <f>G6</f>
        <v>估价对象所在区域基础设施水平</v>
      </c>
    </row>
    <row r="21" spans="1:18">
      <c r="A21" s="2669"/>
      <c r="B21" s="328" t="s">
        <v>3002</v>
      </c>
      <c r="C21" s="2723" t="str">
        <f>C7</f>
        <v>一般</v>
      </c>
      <c r="D21" s="2687"/>
      <c r="E21" s="2670"/>
      <c r="F21" s="2722" t="s">
        <v>3019</v>
      </c>
      <c r="G21" s="2725"/>
    </row>
    <row r="22" spans="1:18" ht="13.5" customHeight="1">
      <c r="A22" s="2669"/>
      <c r="B22" s="328" t="s">
        <v>3005</v>
      </c>
      <c r="C22" s="2723" t="str">
        <f>C8</f>
        <v>七通</v>
      </c>
      <c r="D22" s="2687"/>
      <c r="E22" s="2670"/>
      <c r="F22" s="2722" t="s">
        <v>3010</v>
      </c>
      <c r="G22" s="2724"/>
    </row>
    <row r="23" spans="1:18" s="906" customFormat="1" ht="15" thickBot="1">
      <c r="A23" s="2669"/>
      <c r="B23" s="2722" t="s">
        <v>3019</v>
      </c>
      <c r="C23" s="2725"/>
      <c r="D23" s="1924"/>
      <c r="E23" s="2671"/>
      <c r="F23" s="2726" t="s">
        <v>3020</v>
      </c>
      <c r="G23" s="2727"/>
      <c r="H23" s="2711"/>
      <c r="I23" s="2712"/>
      <c r="J23" s="2711"/>
      <c r="K23" s="2711"/>
      <c r="L23" s="2712"/>
      <c r="M23" s="2711"/>
      <c r="N23" s="2711"/>
      <c r="O23" s="2712"/>
      <c r="P23" s="2711"/>
      <c r="Q23" s="2711"/>
      <c r="R23" s="2713"/>
    </row>
    <row r="24" spans="1:18" s="906" customFormat="1" ht="15" thickBot="1">
      <c r="A24" s="2672"/>
      <c r="B24" s="2726" t="s">
        <v>3021</v>
      </c>
      <c r="C24" s="2728" t="str">
        <f>C10</f>
        <v>支路</v>
      </c>
      <c r="D24" s="1924"/>
      <c r="E24" s="2662"/>
      <c r="F24" s="2662"/>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7" t="str">
        <f>项目基本情况!B1</f>
        <v>北京市0331地块部分现房房地产抵押价值预评估</v>
      </c>
      <c r="C37" s="3237"/>
      <c r="D37" s="3237"/>
      <c r="E37" s="3237"/>
      <c r="F37" s="3237"/>
      <c r="G37" s="3237"/>
      <c r="H37" s="3237"/>
      <c r="I37" s="3237"/>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31"/>
  <sheetViews>
    <sheetView tabSelected="1" view="pageBreakPreview" zoomScale="80" zoomScaleNormal="80" zoomScaleSheetLayoutView="80" workbookViewId="0">
      <selection activeCell="B5" sqref="B5"/>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 ca="1">SUM(B14:B23)</f>
        <v>183784.49000000005</v>
      </c>
      <c r="C1" s="2908"/>
      <c r="D1" s="2908"/>
      <c r="E1" s="2908"/>
      <c r="F1" s="2908"/>
      <c r="G1" s="2909"/>
      <c r="H1" s="2910"/>
      <c r="I1" s="2910"/>
      <c r="J1" s="2910"/>
      <c r="K1" s="2910"/>
    </row>
    <row r="2" spans="1:11" ht="16.5">
      <c r="A2" s="2732" t="s">
        <v>1319</v>
      </c>
      <c r="B2" s="2732">
        <f>SUM(C14:C23)</f>
        <v>66797.2</v>
      </c>
      <c r="C2" s="2908"/>
      <c r="D2" s="2908"/>
      <c r="E2" s="2908"/>
      <c r="F2" s="2908"/>
      <c r="G2" s="2909"/>
      <c r="H2" s="2910"/>
      <c r="I2" s="2910"/>
      <c r="J2" s="2910"/>
      <c r="K2" s="2910"/>
    </row>
    <row r="3" spans="1:11" ht="16.5">
      <c r="A3" s="2732" t="s">
        <v>1328</v>
      </c>
      <c r="B3" s="2734">
        <f>项目基本情况!D3</f>
        <v>44495</v>
      </c>
      <c r="C3" s="2908"/>
      <c r="D3" s="2908"/>
      <c r="E3" s="2908"/>
      <c r="F3" s="2908"/>
      <c r="G3" s="2909"/>
      <c r="H3" s="2910"/>
      <c r="I3" s="2910"/>
      <c r="J3" s="2910"/>
      <c r="K3" s="2910"/>
    </row>
    <row r="4" spans="1:11" ht="33">
      <c r="A4" s="2732" t="s">
        <v>1327</v>
      </c>
      <c r="B4" s="2732" t="s">
        <v>1326</v>
      </c>
      <c r="C4" s="2732" t="s">
        <v>1325</v>
      </c>
      <c r="D4" s="2732" t="s">
        <v>1324</v>
      </c>
      <c r="E4" s="2908"/>
      <c r="F4" s="2909"/>
      <c r="G4" s="2909"/>
      <c r="H4" s="2910"/>
      <c r="I4" s="2910"/>
      <c r="J4" s="2910"/>
      <c r="K4" s="2910"/>
    </row>
    <row r="5" spans="1:11" ht="16.5">
      <c r="A5" s="2732" t="s">
        <v>1323</v>
      </c>
      <c r="B5" s="2732">
        <f ca="1">SUM(D14:D23)</f>
        <v>447872</v>
      </c>
      <c r="C5" s="2732">
        <f ca="1">ROUND(B5*10000/$B$1,0)</f>
        <v>24369</v>
      </c>
      <c r="D5" s="2732">
        <f ca="1">ROUND(B5*10000/$B$2,0)</f>
        <v>67050</v>
      </c>
      <c r="E5" s="2908"/>
      <c r="F5" s="2909"/>
      <c r="G5" s="2909"/>
      <c r="H5" s="2910"/>
      <c r="I5" s="2910"/>
      <c r="J5" s="2910"/>
      <c r="K5" s="2910"/>
    </row>
    <row r="6" spans="1:11" ht="16.5">
      <c r="A6" s="2732" t="s">
        <v>1322</v>
      </c>
      <c r="B6" s="2732">
        <f ca="1">SUM(G14:G23)</f>
        <v>447872</v>
      </c>
      <c r="C6" s="2732">
        <f ca="1">ROUND(B6*10000/$B$1,0)</f>
        <v>24369</v>
      </c>
      <c r="D6" s="2732">
        <f ca="1">ROUND(B6*10000/$B$2,0)</f>
        <v>67050</v>
      </c>
      <c r="E6" s="2908"/>
      <c r="F6" s="2909"/>
      <c r="G6" s="2909"/>
      <c r="H6" s="2910"/>
      <c r="I6" s="2910"/>
      <c r="J6" s="2910"/>
      <c r="K6" s="2910"/>
    </row>
    <row r="7" spans="1:11" ht="16.5">
      <c r="A7" s="2732" t="s">
        <v>1330</v>
      </c>
      <c r="B7" s="2732">
        <f>SUM(H14:H23)</f>
        <v>0</v>
      </c>
      <c r="C7" s="2732">
        <f ca="1">ROUND(B7*10000/$B$1,0)</f>
        <v>0</v>
      </c>
      <c r="D7" s="2732">
        <f>ROUND(B7*10000/$B$2,0)</f>
        <v>0</v>
      </c>
      <c r="E7" s="2908"/>
      <c r="F7" s="2909"/>
      <c r="G7" s="2909"/>
      <c r="H7" s="2910"/>
      <c r="I7" s="2910"/>
      <c r="J7" s="2910"/>
      <c r="K7" s="2910"/>
    </row>
    <row r="8" spans="1:11" ht="16.5">
      <c r="A8" s="2732" t="s">
        <v>1252</v>
      </c>
      <c r="B8" s="2732">
        <f>SUM(I14:I23)</f>
        <v>0</v>
      </c>
      <c r="C8" s="2732">
        <f ca="1">ROUND(B8*10000/$B$1,0)</f>
        <v>0</v>
      </c>
      <c r="D8" s="2732">
        <f>ROUND(B8*10000/$B$2,0)</f>
        <v>0</v>
      </c>
      <c r="E8" s="2908"/>
      <c r="F8" s="2909"/>
      <c r="G8" s="2909"/>
      <c r="H8" s="2910"/>
      <c r="I8" s="2910"/>
      <c r="J8" s="2910"/>
      <c r="K8" s="2910"/>
    </row>
    <row r="9" spans="1:11" ht="16.5">
      <c r="A9" s="2732" t="s">
        <v>1321</v>
      </c>
      <c r="B9" s="2740"/>
      <c r="C9" s="2908"/>
      <c r="D9" s="2908"/>
      <c r="E9" s="2908"/>
      <c r="F9" s="2909"/>
      <c r="G9" s="2909"/>
      <c r="H9" s="2910"/>
      <c r="I9" s="2910"/>
      <c r="J9" s="2910"/>
      <c r="K9" s="2910"/>
    </row>
    <row r="10" spans="1:11" ht="16.5">
      <c r="A10" s="2732" t="s">
        <v>1320</v>
      </c>
      <c r="B10" s="2740"/>
      <c r="C10" s="2908"/>
      <c r="D10" s="2908"/>
      <c r="E10" s="2908"/>
      <c r="F10" s="2909"/>
      <c r="G10" s="2909"/>
      <c r="H10" s="2910"/>
      <c r="I10" s="2910"/>
      <c r="J10" s="2910"/>
      <c r="K10" s="2910"/>
    </row>
    <row r="11" spans="1:11" ht="16.5">
      <c r="A11" s="2732" t="s">
        <v>1336</v>
      </c>
      <c r="B11" s="2740"/>
      <c r="C11" s="2908"/>
      <c r="D11" s="2908"/>
      <c r="E11" s="2908"/>
      <c r="F11" s="2909"/>
      <c r="G11" s="2909"/>
      <c r="H11" s="2910"/>
      <c r="I11" s="2910"/>
      <c r="J11" s="2910"/>
      <c r="K11" s="2910"/>
    </row>
    <row r="12" spans="1:11" ht="16.5">
      <c r="A12" s="2908"/>
      <c r="B12" s="2908"/>
      <c r="C12" s="2908"/>
      <c r="D12" s="2908"/>
      <c r="E12" s="2908"/>
      <c r="F12" s="2909"/>
      <c r="G12" s="2909"/>
      <c r="H12" s="2910"/>
      <c r="I12" s="2910"/>
      <c r="J12" s="2910"/>
      <c r="K12" s="2910"/>
    </row>
    <row r="13" spans="1:11" ht="33">
      <c r="A13" s="2735" t="s">
        <v>1335</v>
      </c>
      <c r="B13" s="2736" t="s">
        <v>1332</v>
      </c>
      <c r="C13" s="2736" t="s">
        <v>1334</v>
      </c>
      <c r="D13" s="2736" t="s">
        <v>1333</v>
      </c>
      <c r="E13" s="2732" t="s">
        <v>1325</v>
      </c>
      <c r="F13" s="2732" t="s">
        <v>1324</v>
      </c>
      <c r="G13" s="2736" t="s">
        <v>1318</v>
      </c>
      <c r="H13" s="2736" t="s">
        <v>1329</v>
      </c>
      <c r="I13" s="2736" t="s">
        <v>1317</v>
      </c>
      <c r="J13" s="2909"/>
      <c r="K13" s="2910"/>
    </row>
    <row r="14" spans="1:11" ht="16.5">
      <c r="A14" s="2737" t="s">
        <v>1316</v>
      </c>
      <c r="B14" s="2738">
        <f>结果表!B118</f>
        <v>15708.62</v>
      </c>
      <c r="C14" s="2738">
        <f>结果表!C118</f>
        <v>7866.14</v>
      </c>
      <c r="D14" s="2738">
        <f ca="1">结果表!H118</f>
        <v>85331</v>
      </c>
      <c r="E14" s="2738">
        <f ca="1">ROUND(D14*10000/B14,0)</f>
        <v>54321</v>
      </c>
      <c r="F14" s="2738">
        <f ca="1">ROUND(D14*10000/C14,0)</f>
        <v>108479</v>
      </c>
      <c r="G14" s="2738">
        <f ca="1">结果表!D122</f>
        <v>85331</v>
      </c>
      <c r="H14" s="2738" t="str">
        <f>结果表!D124</f>
        <v>——</v>
      </c>
      <c r="I14" s="2738" t="str">
        <f>结果表!D126</f>
        <v>——</v>
      </c>
      <c r="J14" s="2909"/>
      <c r="K14" s="2910"/>
    </row>
    <row r="15" spans="1:11" ht="16.5">
      <c r="A15" s="2737" t="s">
        <v>1315</v>
      </c>
      <c r="B15" s="2739">
        <f ca="1">'成本法 (地下仓储)'!D10</f>
        <v>19826.719999999998</v>
      </c>
      <c r="C15" s="2739">
        <f>'数据-汇总表'!D20</f>
        <v>9928.2900000000009</v>
      </c>
      <c r="D15" s="2739">
        <f ca="1">'结果表 (地下仓储)'!G19</f>
        <v>33014</v>
      </c>
      <c r="E15" s="2738">
        <f t="shared" ref="E15:E23" ca="1" si="0">ROUND(D15*10000/B15,0)</f>
        <v>16651</v>
      </c>
      <c r="F15" s="2738">
        <f t="shared" ref="F15:F23" ca="1" si="1">ROUND(D15*10000/C15,0)</f>
        <v>33252</v>
      </c>
      <c r="G15" s="1498">
        <f ca="1">D15</f>
        <v>33014</v>
      </c>
      <c r="H15" s="1498"/>
      <c r="I15" s="2739"/>
      <c r="J15" s="2909"/>
      <c r="K15" s="2910"/>
    </row>
    <row r="16" spans="1:11" ht="16.5">
      <c r="A16" s="2737" t="s">
        <v>1314</v>
      </c>
      <c r="B16" s="2739">
        <f ca="1">'成本法 (车位)'!D10</f>
        <v>10771.04</v>
      </c>
      <c r="C16" s="2739">
        <f>'数据-汇总表'!D21</f>
        <v>5393.63</v>
      </c>
      <c r="D16" s="2739">
        <f ca="1">'结果表 (车位)'!G19</f>
        <v>7779</v>
      </c>
      <c r="E16" s="2738">
        <f t="shared" ca="1" si="0"/>
        <v>7222</v>
      </c>
      <c r="F16" s="2738">
        <f t="shared" ca="1" si="1"/>
        <v>14423</v>
      </c>
      <c r="G16" s="1498">
        <f ca="1">D16</f>
        <v>7779</v>
      </c>
      <c r="H16" s="1498"/>
      <c r="I16" s="2739"/>
      <c r="J16" s="2910"/>
      <c r="K16" s="2910"/>
    </row>
    <row r="17" spans="1:11" ht="16.5">
      <c r="A17" s="2737" t="s">
        <v>1313</v>
      </c>
      <c r="B17" s="2739"/>
      <c r="C17" s="2739">
        <f>'数据-汇总表'!D3-SUM(C14:C16)</f>
        <v>9.9999999983992893E-3</v>
      </c>
      <c r="D17" s="2739">
        <f ca="1">面积清单整理!J590-(D14+D15+D16)</f>
        <v>6</v>
      </c>
      <c r="E17" s="2738" t="e">
        <f t="shared" ca="1" si="0"/>
        <v>#DIV/0!</v>
      </c>
      <c r="F17" s="2738">
        <f t="shared" ca="1" si="1"/>
        <v>6000000</v>
      </c>
      <c r="G17" s="1498">
        <f ca="1">D17</f>
        <v>6</v>
      </c>
      <c r="H17" s="1498"/>
      <c r="I17" s="2739"/>
      <c r="J17" s="2910"/>
      <c r="K17" s="2910"/>
    </row>
    <row r="18" spans="1:11" ht="16.5">
      <c r="A18" s="2737" t="s">
        <v>1312</v>
      </c>
      <c r="B18" s="2739">
        <f>[2]系统读取表!$B$14</f>
        <v>137478.11000000004</v>
      </c>
      <c r="C18" s="2739">
        <f>[2]系统读取表!$C$14</f>
        <v>43609.13</v>
      </c>
      <c r="D18" s="2739">
        <f ca="1">[2]系统读取表!$D$14</f>
        <v>321742</v>
      </c>
      <c r="E18" s="2738">
        <f t="shared" ca="1" si="0"/>
        <v>23403</v>
      </c>
      <c r="F18" s="2738">
        <f t="shared" ca="1" si="1"/>
        <v>73779</v>
      </c>
      <c r="G18" s="2739">
        <f ca="1">D18</f>
        <v>321742</v>
      </c>
      <c r="H18" s="2739"/>
      <c r="I18" s="2739"/>
      <c r="J18" s="2910"/>
      <c r="K18" s="2910"/>
    </row>
    <row r="19" spans="1:11" ht="16.5">
      <c r="A19" s="2737" t="s">
        <v>1311</v>
      </c>
      <c r="B19" s="2739"/>
      <c r="C19" s="2739"/>
      <c r="D19" s="2739"/>
      <c r="E19" s="2738" t="e">
        <f t="shared" si="0"/>
        <v>#DIV/0!</v>
      </c>
      <c r="F19" s="2738" t="e">
        <f t="shared" si="1"/>
        <v>#DIV/0!</v>
      </c>
      <c r="G19" s="2739"/>
      <c r="H19" s="2739"/>
      <c r="I19" s="2739"/>
      <c r="J19" s="2910"/>
      <c r="K19" s="2910"/>
    </row>
    <row r="20" spans="1:11" ht="16.5">
      <c r="A20" s="2737" t="s">
        <v>1310</v>
      </c>
      <c r="B20" s="2739"/>
      <c r="C20" s="2739"/>
      <c r="D20" s="2739"/>
      <c r="E20" s="2738" t="e">
        <f t="shared" si="0"/>
        <v>#DIV/0!</v>
      </c>
      <c r="F20" s="2738" t="e">
        <f t="shared" si="1"/>
        <v>#DIV/0!</v>
      </c>
      <c r="G20" s="2739"/>
      <c r="H20" s="2739"/>
      <c r="I20" s="2739"/>
      <c r="J20" s="2910"/>
      <c r="K20" s="2910"/>
    </row>
    <row r="21" spans="1:11" ht="16.5">
      <c r="A21" s="2737" t="s">
        <v>1309</v>
      </c>
      <c r="B21" s="2739"/>
      <c r="C21" s="2739"/>
      <c r="D21" s="2739"/>
      <c r="E21" s="2738" t="e">
        <f t="shared" si="0"/>
        <v>#DIV/0!</v>
      </c>
      <c r="F21" s="2738" t="e">
        <f t="shared" si="1"/>
        <v>#DIV/0!</v>
      </c>
      <c r="G21" s="2739"/>
      <c r="H21" s="2739"/>
      <c r="I21" s="2739"/>
      <c r="J21" s="2910"/>
      <c r="K21" s="2910"/>
    </row>
    <row r="22" spans="1:11" ht="16.5">
      <c r="A22" s="2737" t="s">
        <v>1308</v>
      </c>
      <c r="B22" s="2739"/>
      <c r="C22" s="2739"/>
      <c r="D22" s="2739"/>
      <c r="E22" s="2738" t="e">
        <f t="shared" si="0"/>
        <v>#DIV/0!</v>
      </c>
      <c r="F22" s="2738" t="e">
        <f t="shared" si="1"/>
        <v>#DIV/0!</v>
      </c>
      <c r="G22" s="2739"/>
      <c r="H22" s="2739"/>
      <c r="I22" s="2739"/>
      <c r="J22" s="2910"/>
      <c r="K22" s="2910"/>
    </row>
    <row r="23" spans="1:11" ht="16.5">
      <c r="A23" s="2737" t="s">
        <v>1307</v>
      </c>
      <c r="B23" s="2739"/>
      <c r="C23" s="2739"/>
      <c r="D23" s="2739"/>
      <c r="E23" s="2740" t="e">
        <f t="shared" si="0"/>
        <v>#DIV/0!</v>
      </c>
      <c r="F23" s="2740" t="e">
        <f t="shared" si="1"/>
        <v>#DIV/0!</v>
      </c>
      <c r="G23" s="2739"/>
      <c r="H23" s="2739"/>
      <c r="I23" s="2739"/>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row r="28" spans="1:11">
      <c r="B28" s="2733">
        <f ca="1">B16+B15+B14</f>
        <v>46306.38</v>
      </c>
      <c r="C28" s="2733">
        <f>C16+C15+C14</f>
        <v>23188.06</v>
      </c>
    </row>
    <row r="31" spans="1:11">
      <c r="B31" s="2733">
        <f ca="1">B1-222200.11</f>
        <v>-38415.619999999937</v>
      </c>
      <c r="C31" s="2733">
        <f>[3]清单!$T$16+[4]规证!$R$110+[4]洋房!$G$17+[4]洋房!$G$18</f>
        <v>2240.4600000000009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4" zoomScale="80" zoomScaleNormal="100" zoomScaleSheetLayoutView="80" zoomScalePageLayoutView="80" workbookViewId="0">
      <selection activeCell="E28" sqref="E28"/>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1947</v>
      </c>
      <c r="B1" s="1930"/>
      <c r="C1" s="1931" t="s">
        <v>4182</v>
      </c>
      <c r="D1" s="1930"/>
      <c r="E1" s="1930"/>
      <c r="F1" s="1932" t="s">
        <v>1948</v>
      </c>
      <c r="G1" s="1744" t="s">
        <v>4206</v>
      </c>
      <c r="H1" s="1933" t="str">
        <f>IF(G1="现房","——","估价对象范围")</f>
        <v>——</v>
      </c>
      <c r="I1" s="1934" t="s">
        <v>4207</v>
      </c>
    </row>
    <row r="2" spans="1:12" ht="21.75" customHeight="1" thickBot="1">
      <c r="A2" s="3440" t="str">
        <f>项目基本情况!S2</f>
        <v>北京市0331地块部分现房房地产</v>
      </c>
      <c r="B2" s="3441"/>
      <c r="C2" s="3441"/>
      <c r="D2" s="3441"/>
      <c r="E2" s="3441"/>
      <c r="F2" s="3441"/>
      <c r="G2" s="3441"/>
      <c r="H2" s="3441"/>
      <c r="I2" s="3442"/>
    </row>
    <row r="3" spans="1:12" ht="12.75">
      <c r="A3" s="3444" t="s">
        <v>1949</v>
      </c>
      <c r="B3" s="3445"/>
      <c r="C3" s="3445"/>
      <c r="D3" s="3445"/>
      <c r="E3" s="3445"/>
      <c r="F3" s="3445"/>
      <c r="G3" s="3445"/>
      <c r="H3" s="3445"/>
      <c r="I3" s="3445"/>
    </row>
    <row r="4" spans="1:12" ht="14.25">
      <c r="A4" s="1937" t="s">
        <v>1950</v>
      </c>
      <c r="B4" s="1938" t="s">
        <v>1951</v>
      </c>
      <c r="C4" s="1939" t="s">
        <v>4204</v>
      </c>
      <c r="D4" s="1939" t="s">
        <v>4208</v>
      </c>
      <c r="E4" s="3449" t="s">
        <v>1952</v>
      </c>
      <c r="F4" s="3450"/>
      <c r="G4" s="3450"/>
      <c r="H4" s="3450"/>
      <c r="I4" s="345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比较法</v>
      </c>
    </row>
    <row r="5" spans="1:12" ht="12.75">
      <c r="A5" s="3385" t="s">
        <v>1953</v>
      </c>
      <c r="B5" s="3443">
        <v>25</v>
      </c>
      <c r="C5" s="3446"/>
      <c r="D5" s="3434"/>
      <c r="E5" s="135" t="s">
        <v>1954</v>
      </c>
      <c r="F5" s="1940"/>
      <c r="G5" s="1940"/>
      <c r="H5" s="1940"/>
      <c r="I5" s="1555"/>
    </row>
    <row r="6" spans="1:12" ht="12.75">
      <c r="A6" s="3385"/>
      <c r="B6" s="3443"/>
      <c r="C6" s="3448"/>
      <c r="D6" s="3434"/>
      <c r="E6" s="135" t="s">
        <v>1955</v>
      </c>
      <c r="F6" s="1940"/>
      <c r="G6" s="1940"/>
      <c r="H6" s="1940"/>
      <c r="I6" s="1555"/>
    </row>
    <row r="7" spans="1:12" ht="12.75">
      <c r="A7" s="3385"/>
      <c r="B7" s="3443"/>
      <c r="C7" s="3447"/>
      <c r="D7" s="3434"/>
      <c r="E7" s="135" t="s">
        <v>1956</v>
      </c>
      <c r="F7" s="1940"/>
      <c r="G7" s="1940"/>
      <c r="H7" s="1940"/>
      <c r="I7" s="1555"/>
    </row>
    <row r="8" spans="1:12" ht="12.75">
      <c r="A8" s="3385" t="s">
        <v>1957</v>
      </c>
      <c r="B8" s="3443">
        <v>15</v>
      </c>
      <c r="C8" s="3446"/>
      <c r="D8" s="3434"/>
      <c r="E8" s="135" t="s">
        <v>1958</v>
      </c>
      <c r="F8" s="1940"/>
      <c r="G8" s="1940"/>
      <c r="H8" s="1940"/>
      <c r="I8" s="1555"/>
    </row>
    <row r="9" spans="1:12" ht="12.75">
      <c r="A9" s="3385"/>
      <c r="B9" s="3443"/>
      <c r="C9" s="3447"/>
      <c r="D9" s="3434"/>
      <c r="E9" s="135" t="s">
        <v>1959</v>
      </c>
      <c r="F9" s="1940"/>
      <c r="G9" s="1940"/>
      <c r="H9" s="1940"/>
      <c r="I9" s="1555"/>
    </row>
    <row r="10" spans="1:12" ht="12.75">
      <c r="A10" s="3385" t="s">
        <v>1960</v>
      </c>
      <c r="B10" s="3443">
        <v>15</v>
      </c>
      <c r="C10" s="3446"/>
      <c r="D10" s="3434"/>
      <c r="E10" s="135" t="s">
        <v>1961</v>
      </c>
      <c r="F10" s="1940"/>
      <c r="G10" s="1940"/>
      <c r="H10" s="1940"/>
      <c r="I10" s="1555"/>
    </row>
    <row r="11" spans="1:12" ht="12.75">
      <c r="A11" s="3385"/>
      <c r="B11" s="3443"/>
      <c r="C11" s="3447"/>
      <c r="D11" s="3434"/>
      <c r="E11" s="135" t="s">
        <v>1962</v>
      </c>
      <c r="F11" s="1940"/>
      <c r="G11" s="1940"/>
      <c r="H11" s="1940"/>
      <c r="I11" s="1555"/>
    </row>
    <row r="12" spans="1:12" ht="12.75">
      <c r="A12" s="3385" t="s">
        <v>1963</v>
      </c>
      <c r="B12" s="3443">
        <v>15</v>
      </c>
      <c r="C12" s="3446"/>
      <c r="D12" s="3434"/>
      <c r="E12" s="135" t="s">
        <v>1964</v>
      </c>
      <c r="F12" s="1940"/>
      <c r="G12" s="1940"/>
      <c r="H12" s="1940"/>
      <c r="I12" s="1555"/>
    </row>
    <row r="13" spans="1:12" ht="12.75">
      <c r="A13" s="3385"/>
      <c r="B13" s="3443"/>
      <c r="C13" s="3447"/>
      <c r="D13" s="3434"/>
      <c r="E13" s="135" t="s">
        <v>1965</v>
      </c>
      <c r="F13" s="1940"/>
      <c r="G13" s="1940"/>
      <c r="H13" s="1940"/>
      <c r="I13" s="1555"/>
    </row>
    <row r="14" spans="1:12" ht="12.75">
      <c r="A14" s="3385" t="s">
        <v>1966</v>
      </c>
      <c r="B14" s="3443">
        <v>30</v>
      </c>
      <c r="C14" s="3446">
        <v>5</v>
      </c>
      <c r="D14" s="3434">
        <f>10-C14</f>
        <v>5</v>
      </c>
      <c r="E14" s="135" t="s">
        <v>1967</v>
      </c>
      <c r="F14" s="1940"/>
      <c r="G14" s="1940"/>
      <c r="H14" s="1940"/>
      <c r="I14" s="1555"/>
    </row>
    <row r="15" spans="1:12" ht="12.75">
      <c r="A15" s="3385"/>
      <c r="B15" s="3443"/>
      <c r="C15" s="3448"/>
      <c r="D15" s="3434"/>
      <c r="E15" s="135" t="s">
        <v>1968</v>
      </c>
      <c r="F15" s="1940"/>
      <c r="G15" s="1940"/>
      <c r="H15" s="1940"/>
      <c r="I15" s="1555"/>
    </row>
    <row r="16" spans="1:12" ht="12.75">
      <c r="A16" s="3385"/>
      <c r="B16" s="3443"/>
      <c r="C16" s="3447"/>
      <c r="D16" s="3434"/>
      <c r="E16" s="135" t="s">
        <v>1969</v>
      </c>
      <c r="F16" s="1940"/>
      <c r="G16" s="1940"/>
      <c r="H16" s="1940"/>
      <c r="I16" s="1555"/>
    </row>
    <row r="17" spans="1:36" ht="15">
      <c r="A17" s="1941" t="s">
        <v>1970</v>
      </c>
      <c r="B17" s="59"/>
      <c r="C17" s="136">
        <f>SUM(C5:C16)</f>
        <v>5</v>
      </c>
      <c r="D17" s="136">
        <f>SUM(D5:D16)</f>
        <v>5</v>
      </c>
      <c r="E17" s="133"/>
      <c r="F17" s="133"/>
      <c r="G17" s="133"/>
      <c r="H17" s="133"/>
      <c r="I17" s="133"/>
      <c r="K17" s="307"/>
      <c r="L17" s="307" t="s">
        <v>1971</v>
      </c>
      <c r="M17" s="307" t="s">
        <v>1972</v>
      </c>
    </row>
    <row r="18" spans="1:36" ht="31.9" customHeight="1" thickBot="1">
      <c r="A18" s="1942" t="s">
        <v>1973</v>
      </c>
      <c r="B18" s="1943"/>
      <c r="C18" s="137">
        <f>ROUND(C17/SUM(C17:D17),2)</f>
        <v>0.5</v>
      </c>
      <c r="D18" s="137">
        <f>1-C18</f>
        <v>0.5</v>
      </c>
      <c r="E18" s="3465" t="s">
        <v>2873</v>
      </c>
      <c r="F18" s="3466"/>
      <c r="G18" s="3466"/>
      <c r="H18" s="3466"/>
      <c r="I18" s="3466"/>
      <c r="K18" s="307" t="s">
        <v>1974</v>
      </c>
      <c r="L18" s="307">
        <f>IF(C1="",'数据-汇总表'!E3,SUMIF(项目类型,C1,'数据-汇总表'!E17:E26)+SUMIF(项目类型,C1,'数据-汇总表'!I17:I26))</f>
        <v>15708.62</v>
      </c>
      <c r="M18" s="307">
        <f>IF(C1="",'数据-汇总表'!E3,SUMIF(项目类型,C1,'数据-汇总表'!E17:E26))</f>
        <v>15708.62</v>
      </c>
    </row>
    <row r="19" spans="1:36" ht="15">
      <c r="A19" s="1944" t="s">
        <v>1975</v>
      </c>
      <c r="B19" s="1945" t="s">
        <v>1976</v>
      </c>
      <c r="C19" s="138">
        <f ca="1">SUMIF(INDIRECT("'"&amp;C4&amp;"'"&amp;"!A:A"),结果表!B19,INDIRECT("'"&amp;C4&amp;"'"&amp;"!B:B"))</f>
        <v>87862</v>
      </c>
      <c r="D19" s="139">
        <f ca="1">SUMIF(INDIRECT("'"&amp;D4&amp;"'"&amp;"!A:A"),结果表!B19,INDIRECT("'"&amp;D4&amp;"'"&amp;"!B:B"))</f>
        <v>82800</v>
      </c>
      <c r="E19" s="1944" t="s">
        <v>1977</v>
      </c>
      <c r="F19" s="1945" t="s">
        <v>1976</v>
      </c>
      <c r="G19" s="140">
        <f ca="1">ROUND(C19*$C$18+D19*$D$18,0)</f>
        <v>85331</v>
      </c>
      <c r="H19" s="1946" t="s">
        <v>1978</v>
      </c>
      <c r="I19" s="133"/>
      <c r="K19" s="307" t="s">
        <v>1979</v>
      </c>
      <c r="L19" s="307">
        <f>IF(C1="",'数据-汇总表'!D3,SUMIF(项目类型,C1,'数据-汇总表'!D17:D26)+SUMIF(项目类型,C1,'数据-汇总表'!H17:H27))</f>
        <v>7866.14</v>
      </c>
      <c r="M19" s="307">
        <f>IF(C1="",'数据-汇总表'!D3,SUMIF(项目类型,C1,'数据-汇总表'!D17:D26))</f>
        <v>7866.14</v>
      </c>
    </row>
    <row r="20" spans="1:36" ht="15">
      <c r="A20" s="1947"/>
      <c r="B20" s="1156" t="s">
        <v>1980</v>
      </c>
      <c r="C20" s="141">
        <f ca="1">SUMIF(INDIRECT("'"&amp;C4&amp;"'"&amp;"!A:A"),结果表!B20,INDIRECT("'"&amp;C4&amp;"'"&amp;"!B:B"))</f>
        <v>55932</v>
      </c>
      <c r="D20" s="142">
        <f ca="1">SUMIF(INDIRECT("'"&amp;D4&amp;"'"&amp;"!A:A"),结果表!B20,INDIRECT("'"&amp;D4&amp;"'"&amp;"!B:B"))</f>
        <v>52710</v>
      </c>
      <c r="E20" s="1947"/>
      <c r="F20" s="1156" t="s">
        <v>1980</v>
      </c>
      <c r="G20" s="143">
        <f ca="1">ROUND(C20*$C$18+D20*$D$18,0)</f>
        <v>54321</v>
      </c>
      <c r="H20" s="916" t="s">
        <v>1981</v>
      </c>
      <c r="I20" s="133"/>
      <c r="J20" s="733">
        <f ca="1">G20*成本法!D9/10000</f>
        <v>85330.794702000014</v>
      </c>
    </row>
    <row r="21" spans="1:36" ht="15" customHeight="1" thickBot="1">
      <c r="A21" s="936"/>
      <c r="B21" s="1948" t="s">
        <v>1982</v>
      </c>
      <c r="C21" s="727">
        <f ca="1">ROUND(C19*10000/L19,0)</f>
        <v>111696</v>
      </c>
      <c r="D21" s="728">
        <f ca="1">ROUND(D19*10000/L19,0)</f>
        <v>105261</v>
      </c>
      <c r="E21" s="936"/>
      <c r="F21" s="1948" t="s">
        <v>1982</v>
      </c>
      <c r="G21" s="144">
        <f ca="1">ROUND(G19*10000/L19,0)</f>
        <v>108479</v>
      </c>
      <c r="H21" s="1949" t="s">
        <v>1981</v>
      </c>
      <c r="I21" s="133"/>
    </row>
    <row r="22" spans="1:36" ht="15" thickBot="1">
      <c r="A22" s="1871" t="s">
        <v>1983</v>
      </c>
      <c r="B22" s="1950"/>
      <c r="C22" s="1951"/>
      <c r="D22" s="729">
        <f ca="1">IF(C19&lt;D19,D19/C19-1,C19/D19-1)</f>
        <v>6.113526570048311E-2</v>
      </c>
      <c r="E22" s="133"/>
      <c r="F22" s="133"/>
      <c r="G22" s="133"/>
      <c r="H22" s="133"/>
      <c r="I22" s="133"/>
    </row>
    <row r="23" spans="1:36" ht="13.5" thickBot="1">
      <c r="A23" s="1930"/>
      <c r="B23" s="1930"/>
      <c r="C23" s="1930"/>
      <c r="D23" s="1930"/>
      <c r="E23" s="133"/>
      <c r="F23" s="133"/>
      <c r="G23" s="133"/>
      <c r="H23" s="133"/>
      <c r="I23" s="133"/>
    </row>
    <row r="24" spans="1:36" ht="14.25">
      <c r="A24" s="3458" t="s">
        <v>1984</v>
      </c>
      <c r="B24" s="1945" t="s">
        <v>1976</v>
      </c>
      <c r="C24" s="140">
        <f>IF(B30=0,0,D30)</f>
        <v>0</v>
      </c>
      <c r="D24" s="1952"/>
      <c r="E24" s="133"/>
      <c r="F24" s="133"/>
      <c r="G24" s="133"/>
      <c r="H24" s="133"/>
      <c r="I24" s="133"/>
    </row>
    <row r="25" spans="1:36" ht="14.25">
      <c r="A25" s="3459"/>
      <c r="B25" s="1156" t="s">
        <v>1980</v>
      </c>
      <c r="C25" s="145">
        <f>IF(B30=0,0,C30)</f>
        <v>0</v>
      </c>
      <c r="D25" s="1953"/>
      <c r="E25" s="133"/>
      <c r="F25" s="133"/>
      <c r="G25" s="133"/>
      <c r="H25" s="133"/>
      <c r="I25" s="133"/>
    </row>
    <row r="26" spans="1:36" ht="13.5" customHeight="1">
      <c r="A26" s="1954" t="s">
        <v>1985</v>
      </c>
      <c r="B26" s="146" t="s">
        <v>1986</v>
      </c>
      <c r="C26" s="146" t="s">
        <v>1987</v>
      </c>
      <c r="D26" s="147" t="s">
        <v>1988</v>
      </c>
      <c r="E26" s="133"/>
      <c r="F26" s="133"/>
      <c r="G26" s="133"/>
      <c r="H26" s="133"/>
      <c r="I26" s="133"/>
    </row>
    <row r="27" spans="1:36" ht="14.25">
      <c r="A27" s="1954">
        <f ca="1">G20/面积清单!R3</f>
        <v>0.94822560092167507</v>
      </c>
      <c r="B27" s="146">
        <v>0</v>
      </c>
      <c r="C27" s="146">
        <v>0</v>
      </c>
      <c r="D27" s="147">
        <f>ROUND(C27*B27/10000,0)</f>
        <v>0</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1989</v>
      </c>
      <c r="B30" s="146"/>
      <c r="C30" s="146"/>
      <c r="D30" s="146"/>
      <c r="E30" s="2518" t="s">
        <v>2874</v>
      </c>
      <c r="F30" s="133"/>
      <c r="G30" s="133"/>
      <c r="H30" s="133"/>
      <c r="I30" s="133"/>
    </row>
    <row r="31" spans="1:36" s="2524" customFormat="1" ht="26.45" customHeight="1" thickTop="1" thickBot="1">
      <c r="A31" s="2519"/>
      <c r="B31" s="2520"/>
      <c r="C31" s="2520"/>
      <c r="D31" s="2520"/>
      <c r="E31" s="2520"/>
      <c r="F31" s="2520"/>
      <c r="G31" s="2520"/>
      <c r="H31" s="2520"/>
      <c r="I31" s="2521" t="s">
        <v>2875</v>
      </c>
      <c r="J31" s="291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1990</v>
      </c>
      <c r="B32" s="1957"/>
      <c r="C32" s="148">
        <f ca="1">IF(D32="总价",G19-C24,G20-C25)</f>
        <v>85331</v>
      </c>
      <c r="D32" s="1958" t="s">
        <v>4210</v>
      </c>
      <c r="E32" s="133"/>
      <c r="F32" s="133"/>
      <c r="G32" s="133"/>
      <c r="H32" s="133"/>
      <c r="I32" s="133"/>
    </row>
    <row r="33" spans="1:15" ht="15">
      <c r="A33" s="893" t="s">
        <v>1991</v>
      </c>
      <c r="B33" s="1959"/>
      <c r="C33" s="1960" t="s">
        <v>4209</v>
      </c>
      <c r="D33" s="1961" t="s">
        <v>4204</v>
      </c>
      <c r="E33" s="1962" t="s">
        <v>1992</v>
      </c>
      <c r="F33" s="1963" t="str">
        <f>IF(D32="楼面单价","取值（单价）","取值（总价）")</f>
        <v>取值（总价）</v>
      </c>
      <c r="G33" s="133"/>
      <c r="H33" s="133"/>
      <c r="I33" s="133"/>
    </row>
    <row r="34" spans="1:15" ht="15">
      <c r="A34" s="1964"/>
      <c r="B34" s="1965" t="s">
        <v>1993</v>
      </c>
      <c r="C34" s="152">
        <f ca="1">IF(C33="自定义",F34,C32-C35)</f>
        <v>78334</v>
      </c>
      <c r="D34" s="969">
        <f ca="1">IF(C33="自定义",ROUND(C34/C32,3),IF(C33="收益比率",SUMIF(INDIRECT("'"&amp;D33&amp;"'"&amp;"!b:b"),"土地收益比率",INDIRECT("'"&amp;D33&amp;"'"&amp;"!c:c")),SUMIF(INDIRECT("'"&amp;D33&amp;"'"&amp;"!b:b"),"土地成本比率",INDIRECT("'"&amp;D33&amp;"'"&amp;"!c:c"))))</f>
        <v>0.91800000000000004</v>
      </c>
      <c r="E34" s="1966" t="s">
        <v>1994</v>
      </c>
      <c r="F34" s="1496"/>
      <c r="G34" s="133"/>
      <c r="H34" s="133"/>
      <c r="I34" s="133"/>
    </row>
    <row r="35" spans="1:15" ht="15.75" thickBot="1">
      <c r="A35" s="1967"/>
      <c r="B35" s="1968" t="s">
        <v>1995</v>
      </c>
      <c r="C35" s="1331">
        <f ca="1">IF(C33="自定义",F35,ROUND(C32*D35,0))</f>
        <v>6997</v>
      </c>
      <c r="D35" s="1332">
        <f ca="1">IF(C33="自定义",ROUND(C35/C32,3),IF(C33="收益比率",SUMIF(INDIRECT("'"&amp;D33&amp;"'"&amp;"!b:b"),"建筑物收益比率",INDIRECT("'"&amp;D33&amp;"'"&amp;"!c:c")),SUMIF(INDIRECT("'"&amp;D33&amp;"'"&amp;"!b:b"),"建筑物成本比率",INDIRECT("'"&amp;D33&amp;"'"&amp;"!c:c"))))</f>
        <v>8.2000000000000003E-2</v>
      </c>
      <c r="E35" s="1969" t="s">
        <v>1996</v>
      </c>
      <c r="F35" s="158"/>
      <c r="G35" s="133"/>
      <c r="H35" s="133"/>
      <c r="I35" s="133"/>
    </row>
    <row r="36" spans="1:15" ht="15.75" thickBot="1">
      <c r="A36" s="3435" t="s">
        <v>1997</v>
      </c>
      <c r="B36" s="1970" t="s">
        <v>1998</v>
      </c>
      <c r="C36" s="149"/>
      <c r="D36" s="1971"/>
      <c r="E36" s="1972"/>
      <c r="F36" s="1973"/>
      <c r="G36" s="133"/>
      <c r="H36" s="133"/>
      <c r="I36" s="133"/>
    </row>
    <row r="37" spans="1:15" ht="15.75" thickBot="1">
      <c r="A37" s="3436"/>
      <c r="B37" s="1857" t="s">
        <v>1999</v>
      </c>
      <c r="C37" s="151"/>
      <c r="D37" s="1300"/>
      <c r="E37" s="1300"/>
      <c r="F37" s="1973"/>
      <c r="G37" s="133"/>
      <c r="H37" s="133"/>
      <c r="I37" s="133"/>
    </row>
    <row r="38" spans="1:15" ht="15.75" thickBot="1">
      <c r="A38" s="3437"/>
      <c r="B38" s="1974" t="s">
        <v>2000</v>
      </c>
      <c r="C38" s="682"/>
      <c r="D38" s="1975" t="s">
        <v>2001</v>
      </c>
      <c r="E38" s="1300"/>
      <c r="F38" s="1973"/>
      <c r="G38" s="133"/>
      <c r="H38" s="133"/>
      <c r="I38" s="133"/>
    </row>
    <row r="39" spans="1:15" ht="15">
      <c r="A39" s="1947" t="s">
        <v>2002</v>
      </c>
      <c r="B39" s="1976" t="s">
        <v>2003</v>
      </c>
      <c r="C39" s="1977" t="s">
        <v>2004</v>
      </c>
      <c r="D39" s="1977" t="s">
        <v>2005</v>
      </c>
      <c r="E39" s="1978" t="s">
        <v>2006</v>
      </c>
      <c r="F39" s="1973"/>
      <c r="G39" s="133"/>
      <c r="H39" s="133"/>
      <c r="I39" s="133"/>
    </row>
    <row r="40" spans="1:15" ht="14.25">
      <c r="A40" s="1979" t="s">
        <v>2007</v>
      </c>
      <c r="B40" s="153"/>
      <c r="C40" s="154"/>
      <c r="D40" s="154"/>
      <c r="E40" s="155"/>
      <c r="F40" s="1973"/>
      <c r="G40" s="133"/>
      <c r="H40" s="133"/>
      <c r="I40" s="133"/>
    </row>
    <row r="41" spans="1:15" ht="14.25">
      <c r="A41" s="1979" t="s">
        <v>2008</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455" t="s">
        <v>2011</v>
      </c>
      <c r="B45" s="3456"/>
      <c r="C45" s="3457"/>
      <c r="D45" s="159">
        <f ca="1">ROUND(H101*F45,0)</f>
        <v>85331</v>
      </c>
      <c r="E45" s="160" t="s">
        <v>2012</v>
      </c>
      <c r="F45" s="161">
        <v>1</v>
      </c>
      <c r="G45" s="162" t="s">
        <v>2013</v>
      </c>
      <c r="H45" s="133"/>
      <c r="I45" s="133"/>
      <c r="J45" s="3372" t="s">
        <v>2014</v>
      </c>
      <c r="K45" s="3372"/>
      <c r="L45" s="3372"/>
      <c r="M45" s="3372"/>
      <c r="N45" s="3372"/>
      <c r="O45" s="3372"/>
    </row>
    <row r="46" spans="1:15" ht="14.25" customHeight="1">
      <c r="A46" s="3452" t="s">
        <v>2015</v>
      </c>
      <c r="B46" s="3453"/>
      <c r="C46" s="3453"/>
      <c r="D46" s="3453"/>
      <c r="E46" s="3453"/>
      <c r="F46" s="3453"/>
      <c r="G46" s="3454"/>
      <c r="H46" s="1989"/>
      <c r="I46" s="163"/>
      <c r="J46" s="2743">
        <v>1</v>
      </c>
      <c r="K46" s="3373" t="s">
        <v>2016</v>
      </c>
      <c r="L46" s="3373"/>
      <c r="M46" s="3374"/>
      <c r="N46" s="3374"/>
      <c r="O46" s="3374"/>
    </row>
    <row r="47" spans="1:15" ht="12" customHeight="1">
      <c r="A47" s="164" t="s">
        <v>2017</v>
      </c>
      <c r="B47" s="165"/>
      <c r="C47" s="166"/>
      <c r="D47" s="1246" t="s">
        <v>2018</v>
      </c>
      <c r="E47" s="307" t="s">
        <v>2019</v>
      </c>
      <c r="F47" s="167" t="s">
        <v>2020</v>
      </c>
      <c r="G47" s="2766" t="s">
        <v>2021</v>
      </c>
      <c r="H47" s="2767"/>
      <c r="I47" s="163"/>
      <c r="J47" s="2743">
        <v>2</v>
      </c>
      <c r="K47" s="3373" t="s">
        <v>2022</v>
      </c>
      <c r="L47" s="3373"/>
      <c r="M47" s="3375">
        <f>'数据-取费表'!B2</f>
        <v>44495</v>
      </c>
      <c r="N47" s="3375"/>
      <c r="O47" s="3375"/>
    </row>
    <row r="48" spans="1:15" ht="25.5">
      <c r="A48" s="3438" t="s">
        <v>2023</v>
      </c>
      <c r="B48" s="3439"/>
      <c r="C48" s="3439"/>
      <c r="D48" s="2544" t="b">
        <f>IF(H48="情况1",0,IF(H48="情况2",D52,IF(H48="情况3",D53,IF(H48="情况4",D54))))</f>
        <v>0</v>
      </c>
      <c r="E48" s="2554" t="str">
        <f>IF(H48="情况4","(销售额-原购置价)×税（费）率","销售额×税（费）率")</f>
        <v>销售额×税（费）率</v>
      </c>
      <c r="F48" s="2768">
        <f>IF(H48="情况1","免征",'数据-取费表'!B41)</f>
        <v>5.5000000000000007E-2</v>
      </c>
      <c r="G48" s="2769" t="s">
        <v>2024</v>
      </c>
      <c r="H48" s="2770"/>
      <c r="I48" s="1989"/>
      <c r="J48" s="2743">
        <v>3</v>
      </c>
      <c r="K48" s="3373" t="s">
        <v>2025</v>
      </c>
      <c r="L48" s="3373"/>
      <c r="M48" s="3376">
        <f ca="1">H101</f>
        <v>85331</v>
      </c>
      <c r="N48" s="3376"/>
      <c r="O48" s="3376"/>
    </row>
    <row r="49" spans="1:35" ht="25.5" customHeight="1">
      <c r="A49" s="2553" t="s">
        <v>2026</v>
      </c>
      <c r="B49" s="3421" t="s">
        <v>2027</v>
      </c>
      <c r="C49" s="3421"/>
      <c r="D49" s="1773">
        <v>0</v>
      </c>
      <c r="E49" s="329" t="s">
        <v>2028</v>
      </c>
      <c r="F49" s="2647" t="s">
        <v>34</v>
      </c>
      <c r="G49" s="3404"/>
      <c r="H49" s="2525" t="s">
        <v>2876</v>
      </c>
      <c r="I49" s="2526"/>
      <c r="J49" s="2743">
        <v>4</v>
      </c>
      <c r="K49" s="3373" t="str">
        <f>IF(项目基本情况!E8="房地产抵押价值","房地产抵押价值","抵押担保权已注销时的房地产抵押价值")</f>
        <v>房地产抵押价值</v>
      </c>
      <c r="L49" s="3373"/>
      <c r="M49" s="3376">
        <f ca="1">IF(项目基本情况!E8="房地产抵押价值",H107,H109)</f>
        <v>85331</v>
      </c>
      <c r="N49" s="3376"/>
      <c r="O49" s="3376"/>
    </row>
    <row r="50" spans="1:35" ht="25.5" customHeight="1">
      <c r="A50" s="2771"/>
      <c r="B50" s="3421" t="s">
        <v>2029</v>
      </c>
      <c r="C50" s="3421"/>
      <c r="D50" s="2772"/>
      <c r="E50" s="337"/>
      <c r="F50" s="2647"/>
      <c r="G50" s="3405"/>
      <c r="H50" s="2527" t="s">
        <v>2877</v>
      </c>
      <c r="I50" s="2526"/>
      <c r="J50" s="3372" t="s">
        <v>2030</v>
      </c>
      <c r="K50" s="3372"/>
      <c r="L50" s="3372"/>
      <c r="M50" s="3372"/>
      <c r="N50" s="3372"/>
      <c r="O50" s="3372"/>
    </row>
    <row r="51" spans="1:35" ht="20.45" customHeight="1">
      <c r="A51" s="2773"/>
      <c r="B51" s="3421" t="s">
        <v>2031</v>
      </c>
      <c r="C51" s="3421"/>
      <c r="D51" s="1246"/>
      <c r="E51" s="332"/>
      <c r="F51" s="2647"/>
      <c r="G51" s="3406"/>
      <c r="H51" s="2527" t="s">
        <v>2878</v>
      </c>
      <c r="I51" s="2526"/>
      <c r="J51" s="2744" t="s">
        <v>2032</v>
      </c>
      <c r="K51" s="3373" t="s">
        <v>2033</v>
      </c>
      <c r="L51" s="3373"/>
      <c r="M51" s="2744" t="s">
        <v>2034</v>
      </c>
      <c r="N51" s="2744" t="s">
        <v>2035</v>
      </c>
      <c r="O51" s="2744" t="s">
        <v>2036</v>
      </c>
    </row>
    <row r="52" spans="1:35" ht="24" customHeight="1">
      <c r="A52" s="2555" t="s">
        <v>2037</v>
      </c>
      <c r="B52" s="3421" t="s">
        <v>2038</v>
      </c>
      <c r="C52" s="3421"/>
      <c r="D52" s="1246">
        <f ca="1">ROUND(D45*'数据-取费表'!B41/(1+'数据-取费表'!C42),0)</f>
        <v>4470</v>
      </c>
      <c r="E52" s="2554" t="s">
        <v>2039</v>
      </c>
      <c r="F52" s="2774">
        <f>'数据-取费表'!B41</f>
        <v>5.5000000000000007E-2</v>
      </c>
      <c r="G52" s="2775"/>
      <c r="H52" s="2764"/>
      <c r="I52" s="1990"/>
      <c r="J52" s="2743">
        <v>1</v>
      </c>
      <c r="K52" s="3398" t="s">
        <v>2040</v>
      </c>
      <c r="L52" s="3398"/>
      <c r="M52" s="2745" t="b">
        <f>D48</f>
        <v>0</v>
      </c>
      <c r="N52" s="2743" t="str">
        <f>E48</f>
        <v>销售额×税（费）率</v>
      </c>
      <c r="O52" s="2746">
        <f>F48</f>
        <v>5.5000000000000007E-2</v>
      </c>
    </row>
    <row r="53" spans="1:35" ht="12" customHeight="1">
      <c r="A53" s="2555" t="s">
        <v>2041</v>
      </c>
      <c r="B53" s="3422" t="s">
        <v>3031</v>
      </c>
      <c r="C53" s="3423"/>
      <c r="D53" s="1246">
        <f ca="1">ROUND(D45*'数据-取费表'!B41/(1+'数据-取费表'!C42),0)</f>
        <v>4470</v>
      </c>
      <c r="E53" s="2554" t="s">
        <v>2039</v>
      </c>
      <c r="F53" s="2774">
        <f>'数据-取费表'!B41</f>
        <v>5.5000000000000007E-2</v>
      </c>
      <c r="G53" s="2775"/>
      <c r="H53" s="2764"/>
      <c r="I53" s="1990"/>
      <c r="J53" s="2743">
        <v>2</v>
      </c>
      <c r="K53" s="3398" t="s">
        <v>2042</v>
      </c>
      <c r="L53" s="3398"/>
      <c r="M53" s="2745">
        <f t="shared" ref="M53:O54" ca="1" si="0">D55</f>
        <v>43</v>
      </c>
      <c r="N53" s="2743" t="str">
        <f t="shared" si="0"/>
        <v>销售额×税（费）率</v>
      </c>
      <c r="O53" s="2746" t="str">
        <f t="shared" si="0"/>
        <v>免征</v>
      </c>
    </row>
    <row r="54" spans="1:35" ht="12" customHeight="1">
      <c r="A54" s="2555" t="s">
        <v>2043</v>
      </c>
      <c r="B54" s="3422" t="s">
        <v>3032</v>
      </c>
      <c r="C54" s="3423"/>
      <c r="D54" s="1246">
        <f ca="1">C68</f>
        <v>4470</v>
      </c>
      <c r="E54" s="332" t="s">
        <v>2044</v>
      </c>
      <c r="F54" s="2774">
        <f>'数据-取费表'!B41</f>
        <v>5.5000000000000007E-2</v>
      </c>
      <c r="G54" s="2775"/>
      <c r="H54" s="2776"/>
      <c r="I54" s="1990"/>
      <c r="J54" s="2743">
        <v>3</v>
      </c>
      <c r="K54" s="3398" t="s">
        <v>2045</v>
      </c>
      <c r="L54" s="3398"/>
      <c r="M54" s="2745">
        <f t="shared" ca="1" si="0"/>
        <v>48375</v>
      </c>
      <c r="N54" s="2743" t="str">
        <f t="shared" si="0"/>
        <v>增值额×税（费）率</v>
      </c>
      <c r="O54" s="2747" t="str">
        <f t="shared" si="0"/>
        <v>免征</v>
      </c>
    </row>
    <row r="55" spans="1:35" ht="24" customHeight="1">
      <c r="A55" s="3461" t="s">
        <v>2046</v>
      </c>
      <c r="B55" s="3439"/>
      <c r="C55" s="3439"/>
      <c r="D55" s="2544">
        <f ca="1">IF(H55="个人住宅",0,ROUND(D45*I55,0))</f>
        <v>43</v>
      </c>
      <c r="E55" s="2554" t="s">
        <v>2047</v>
      </c>
      <c r="F55" s="2774" t="str">
        <f>IF(H55="正常",I55,"免征")</f>
        <v>免征</v>
      </c>
      <c r="G55" s="2775"/>
      <c r="H55" s="2770"/>
      <c r="I55" s="169">
        <f>'数据-取费表'!B49</f>
        <v>5.0000000000000001E-4</v>
      </c>
      <c r="J55" s="2743">
        <f>IF(H59="非个人房产","",4)</f>
        <v>4</v>
      </c>
      <c r="K55" s="3398" t="str">
        <f>IF(H59="非个人房产","——","个人所得税")</f>
        <v>个人所得税</v>
      </c>
      <c r="L55" s="3398"/>
      <c r="M55" s="2748">
        <f ca="1">D59</f>
        <v>813</v>
      </c>
      <c r="N55" s="2225" t="str">
        <f>E59</f>
        <v>差额计税</v>
      </c>
      <c r="O55" s="2749">
        <f>F59</f>
        <v>0.01</v>
      </c>
    </row>
    <row r="56" spans="1:35" ht="24.75">
      <c r="A56" s="3461" t="s">
        <v>2048</v>
      </c>
      <c r="B56" s="3439"/>
      <c r="C56" s="3439"/>
      <c r="D56" s="2544">
        <f ca="1">IF(H56="个人住宅",D57,D58)</f>
        <v>48375</v>
      </c>
      <c r="E56" s="2554" t="s">
        <v>2049</v>
      </c>
      <c r="F56" s="2774" t="str">
        <f>IF(H56="正常",F58,"免征")</f>
        <v>免征</v>
      </c>
      <c r="G56" s="2777" t="s">
        <v>2050</v>
      </c>
      <c r="H56" s="2778"/>
      <c r="I56" s="1991"/>
      <c r="J56" s="2743" t="str">
        <f>IF(项目基本情况!K6="上海银行",IF(J55="",4,J55+1),"")</f>
        <v/>
      </c>
      <c r="K56" s="3379" t="str">
        <f>IF(项目基本情况!K6="上海银行","其他处置费用","")</f>
        <v/>
      </c>
      <c r="L56" s="3380"/>
      <c r="M56" s="2745" t="str">
        <f>IF(项目基本情况!K6="上海银行",M69,"")</f>
        <v/>
      </c>
      <c r="N56" s="3379" t="str">
        <f>IF(项目基本情况!K6="上海银行","包含处置中涉及的律师、诉讼、拍卖、评估等费用","")</f>
        <v/>
      </c>
      <c r="O56" s="3382"/>
    </row>
    <row r="57" spans="1:35" ht="12.75">
      <c r="A57" s="2555" t="s">
        <v>2026</v>
      </c>
      <c r="B57" s="3422" t="s">
        <v>2051</v>
      </c>
      <c r="C57" s="3423"/>
      <c r="D57" s="1773">
        <v>0</v>
      </c>
      <c r="E57" s="329" t="s">
        <v>2028</v>
      </c>
      <c r="F57" s="307"/>
      <c r="G57" s="2775"/>
      <c r="H57" s="2779"/>
      <c r="I57" s="1991"/>
      <c r="J57" s="3398">
        <f>IF(AND(J55="",J56=""),4,IF(项目基本情况!K6="上海银行",结果表!J56+1,结果表!J55+1))</f>
        <v>5</v>
      </c>
      <c r="K57" s="3398" t="s">
        <v>2052</v>
      </c>
      <c r="L57" s="2750" t="s">
        <v>2053</v>
      </c>
      <c r="M57" s="2751"/>
      <c r="N57" s="2752">
        <f ca="1">SUMIF(M52:M56,"&lt;9e307")</f>
        <v>49231</v>
      </c>
      <c r="O57" s="2753"/>
      <c r="P57" s="2912">
        <f ca="1">N57/M49</f>
        <v>0.57694155699569916</v>
      </c>
    </row>
    <row r="58" spans="1:35" ht="24.75">
      <c r="A58" s="2555" t="s">
        <v>2037</v>
      </c>
      <c r="B58" s="3422" t="s">
        <v>2054</v>
      </c>
      <c r="C58" s="3421"/>
      <c r="D58" s="2544">
        <f ca="1">IF(H58="转让取得",C81,C97)</f>
        <v>48375</v>
      </c>
      <c r="E58" s="2554" t="s">
        <v>2049</v>
      </c>
      <c r="F58" s="307" t="s">
        <v>34</v>
      </c>
      <c r="G58" s="2775"/>
      <c r="H58" s="2778"/>
      <c r="I58" s="1991"/>
      <c r="J58" s="3398"/>
      <c r="K58" s="3398"/>
      <c r="L58" s="2750" t="s">
        <v>2055</v>
      </c>
      <c r="M58" s="2754"/>
      <c r="N58" s="2755" t="str">
        <f ca="1">NUMBERSTRING(INT(N57*10000),2)&amp;"元整"</f>
        <v>肆亿玖仟贰佰叁拾壹万元整</v>
      </c>
      <c r="O58" s="2756"/>
    </row>
    <row r="59" spans="1:35" ht="24.75" thickBot="1">
      <c r="A59" s="3402" t="s">
        <v>2056</v>
      </c>
      <c r="B59" s="3403"/>
      <c r="C59" s="3403"/>
      <c r="D59" s="2780">
        <f ca="1">IF(H59="非个人房产","——",IF(H59="个人住宅（满五唯一有凭证）",0,IF(H59="个人其他（无凭证）",ROUND(D45*F59,0),ROUND(C67*F59,0))))</f>
        <v>813</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9"/>
      <c r="I59" s="2528" t="s">
        <v>2879</v>
      </c>
      <c r="J59" s="3400">
        <f>J57+1</f>
        <v>6</v>
      </c>
      <c r="K59" s="3398" t="s">
        <v>2057</v>
      </c>
      <c r="L59" s="2743" t="s">
        <v>2053</v>
      </c>
      <c r="M59" s="2757"/>
      <c r="N59" s="2758">
        <f ca="1">M49-N57</f>
        <v>36100</v>
      </c>
      <c r="O59" s="2759"/>
    </row>
    <row r="60" spans="1:35" ht="12" customHeight="1">
      <c r="A60" s="1992"/>
      <c r="B60" s="1930"/>
      <c r="C60" s="1930"/>
      <c r="D60" s="1930"/>
      <c r="E60" s="1761"/>
      <c r="F60" s="1991"/>
      <c r="G60" s="1991"/>
      <c r="H60" s="1993"/>
      <c r="I60" s="133"/>
      <c r="J60" s="3401"/>
      <c r="K60" s="3398"/>
      <c r="L60" s="2750" t="s">
        <v>2055</v>
      </c>
      <c r="M60" s="2754"/>
      <c r="N60" s="2755" t="str">
        <f ca="1">NUMBERSTRING(INT(N59*10000),2)&amp;"元整"</f>
        <v>叁亿陆仟壹佰万元整</v>
      </c>
      <c r="O60" s="2756"/>
    </row>
    <row r="61" spans="1:35" ht="13.5" thickBot="1">
      <c r="A61" s="3460" t="s">
        <v>2058</v>
      </c>
      <c r="B61" s="3460"/>
      <c r="C61" s="3460"/>
      <c r="D61" s="3460"/>
      <c r="E61" s="3460"/>
      <c r="F61" s="1991"/>
      <c r="G61" s="1991"/>
      <c r="H61" s="1993"/>
      <c r="I61" s="133"/>
      <c r="J61" s="2743">
        <f>J59+1</f>
        <v>7</v>
      </c>
      <c r="K61" s="3398" t="s">
        <v>2059</v>
      </c>
      <c r="L61" s="3398"/>
      <c r="M61" s="2760"/>
      <c r="N61" s="2761">
        <f ca="1">ROUND(N59*10000/'数据-汇总表'!E3,0)</f>
        <v>7796</v>
      </c>
      <c r="O61" s="2762"/>
    </row>
    <row r="62" spans="1:35" ht="12.75">
      <c r="A62" s="3417" t="s">
        <v>2060</v>
      </c>
      <c r="B62" s="3418"/>
      <c r="C62" s="2206"/>
      <c r="D62" s="2206" t="s">
        <v>2061</v>
      </c>
      <c r="E62" s="170" t="s">
        <v>2062</v>
      </c>
      <c r="F62" s="1991"/>
      <c r="G62" s="1991"/>
      <c r="H62" s="1993"/>
      <c r="I62" s="133"/>
    </row>
    <row r="63" spans="1:35" ht="12.75">
      <c r="A63" s="177" t="s">
        <v>775</v>
      </c>
      <c r="B63" s="171" t="s">
        <v>2063</v>
      </c>
      <c r="C63" s="2784">
        <f ca="1">ROUND((C64+C65)/(1+'数据-取费表'!C42),0)</f>
        <v>81268</v>
      </c>
      <c r="D63" s="171"/>
      <c r="E63" s="172"/>
      <c r="F63" s="1991"/>
      <c r="G63" s="1991"/>
      <c r="H63" s="1993"/>
      <c r="I63" s="133"/>
      <c r="J63" s="3381" t="s">
        <v>2064</v>
      </c>
      <c r="K63" s="1499" t="s">
        <v>2065</v>
      </c>
      <c r="L63" s="1499">
        <f ca="1">IF(M49&gt;10000,M49*0.5%,IF(AND(M49&gt;1000,M49&lt;=10000),M49*1%,IF(AND(M49&gt;100,M49&lt;=1000),M49*3%,IF(AND(M49&gt;10,M49&lt;=100),M49*5%,M49*8%))))</f>
        <v>426.65500000000003</v>
      </c>
      <c r="M63" s="307">
        <f ca="1">ROUND(L63,1)</f>
        <v>426.7</v>
      </c>
      <c r="N63" s="2763"/>
      <c r="Z63" s="1935"/>
      <c r="AI63" s="1936"/>
    </row>
    <row r="64" spans="1:35" ht="14.25" customHeight="1">
      <c r="A64" s="173" t="s">
        <v>770</v>
      </c>
      <c r="B64" s="174" t="s">
        <v>2066</v>
      </c>
      <c r="C64" s="2785">
        <f ca="1">D45</f>
        <v>85331</v>
      </c>
      <c r="D64" s="174" t="s">
        <v>32</v>
      </c>
      <c r="E64" s="176"/>
      <c r="F64" s="1991"/>
      <c r="G64" s="1991"/>
      <c r="H64" s="1993"/>
      <c r="I64" s="133"/>
      <c r="J64" s="3381"/>
      <c r="K64" s="1499" t="s">
        <v>2067</v>
      </c>
      <c r="L64" s="1499">
        <f ca="1">IF(M49&gt;2000,M49*0.5%,IF(AND(M49&gt;1000,M49&lt;=2000),M49*0.6%,IF(AND(M49&gt;500,M49&lt;=1000),M49*0.7%,IF(AND(M49&gt;200,M49&lt;=500),M49*0.8%,IF(AND(M49&gt;100,M49&lt;=200),M49*0.9%,IF(AND(M49&gt;50,M49&lt;=100),M49*1%,IF(AND(M49&gt;20,M49&lt;=50),M49*1.5%,IF(AND(M49&gt;10,M49&lt;=20),M49*2%,IF(AND(M49&gt;1,M49&lt;=10),M49*2.5%)))))))))</f>
        <v>426.65500000000003</v>
      </c>
      <c r="M64" s="307">
        <f t="shared" ref="M64:M65" ca="1" si="1">ROUND(L64,1)</f>
        <v>426.7</v>
      </c>
      <c r="N64" s="2764" t="s">
        <v>2068</v>
      </c>
      <c r="Z64" s="1935"/>
      <c r="AI64" s="1936"/>
    </row>
    <row r="65" spans="1:35" ht="14.25" customHeight="1">
      <c r="A65" s="173" t="s">
        <v>771</v>
      </c>
      <c r="B65" s="174" t="s">
        <v>2069</v>
      </c>
      <c r="C65" s="2786"/>
      <c r="D65" s="174"/>
      <c r="E65" s="176"/>
      <c r="F65" s="1991"/>
      <c r="G65" s="1991"/>
      <c r="H65" s="1993"/>
      <c r="I65" s="133"/>
      <c r="J65" s="3381"/>
      <c r="K65" s="1499" t="s">
        <v>2070</v>
      </c>
      <c r="L65" s="1499">
        <f ca="1">IF(M49&gt;1000,M49*0.1%,IF(AND(M49&gt;500,M49&lt;=1000),M49*0.5%,IF(AND(M49&gt;50,M49&lt;=500),M49*1%,IF(AND(M49&gt;1,M49&lt;=50),M49*1.5%))))</f>
        <v>85.331000000000003</v>
      </c>
      <c r="M65" s="307">
        <f t="shared" ca="1" si="1"/>
        <v>85.3</v>
      </c>
      <c r="N65" s="2764" t="s">
        <v>2068</v>
      </c>
      <c r="Z65" s="1935"/>
      <c r="AI65" s="1936"/>
    </row>
    <row r="66" spans="1:35" ht="14.25" customHeight="1">
      <c r="A66" s="177" t="s">
        <v>772</v>
      </c>
      <c r="B66" s="178" t="s">
        <v>2071</v>
      </c>
      <c r="C66" s="2787"/>
      <c r="D66" s="178" t="s">
        <v>32</v>
      </c>
      <c r="E66" s="1507" t="s">
        <v>1337</v>
      </c>
      <c r="F66" s="1991"/>
      <c r="G66" s="1991"/>
      <c r="H66" s="1993"/>
      <c r="I66" s="133"/>
      <c r="J66" s="3381"/>
      <c r="K66" s="1499" t="s">
        <v>2072</v>
      </c>
      <c r="L66" s="1499">
        <f ca="1">M49*0.5%</f>
        <v>426.65500000000003</v>
      </c>
      <c r="M66" s="307">
        <f ca="1">IF(L66&gt;0.5,0.5,ROUND(L66,0))</f>
        <v>0.5</v>
      </c>
      <c r="N66" s="2764" t="s">
        <v>2073</v>
      </c>
      <c r="Z66" s="1935"/>
      <c r="AI66" s="1936"/>
    </row>
    <row r="67" spans="1:35" ht="14.25" customHeight="1">
      <c r="A67" s="177" t="s">
        <v>773</v>
      </c>
      <c r="B67" s="178" t="s">
        <v>2074</v>
      </c>
      <c r="C67" s="2788">
        <f ca="1">C63-C66</f>
        <v>81268</v>
      </c>
      <c r="D67" s="174" t="s">
        <v>32</v>
      </c>
      <c r="E67" s="176"/>
      <c r="F67" s="1991"/>
      <c r="G67" s="1991"/>
      <c r="H67" s="1993"/>
      <c r="I67" s="133"/>
      <c r="J67" s="3381"/>
      <c r="K67" s="1499" t="s">
        <v>2075</v>
      </c>
      <c r="L67" s="1499">
        <f ca="1">IF(M49&gt;=10000,(8.25+(M49-10000)*0.01%),IF(AND(M49&gt;=8000,M49&lt;10000),(7.85+(M49-8000)*0.02%),IF(AND(M49&gt;=5000,M49&lt;8000),(6.65+(M49-5000)*0.04%),IF(AND(M49&gt;=2000,M49&lt;5000),(4.25+(PM49-2000)*0.08%),IF(AND(M49&gt;=1000,M49&lt;2000),(2.75+(M49-1000)*0.15%),IF(AND(M49&gt;=100,M49&lt;1000),(0.5+(M49-100)*0.25%),IF(AND(M49&gt;0,M49&lt;100),M49*0.5%)))))))</f>
        <v>15.783100000000001</v>
      </c>
      <c r="M67" s="307">
        <f ca="1">ROUND(L67*0.9,1)</f>
        <v>14.2</v>
      </c>
      <c r="N67" s="2763"/>
      <c r="Z67" s="1935"/>
      <c r="AI67" s="1936"/>
    </row>
    <row r="68" spans="1:35" ht="14.25" customHeight="1" thickBot="1">
      <c r="A68" s="180" t="s">
        <v>774</v>
      </c>
      <c r="B68" s="181" t="s">
        <v>2076</v>
      </c>
      <c r="C68" s="2789">
        <f ca="1">IF(C67&lt;=0,0,ROUND(C67*D68,0))</f>
        <v>4470</v>
      </c>
      <c r="D68" s="2790">
        <f>'数据-取费表'!B41</f>
        <v>5.5000000000000007E-2</v>
      </c>
      <c r="E68" s="183"/>
      <c r="F68" s="1991"/>
      <c r="G68" s="1991"/>
      <c r="H68" s="1993"/>
      <c r="I68" s="133"/>
      <c r="J68" s="3381"/>
      <c r="K68" s="1499" t="s">
        <v>2077</v>
      </c>
      <c r="L68" s="1499">
        <f ca="1">IF(M49&gt;10000,M49*0.5%,IF(AND(M49&gt;5000,M49&lt;=10000),M49*1%,IF(AND(M49&gt;1000,M49&lt;=5000),M49*2%,IF(AND(M49&gt;200,M49&lt;=1000),M49*3%,M49*5%))))</f>
        <v>426.65500000000003</v>
      </c>
      <c r="M68" s="307">
        <f ca="1">ROUND(L68,1)</f>
        <v>426.7</v>
      </c>
      <c r="N68" s="2763"/>
      <c r="Z68" s="1935"/>
      <c r="AI68" s="1936"/>
    </row>
    <row r="69" spans="1:35" s="1955" customFormat="1" ht="16.5" customHeight="1">
      <c r="A69" s="1994"/>
      <c r="B69" s="1995"/>
      <c r="C69" s="1996"/>
      <c r="D69" s="1997"/>
      <c r="E69" s="1998"/>
      <c r="F69" s="1761"/>
      <c r="G69" s="1761"/>
      <c r="H69" s="1760"/>
      <c r="I69" s="1930"/>
      <c r="J69" s="3381"/>
      <c r="K69" s="1499" t="s">
        <v>2078</v>
      </c>
      <c r="L69" s="1499"/>
      <c r="M69" s="307">
        <f ca="1">ROUND(SUM(M63:M68),0)</f>
        <v>1380</v>
      </c>
      <c r="N69" s="2765">
        <f ca="1">M69/M49</f>
        <v>1.6172317211798761E-2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425" t="s">
        <v>2079</v>
      </c>
      <c r="B70" s="3426"/>
      <c r="C70" s="3426"/>
      <c r="D70" s="3426"/>
      <c r="E70" s="3426"/>
      <c r="F70" s="3426"/>
      <c r="G70" s="3426"/>
      <c r="H70" s="3426"/>
      <c r="I70" s="1999"/>
      <c r="J70" s="2913"/>
      <c r="K70" s="2913"/>
      <c r="L70" s="2913"/>
      <c r="M70" s="2913"/>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417" t="s">
        <v>2060</v>
      </c>
      <c r="B71" s="3418"/>
      <c r="C71" s="2206"/>
      <c r="D71" s="2206" t="s">
        <v>2061</v>
      </c>
      <c r="E71" s="184" t="s">
        <v>2062</v>
      </c>
      <c r="F71" s="185"/>
      <c r="G71" s="185"/>
      <c r="H71" s="186"/>
      <c r="I71" s="2003"/>
      <c r="J71" s="2913"/>
      <c r="K71" s="2913"/>
      <c r="L71" s="2913"/>
      <c r="M71" s="2913"/>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2080</v>
      </c>
      <c r="C72" s="2788">
        <f ca="1">ROUND(D45/(1+'数据-取费表'!C42),0)</f>
        <v>81268</v>
      </c>
      <c r="D72" s="174" t="s">
        <v>32</v>
      </c>
      <c r="E72" s="2551"/>
      <c r="F72" s="2550"/>
      <c r="G72" s="2550"/>
      <c r="H72" s="187"/>
      <c r="I72" s="2003"/>
      <c r="J72" s="2913"/>
      <c r="K72" s="2913"/>
      <c r="L72" s="2913"/>
      <c r="M72" s="2913"/>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2081</v>
      </c>
      <c r="C73" s="2788">
        <f ca="1">C74+C78</f>
        <v>406</v>
      </c>
      <c r="D73" s="174" t="s">
        <v>32</v>
      </c>
      <c r="E73" s="2551"/>
      <c r="F73" s="2550"/>
      <c r="G73" s="2550"/>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2082</v>
      </c>
      <c r="C74" s="174">
        <f>ROUND(IF(G77="2016年5月1日后购买",C75/(1+'数据-取费表'!C42)+C76+C77,C75+C76+C77),0)</f>
        <v>0</v>
      </c>
      <c r="D74" s="174" t="s">
        <v>32</v>
      </c>
      <c r="E74" s="2551"/>
      <c r="F74" s="2550"/>
      <c r="G74" s="2550"/>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2083</v>
      </c>
      <c r="C75" s="2791"/>
      <c r="D75" s="174" t="s">
        <v>32</v>
      </c>
      <c r="E75" s="189" t="s">
        <v>2084</v>
      </c>
      <c r="F75" s="2792"/>
      <c r="G75" s="189" t="s">
        <v>2085</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2086</v>
      </c>
      <c r="C76" s="174">
        <f>IF(F75="购房发票",ROUND(C75*H75*D76,0),0)</f>
        <v>0</v>
      </c>
      <c r="D76" s="2794">
        <v>0.05</v>
      </c>
      <c r="E76" s="3422" t="s">
        <v>2087</v>
      </c>
      <c r="F76" s="3421"/>
      <c r="G76" s="3421"/>
      <c r="H76" s="3424"/>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2088</v>
      </c>
      <c r="C77" s="174">
        <f>ROUND(IF(G77="个人住宅",0,IF(G77="2016年5月1日前购买",C75*D77,C75*D77/(1+'数据-取费表'!C42))),0)</f>
        <v>0</v>
      </c>
      <c r="D77" s="2795">
        <f>'数据-取费表'!B48+'数据-取费表'!B49</f>
        <v>3.0499999999999999E-2</v>
      </c>
      <c r="E77" s="2544" t="s">
        <v>2089</v>
      </c>
      <c r="F77" s="191"/>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2090</v>
      </c>
      <c r="C78" s="2796">
        <f ca="1">ROUND(D45*D78/(1+'数据-取费表'!C42),0)</f>
        <v>406</v>
      </c>
      <c r="D78" s="2797">
        <f>'数据-取费表'!B43</f>
        <v>5.000000000000001E-3</v>
      </c>
      <c r="E78" s="3414" t="s">
        <v>2091</v>
      </c>
      <c r="F78" s="3415"/>
      <c r="G78" s="3415"/>
      <c r="H78" s="3416"/>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2092</v>
      </c>
      <c r="C79" s="2788">
        <f ca="1">C72-C73</f>
        <v>80862</v>
      </c>
      <c r="D79" s="174" t="s">
        <v>32</v>
      </c>
      <c r="E79" s="2551"/>
      <c r="F79" s="2550"/>
      <c r="G79" s="2550"/>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2093</v>
      </c>
      <c r="C80" s="2798">
        <f ca="1">IF(C79&lt;=0,0,C79/C73)</f>
        <v>199.16748768472905</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2094</v>
      </c>
      <c r="C81" s="2799">
        <f ca="1">ROUND(IF(C79&lt;=0,0,IF(C80&gt;=200%,C79*60%-C73*35%,IF(C80&gt;=100%,C79*50%-C73*15%,IF(C80&gt;=50%,C79*40%-C73*5%,IF(C80&lt;50%,C79*30%,0))))),0)</f>
        <v>48375</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425" t="s">
        <v>2095</v>
      </c>
      <c r="B83" s="3426"/>
      <c r="C83" s="3426"/>
      <c r="D83" s="3426"/>
      <c r="E83" s="3426"/>
      <c r="F83" s="3426"/>
      <c r="G83" s="3426"/>
      <c r="H83" s="3426"/>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417" t="s">
        <v>2060</v>
      </c>
      <c r="B84" s="3418"/>
      <c r="C84" s="2206"/>
      <c r="D84" s="2206" t="s">
        <v>2061</v>
      </c>
      <c r="E84" s="184" t="s">
        <v>2062</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2080</v>
      </c>
      <c r="C85" s="2788">
        <f ca="1">ROUND(D45/(1+'数据-取费表'!C42),0)</f>
        <v>81268</v>
      </c>
      <c r="D85" s="174" t="s">
        <v>32</v>
      </c>
      <c r="E85" s="2551"/>
      <c r="F85" s="2550"/>
      <c r="G85" s="2550"/>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2081</v>
      </c>
      <c r="C86" s="2788">
        <f ca="1">IF(H88="仅含出让金",C87+C90+C91+C92+C93+C94,C87+C91+C92+C93+C94)</f>
        <v>406</v>
      </c>
      <c r="D86" s="2801"/>
      <c r="E86" s="2551"/>
      <c r="F86" s="2550"/>
      <c r="G86" s="2550"/>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2096</v>
      </c>
      <c r="C87" s="2796">
        <f>C88+C89</f>
        <v>0</v>
      </c>
      <c r="D87" s="2797"/>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2097</v>
      </c>
      <c r="C88" s="2802"/>
      <c r="D88" s="2797"/>
      <c r="E88" s="198" t="s">
        <v>2098</v>
      </c>
      <c r="F88" s="2547"/>
      <c r="G88" s="199" t="s">
        <v>2099</v>
      </c>
      <c r="H88" s="2007"/>
      <c r="I88" s="2004"/>
      <c r="J88" s="2741"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2088</v>
      </c>
      <c r="C89" s="2796">
        <f>ROUND(C88*D89,0)</f>
        <v>0</v>
      </c>
      <c r="D89" s="2797">
        <f>'数据-取费表'!B48+'数据-取费表'!B49</f>
        <v>3.0499999999999999E-2</v>
      </c>
      <c r="E89" s="198" t="s">
        <v>2100</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2101</v>
      </c>
      <c r="C90" s="2802"/>
      <c r="D90" s="2797"/>
      <c r="E90" s="198" t="str">
        <f>IF(H88="-","土地取得成本中已包含该笔费用"," ")</f>
        <v xml:space="preserve"> </v>
      </c>
      <c r="F90" s="2547"/>
      <c r="G90" s="3383" t="s">
        <v>2871</v>
      </c>
      <c r="H90" s="3384"/>
      <c r="I90" s="2004"/>
      <c r="J90" s="2741"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2102</v>
      </c>
      <c r="B91" s="174" t="s">
        <v>2103</v>
      </c>
      <c r="C91" s="2796">
        <f>IF(H91="——",成本法!C33,I91)</f>
        <v>0</v>
      </c>
      <c r="D91" s="2797"/>
      <c r="E91" s="3414" t="s">
        <v>2104</v>
      </c>
      <c r="F91" s="3415"/>
      <c r="G91" s="3415"/>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2105</v>
      </c>
      <c r="B92" s="174" t="s">
        <v>2106</v>
      </c>
      <c r="C92" s="2796">
        <f>ROUND((C87+C90+C91)*D92,0)</f>
        <v>0</v>
      </c>
      <c r="D92" s="2803"/>
      <c r="E92" s="3414" t="s">
        <v>2107</v>
      </c>
      <c r="F92" s="3415"/>
      <c r="G92" s="3415"/>
      <c r="H92" s="3416"/>
      <c r="I92" s="2004"/>
      <c r="J92" s="2742"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2108</v>
      </c>
      <c r="B93" s="174" t="s">
        <v>2090</v>
      </c>
      <c r="C93" s="2796">
        <f ca="1">ROUND(D45*D93/(1+'数据-取费表'!C42),0)</f>
        <v>406</v>
      </c>
      <c r="D93" s="2797">
        <f>'数据-取费表'!B43</f>
        <v>5.000000000000001E-3</v>
      </c>
      <c r="E93" s="3414" t="s">
        <v>2091</v>
      </c>
      <c r="F93" s="3415"/>
      <c r="G93" s="3415"/>
      <c r="H93" s="3416"/>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2109</v>
      </c>
      <c r="B94" s="174" t="s">
        <v>2110</v>
      </c>
      <c r="C94" s="2802">
        <f>ROUND((C87+C90+C91)*D94,0)</f>
        <v>0</v>
      </c>
      <c r="D94" s="2797">
        <v>0.2</v>
      </c>
      <c r="E94" s="3462" t="s">
        <v>2111</v>
      </c>
      <c r="F94" s="3463"/>
      <c r="G94" s="3463"/>
      <c r="H94" s="3464"/>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2092</v>
      </c>
      <c r="C95" s="2788">
        <f ca="1">ROUND(C85-C86,0)</f>
        <v>80862</v>
      </c>
      <c r="D95" s="174" t="s">
        <v>32</v>
      </c>
      <c r="E95" s="2551"/>
      <c r="F95" s="2550"/>
      <c r="G95" s="2550"/>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2093</v>
      </c>
      <c r="C96" s="2798">
        <f ca="1">IF(C95&lt;=0,0,C95/C86)</f>
        <v>199.16748768472905</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2094</v>
      </c>
      <c r="C97" s="2799">
        <f ca="1">ROUND(IF(C95&lt;=0,0,IF(C96&gt;=200%,C95*60%-C86*35%,IF(C96&gt;=100%,C95*50%-C86*15%,IF(C96&gt;=50%,C95*40%-C86*5%,IF(C96&lt;50%,C95*30%,0))))),0)</f>
        <v>48375</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2112</v>
      </c>
      <c r="B99" s="1930"/>
      <c r="C99" s="1930"/>
      <c r="D99" s="1930"/>
      <c r="E99" s="1761"/>
      <c r="F99" s="1761"/>
      <c r="G99" s="1761"/>
      <c r="H99" s="1760"/>
      <c r="I99" s="133"/>
    </row>
    <row r="100" spans="1:35" ht="18.75" customHeight="1">
      <c r="A100" s="3323" t="s">
        <v>2113</v>
      </c>
      <c r="B100" s="3324"/>
      <c r="C100" s="3324"/>
      <c r="D100" s="3399"/>
      <c r="E100" s="3324" t="s">
        <v>2114</v>
      </c>
      <c r="F100" s="3324"/>
      <c r="G100" s="3324"/>
      <c r="H100" s="3399"/>
      <c r="I100" s="133"/>
    </row>
    <row r="101" spans="1:35" ht="18.75" customHeight="1">
      <c r="A101" s="3407" t="s">
        <v>2115</v>
      </c>
      <c r="B101" s="3408"/>
      <c r="C101" s="2805" t="str">
        <f>C4</f>
        <v>成本法</v>
      </c>
      <c r="D101" s="2806" t="str">
        <f>D4</f>
        <v>比较法-住宅</v>
      </c>
      <c r="E101" s="3377" t="s">
        <v>2116</v>
      </c>
      <c r="F101" s="3378"/>
      <c r="G101" s="2010" t="s">
        <v>2117</v>
      </c>
      <c r="H101" s="2815">
        <f ca="1">H118</f>
        <v>85331</v>
      </c>
      <c r="I101" s="133"/>
    </row>
    <row r="102" spans="1:35" ht="18.75" customHeight="1">
      <c r="A102" s="3409" t="s">
        <v>2118</v>
      </c>
      <c r="B102" s="2804" t="s">
        <v>2117</v>
      </c>
      <c r="C102" s="2805">
        <f ca="1">C19</f>
        <v>87862</v>
      </c>
      <c r="D102" s="2806">
        <f ca="1">D19</f>
        <v>82800</v>
      </c>
      <c r="E102" s="3377"/>
      <c r="F102" s="3378"/>
      <c r="G102" s="2010" t="s">
        <v>2119</v>
      </c>
      <c r="H102" s="2775">
        <f ca="1">I118</f>
        <v>54321</v>
      </c>
      <c r="I102" s="133"/>
    </row>
    <row r="103" spans="1:35" ht="42.75" customHeight="1">
      <c r="A103" s="3409"/>
      <c r="B103" s="2804" t="s">
        <v>2119</v>
      </c>
      <c r="C103" s="2807">
        <f ca="1">C20</f>
        <v>55932</v>
      </c>
      <c r="D103" s="2808">
        <f ca="1">D20</f>
        <v>52710</v>
      </c>
      <c r="E103" s="3370" t="s">
        <v>2120</v>
      </c>
      <c r="F103" s="3371"/>
      <c r="G103" s="2011" t="s">
        <v>2121</v>
      </c>
      <c r="H103" s="2815">
        <f>IF(D36="正常操作",H104+H105+H106,H105+H106)</f>
        <v>0</v>
      </c>
      <c r="I103" s="133"/>
    </row>
    <row r="104" spans="1:35" ht="18.75" customHeight="1">
      <c r="A104" s="3409" t="s">
        <v>2122</v>
      </c>
      <c r="B104" s="2809" t="s">
        <v>2117</v>
      </c>
      <c r="C104" s="2810">
        <f ca="1">H118</f>
        <v>85331</v>
      </c>
      <c r="D104" s="2811"/>
      <c r="E104" s="1857" t="s">
        <v>2123</v>
      </c>
      <c r="F104" s="1849"/>
      <c r="G104" s="2011" t="s">
        <v>2121</v>
      </c>
      <c r="H104" s="2816">
        <f>IF(D36="同一抵押权人同一抵押物续贷",C36&amp;"（续贷，未扣减，详见特别提示）",C36)</f>
        <v>0</v>
      </c>
      <c r="I104" s="133"/>
    </row>
    <row r="105" spans="1:35" ht="18.75" customHeight="1" thickBot="1">
      <c r="A105" s="3419"/>
      <c r="B105" s="2812" t="s">
        <v>2119</v>
      </c>
      <c r="C105" s="2813">
        <f ca="1">I118</f>
        <v>54321</v>
      </c>
      <c r="D105" s="2814"/>
      <c r="E105" s="1857" t="s">
        <v>2124</v>
      </c>
      <c r="F105" s="1849"/>
      <c r="G105" s="2011" t="s">
        <v>2121</v>
      </c>
      <c r="H105" s="2817">
        <f>C37</f>
        <v>0</v>
      </c>
      <c r="I105" s="133"/>
    </row>
    <row r="106" spans="1:35" ht="18.75" customHeight="1">
      <c r="A106" s="1930" t="s">
        <v>2125</v>
      </c>
      <c r="B106" s="1930"/>
      <c r="C106" s="1930"/>
      <c r="D106" s="1930"/>
      <c r="E106" s="2012" t="s">
        <v>2126</v>
      </c>
      <c r="F106" s="1849"/>
      <c r="G106" s="2011" t="s">
        <v>2121</v>
      </c>
      <c r="H106" s="2817">
        <f>C38</f>
        <v>0</v>
      </c>
      <c r="I106" s="133"/>
    </row>
    <row r="107" spans="1:35" ht="18.75" customHeight="1">
      <c r="A107" s="133"/>
      <c r="B107" s="133"/>
      <c r="C107" s="133"/>
      <c r="D107" s="133"/>
      <c r="E107" s="3410" t="str">
        <f>IF(项目基本情况!E8="已注销","——","3.房地产抵押价值")</f>
        <v>3.房地产抵押价值</v>
      </c>
      <c r="F107" s="3378"/>
      <c r="G107" s="2010" t="s">
        <v>2117</v>
      </c>
      <c r="H107" s="2815">
        <f ca="1">IF(E107="——","——",H101-H103)</f>
        <v>85331</v>
      </c>
      <c r="I107" s="133"/>
    </row>
    <row r="108" spans="1:35" ht="18.75" customHeight="1">
      <c r="A108" s="133"/>
      <c r="B108" s="133"/>
      <c r="C108" s="133"/>
      <c r="D108" s="133"/>
      <c r="E108" s="3410"/>
      <c r="F108" s="3378"/>
      <c r="G108" s="2010" t="s">
        <v>2119</v>
      </c>
      <c r="H108" s="2775">
        <f ca="1">ROUND(H107*10000/'数据-汇总表'!E3,0)</f>
        <v>18427</v>
      </c>
      <c r="I108" s="133"/>
    </row>
    <row r="109" spans="1:35" ht="18.75" customHeight="1">
      <c r="A109" s="133"/>
      <c r="B109" s="133"/>
      <c r="C109" s="133"/>
      <c r="D109" s="133"/>
      <c r="E109" s="3410" t="str">
        <f>IF(项目基本情况!E8="已注销及未注销","4.抵押担保权已注销时的房地产抵押价值",IF(项目基本情况!E8="已注销","3.抵押担保权已注销时的房地产抵押价值","——"))</f>
        <v>——</v>
      </c>
      <c r="F109" s="3378"/>
      <c r="G109" s="2010" t="s">
        <v>2117</v>
      </c>
      <c r="H109" s="2818" t="str">
        <f>IF(E109="——","——",H101-H105-H106)</f>
        <v>——</v>
      </c>
      <c r="I109" s="133"/>
    </row>
    <row r="110" spans="1:35" ht="18.75" customHeight="1">
      <c r="A110" s="133"/>
      <c r="B110" s="133"/>
      <c r="C110" s="133"/>
      <c r="D110" s="133"/>
      <c r="E110" s="3410"/>
      <c r="F110" s="3378"/>
      <c r="G110" s="2010" t="s">
        <v>2119</v>
      </c>
      <c r="H110" s="2775" t="str">
        <f>IF(H109="——","——",ROUND(H109*10000/'数据-汇总表'!E3,0))</f>
        <v>——</v>
      </c>
      <c r="I110" s="133"/>
    </row>
    <row r="111" spans="1:35" ht="18.75" customHeight="1">
      <c r="A111" s="133"/>
      <c r="B111" s="133"/>
      <c r="C111" s="133"/>
      <c r="D111" s="133"/>
      <c r="E111" s="3411" t="str">
        <f>IF(项目基本情况!E9="抵押净值",IF(OR(项目基本情况!E8="已注销",项目基本情况!E8="房地产抵押价值"),"4.抵押净值","5.抵押净值"),"——")</f>
        <v>——</v>
      </c>
      <c r="F111" s="3397"/>
      <c r="G111" s="2010" t="s">
        <v>2117</v>
      </c>
      <c r="H111" s="2815" t="str">
        <f>IF(E111="——","——",N59)</f>
        <v>——</v>
      </c>
      <c r="I111" s="133"/>
    </row>
    <row r="112" spans="1:35" ht="18.75" customHeight="1" thickBot="1">
      <c r="A112" s="133"/>
      <c r="B112" s="133"/>
      <c r="C112" s="133"/>
      <c r="D112" s="133"/>
      <c r="E112" s="3412"/>
      <c r="F112" s="3413"/>
      <c r="G112" s="2013" t="s">
        <v>2119</v>
      </c>
      <c r="H112" s="2819" t="str">
        <f>IF(E111="——","——",N61)</f>
        <v>——</v>
      </c>
      <c r="I112" s="133"/>
    </row>
    <row r="113" spans="1:27" ht="18.75" customHeight="1">
      <c r="A113" s="133"/>
      <c r="B113" s="133"/>
      <c r="C113" s="133"/>
      <c r="D113" s="133"/>
      <c r="E113" s="3420" t="s">
        <v>2125</v>
      </c>
      <c r="F113" s="3420"/>
      <c r="G113" s="3420"/>
      <c r="H113" s="3420"/>
      <c r="I113" s="133"/>
    </row>
    <row r="114" spans="1:27" ht="3.75" customHeight="1">
      <c r="A114" s="1930"/>
      <c r="B114" s="1930"/>
      <c r="C114" s="1930"/>
      <c r="D114" s="1930"/>
      <c r="E114" s="1992"/>
      <c r="F114" s="1992"/>
      <c r="G114" s="1992"/>
      <c r="H114" s="1992"/>
      <c r="I114" s="1930"/>
    </row>
    <row r="115" spans="1:27" ht="18.75" customHeight="1">
      <c r="A115" s="3431" t="s">
        <v>2127</v>
      </c>
      <c r="B115" s="3432"/>
      <c r="C115" s="3432"/>
      <c r="D115" s="3432"/>
      <c r="E115" s="3432"/>
      <c r="F115" s="3432"/>
      <c r="G115" s="3432"/>
      <c r="H115" s="3432"/>
      <c r="I115" s="3433"/>
    </row>
    <row r="116" spans="1:27" ht="27" customHeight="1">
      <c r="A116" s="3385" t="s">
        <v>2128</v>
      </c>
      <c r="B116" s="3389" t="s">
        <v>2129</v>
      </c>
      <c r="C116" s="3389" t="s">
        <v>2130</v>
      </c>
      <c r="D116" s="3395" t="s">
        <v>2131</v>
      </c>
      <c r="E116" s="3396"/>
      <c r="F116" s="3427" t="s">
        <v>2132</v>
      </c>
      <c r="G116" s="3427"/>
      <c r="H116" s="3385" t="s">
        <v>2133</v>
      </c>
      <c r="I116" s="3385"/>
    </row>
    <row r="117" spans="1:27" ht="18.75" customHeight="1">
      <c r="A117" s="3385"/>
      <c r="B117" s="3390"/>
      <c r="C117" s="3390"/>
      <c r="D117" s="2549" t="s">
        <v>2134</v>
      </c>
      <c r="E117" s="2549" t="s">
        <v>2135</v>
      </c>
      <c r="F117" s="2549" t="s">
        <v>2134</v>
      </c>
      <c r="G117" s="2549" t="s">
        <v>2136</v>
      </c>
      <c r="H117" s="2549" t="s">
        <v>2134</v>
      </c>
      <c r="I117" s="2549" t="s">
        <v>2136</v>
      </c>
    </row>
    <row r="118" spans="1:27" ht="24.75" customHeight="1">
      <c r="A118" s="2820" t="str">
        <f>项目基本情况!S2</f>
        <v>北京市0331地块部分现房房地产</v>
      </c>
      <c r="B118" s="2549">
        <f>M18</f>
        <v>15708.62</v>
      </c>
      <c r="C118" s="2549">
        <f>M19</f>
        <v>7866.14</v>
      </c>
      <c r="D118" s="2549">
        <f ca="1">ROUND(IF(D32="总价",C34,E118*B118/10000),0)</f>
        <v>78334</v>
      </c>
      <c r="E118" s="2549">
        <f ca="1">ROUND(IF(C33="自定义",IF(D32="楼面单价",C34,D118*10000/B118),I118-G118),0)</f>
        <v>49867</v>
      </c>
      <c r="F118" s="2549">
        <f ca="1">ROUND(IF(D32="总价",C35,G118*B118/10000),0)</f>
        <v>6997</v>
      </c>
      <c r="G118" s="2549">
        <f ca="1">ROUND(IF(D32="楼面单价",C35,F118*10000/B118),0)</f>
        <v>4454</v>
      </c>
      <c r="H118" s="2549">
        <f ca="1">ROUND(IF(D32="总价",C32,I118*B118/10000),0)</f>
        <v>85331</v>
      </c>
      <c r="I118" s="2549">
        <f ca="1">ROUND(IF(D32="楼面单价",C32,H118*10000/B118),0)</f>
        <v>54321</v>
      </c>
    </row>
    <row r="119" spans="1:27" ht="18.75" customHeight="1">
      <c r="A119" s="3385" t="s">
        <v>2137</v>
      </c>
      <c r="B119" s="3385"/>
      <c r="C119" s="3385"/>
      <c r="D119" s="3391" t="str">
        <f ca="1">NUMBERSTRING(INT(D118*10000),2)&amp;"元整"</f>
        <v>柒亿捌仟叁佰叁拾肆万元整</v>
      </c>
      <c r="E119" s="3392"/>
      <c r="F119" s="3391" t="str">
        <f ca="1">NUMBERSTRING(INT(F118*10000),2)&amp;"元整"</f>
        <v>陆仟玖佰玖拾柒万元整</v>
      </c>
      <c r="G119" s="3392"/>
      <c r="H119" s="3391" t="str">
        <f ca="1">NUMBERSTRING(INT(H118*10000),2)&amp;"元整"</f>
        <v>捌亿伍仟叁佰叁拾壹万元整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428" t="s">
        <v>2137</v>
      </c>
      <c r="B121" s="3429"/>
      <c r="C121" s="3430"/>
      <c r="D121" s="3391" t="str">
        <f>IF(D120=0,"零元整",NUMBERSTRING(INT(D120*10000),2)&amp;"元整")</f>
        <v>零元整</v>
      </c>
      <c r="E121" s="3393"/>
      <c r="F121" s="3393"/>
      <c r="G121" s="3393"/>
      <c r="H121" s="3393"/>
      <c r="I121" s="3392"/>
      <c r="AA121" s="733"/>
    </row>
    <row r="122" spans="1:27" ht="18.75" customHeight="1">
      <c r="A122" s="3397" t="str">
        <f>IF(项目基本情况!B9="房地产市场价值","",MID(E107,3,LEN(E107)-2))</f>
        <v>房地产抵押价值</v>
      </c>
      <c r="B122" s="3397"/>
      <c r="C122" s="3397"/>
      <c r="D122" s="3386">
        <f ca="1">H107</f>
        <v>85331</v>
      </c>
      <c r="E122" s="3387"/>
      <c r="F122" s="3387"/>
      <c r="G122" s="3387"/>
      <c r="H122" s="3387"/>
      <c r="I122" s="3388"/>
      <c r="AA122" s="733"/>
    </row>
    <row r="123" spans="1:27" ht="18.75" customHeight="1">
      <c r="A123" s="3385" t="s">
        <v>2137</v>
      </c>
      <c r="B123" s="3385"/>
      <c r="C123" s="3385"/>
      <c r="D123" s="3391" t="str">
        <f ca="1">NUMBERSTRING(INT(D122*10000),2)&amp;"元整"</f>
        <v>捌亿伍仟叁佰叁拾壹万元整</v>
      </c>
      <c r="E123" s="3393"/>
      <c r="F123" s="3393"/>
      <c r="G123" s="3393"/>
      <c r="H123" s="3393"/>
      <c r="I123" s="3392"/>
      <c r="AA123" s="733"/>
    </row>
    <row r="124" spans="1:27" ht="18.75" customHeight="1">
      <c r="A124" s="3397" t="str">
        <f>IF(项目基本情况!B9="房地产市场价值","",MID(E109,3,LEN(E109)-2))</f>
        <v/>
      </c>
      <c r="B124" s="3397"/>
      <c r="C124" s="3397"/>
      <c r="D124" s="3386" t="str">
        <f>H109</f>
        <v>——</v>
      </c>
      <c r="E124" s="3387"/>
      <c r="F124" s="3387"/>
      <c r="G124" s="3387"/>
      <c r="H124" s="3387"/>
      <c r="I124" s="3388"/>
      <c r="AA124" s="733"/>
    </row>
    <row r="125" spans="1:27" ht="18.75" customHeight="1">
      <c r="A125" s="3385" t="s">
        <v>2137</v>
      </c>
      <c r="B125" s="3385"/>
      <c r="C125" s="3385"/>
      <c r="D125" s="3391" t="e">
        <f>NUMBERSTRING(INT(D124*10000),2)&amp;"元整"</f>
        <v>#VALUE!</v>
      </c>
      <c r="E125" s="3393"/>
      <c r="F125" s="3393"/>
      <c r="G125" s="3393"/>
      <c r="H125" s="3393"/>
      <c r="I125" s="3392"/>
      <c r="AA125" s="733"/>
    </row>
    <row r="126" spans="1:27" ht="18.75" customHeight="1">
      <c r="A126" s="3397" t="str">
        <f>IF(项目基本情况!B9="房地产市场价值","",MID(E111,3,LEN(E111)-2))</f>
        <v/>
      </c>
      <c r="B126" s="3397"/>
      <c r="C126" s="3397"/>
      <c r="D126" s="3386" t="str">
        <f>H111</f>
        <v>——</v>
      </c>
      <c r="E126" s="3387"/>
      <c r="F126" s="3387"/>
      <c r="G126" s="3387"/>
      <c r="H126" s="3387"/>
      <c r="I126" s="3388"/>
      <c r="AA126" s="733"/>
    </row>
    <row r="127" spans="1:27" ht="18.75" customHeight="1">
      <c r="A127" s="3385" t="s">
        <v>2137</v>
      </c>
      <c r="B127" s="3385"/>
      <c r="C127" s="3385"/>
      <c r="D127" s="3391" t="e">
        <f>NUMBERSTRING(INT(D126*10000),2)&amp;"元整"</f>
        <v>#VALUE!</v>
      </c>
      <c r="E127" s="3393"/>
      <c r="F127" s="3393"/>
      <c r="G127" s="3393"/>
      <c r="H127" s="3393"/>
      <c r="I127" s="3392"/>
      <c r="AA127" s="733"/>
    </row>
    <row r="128" spans="1:27" ht="21.75" customHeight="1">
      <c r="A128" s="3394" t="s">
        <v>2138</v>
      </c>
      <c r="B128" s="3394"/>
      <c r="C128" s="3394"/>
      <c r="D128" s="3394"/>
      <c r="E128" s="3394"/>
      <c r="F128" s="3394"/>
      <c r="G128" s="3394"/>
      <c r="H128" s="3394"/>
      <c r="I128" s="3394"/>
      <c r="AA128" s="733"/>
    </row>
    <row r="129" spans="1:35" ht="21.75" customHeight="1">
      <c r="A129" s="2014" t="s">
        <v>2139</v>
      </c>
      <c r="B129" s="2015"/>
      <c r="C129" s="2016" t="s">
        <v>2140</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2141</v>
      </c>
      <c r="G135" s="2031"/>
      <c r="H135" s="2031"/>
      <c r="I135" s="2032" t="s">
        <v>2142</v>
      </c>
    </row>
    <row r="136" spans="1:35" ht="21.75" customHeight="1">
      <c r="A136" s="733"/>
      <c r="B136" s="2033"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2144</v>
      </c>
    </row>
    <row r="139" spans="1:35" ht="21.75" customHeight="1">
      <c r="A139" s="733"/>
      <c r="B139" s="2033" t="s">
        <v>2145</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2144</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"100%,80%,60%,64%"</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110" zoomScaleNormal="70" zoomScaleSheetLayoutView="110" workbookViewId="0">
      <selection activeCell="C39" sqref="C3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2" t="s">
        <v>4182</v>
      </c>
      <c r="C1" s="203"/>
      <c r="D1" s="203"/>
      <c r="E1" s="203"/>
      <c r="F1" s="203"/>
      <c r="G1" s="1287">
        <f>MATCH(B1,'数据-取费表'!A6:A16,0)+5</f>
        <v>6</v>
      </c>
    </row>
    <row r="2" spans="1:9" s="205" customFormat="1" ht="18" customHeight="1">
      <c r="A2" s="206" t="s">
        <v>2147</v>
      </c>
      <c r="B2" s="207">
        <f ca="1">IF(D2="——",C52,C52-E2)</f>
        <v>87862</v>
      </c>
      <c r="C2" s="204" t="s">
        <v>2148</v>
      </c>
      <c r="D2" s="2036" t="s">
        <v>70</v>
      </c>
      <c r="E2" s="1330" t="e">
        <f ca="1">SUMIF(INDIRECT("'"&amp;G2&amp;"'"&amp;"!A:A"),"承租人权益价值",INDIRECT("'"&amp;G2&amp;"'"&amp;"!c:c"))</f>
        <v>#REF!</v>
      </c>
      <c r="F2" s="2037" t="s">
        <v>2148</v>
      </c>
      <c r="G2" s="2038"/>
    </row>
    <row r="3" spans="1:9" s="205" customFormat="1" ht="18" customHeight="1" thickBot="1">
      <c r="A3" s="208" t="s">
        <v>2149</v>
      </c>
      <c r="B3" s="209">
        <f ca="1">ROUND(B2*10000/(IF(B1="",'数据-汇总表'!E3,INDIRECT("'数据-取费表'!k"&amp;$G$1))),0)</f>
        <v>55932</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C6+C7+C8</f>
        <v>60238</v>
      </c>
      <c r="D5" s="216" t="s">
        <v>2154</v>
      </c>
      <c r="E5" s="217" t="s">
        <v>2155</v>
      </c>
      <c r="F5" s="217" t="s">
        <v>2156</v>
      </c>
      <c r="G5" s="218"/>
    </row>
    <row r="6" spans="1:9" s="219" customFormat="1" ht="13.5" customHeight="1">
      <c r="A6" s="885" t="s">
        <v>2157</v>
      </c>
      <c r="B6" s="220" t="s">
        <v>2158</v>
      </c>
      <c r="C6" s="221">
        <f>'土地比较法-住宅、综合'!F56</f>
        <v>58455</v>
      </c>
      <c r="D6" s="222"/>
      <c r="E6" s="223"/>
      <c r="F6" s="223"/>
      <c r="G6" s="224"/>
    </row>
    <row r="7" spans="1:9" s="219" customFormat="1" ht="13.5" customHeight="1">
      <c r="A7" s="885" t="s">
        <v>2159</v>
      </c>
      <c r="B7" s="220" t="s">
        <v>2160</v>
      </c>
      <c r="C7" s="225">
        <f>ROUND(C6*F7,0)</f>
        <v>1783</v>
      </c>
      <c r="D7" s="225"/>
      <c r="E7" s="223"/>
      <c r="F7" s="226">
        <f>IF(项目基本情况!B8="出让",0,'数据-取费表'!B48+'数据-取费表'!B49)</f>
        <v>3.0499999999999999E-2</v>
      </c>
      <c r="G7" s="224"/>
    </row>
    <row r="8" spans="1:9" s="228" customFormat="1">
      <c r="A8" s="885" t="s">
        <v>2161</v>
      </c>
      <c r="B8" s="220" t="s">
        <v>2162</v>
      </c>
      <c r="C8" s="225">
        <f>IF(G8="已包含在土地购买价格中","0",IF(B1="",'数据-取费表'!B29,IF(G9="全部缴纳",C9+C10,H9)))</f>
        <v>0</v>
      </c>
      <c r="D8" s="227"/>
      <c r="E8" s="225"/>
      <c r="F8" s="226"/>
      <c r="G8" s="2039"/>
    </row>
    <row r="9" spans="1:9" s="219" customFormat="1" ht="13.5" customHeight="1">
      <c r="A9" s="886" t="s">
        <v>800</v>
      </c>
      <c r="B9" s="229" t="s">
        <v>2163</v>
      </c>
      <c r="C9" s="230">
        <f ca="1">ROUND(D9*E9/10000,0)</f>
        <v>0</v>
      </c>
      <c r="D9" s="953">
        <f ca="1">IF(B1="",'数据-汇总表'!E5,IF(INDIRECT("'数据-取费表'!c"&amp;$G$1)="住宅",INDIRECT("'数据-取费表'!k"&amp;$G$1),0))</f>
        <v>15708.62</v>
      </c>
      <c r="E9" s="230">
        <f>'数据-取费表'!B27</f>
        <v>0</v>
      </c>
      <c r="F9" s="226"/>
      <c r="G9" s="2040"/>
      <c r="H9" s="1298"/>
      <c r="I9" s="2041" t="s">
        <v>2164</v>
      </c>
    </row>
    <row r="10" spans="1:9" s="219" customFormat="1" ht="13.5" customHeight="1">
      <c r="A10" s="886" t="s">
        <v>801</v>
      </c>
      <c r="B10" s="229" t="s">
        <v>2165</v>
      </c>
      <c r="C10" s="230">
        <f ca="1">ROUND(D10*E10/10000,0)</f>
        <v>0</v>
      </c>
      <c r="D10" s="953">
        <f ca="1">IF(B1="",'数据-汇总表'!E6,IF(INDIRECT("'数据-取费表'!c"&amp;$G$1)="住宅",INDIRECT("'数据-取费表'!s"&amp;$G$1),INDIRECT("'数据-取费表'!k"&amp;$G$1)+INDIRECT("'数据-取费表'!s"&amp;$G$1)))</f>
        <v>0</v>
      </c>
      <c r="E10" s="230">
        <f>'数据-取费表'!B28</f>
        <v>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2169</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2169</v>
      </c>
      <c r="C16" s="225"/>
      <c r="D16" s="955"/>
      <c r="E16" s="223"/>
      <c r="F16" s="223"/>
      <c r="G16" s="224"/>
    </row>
    <row r="17" spans="1:8" s="219" customFormat="1" ht="13.5" hidden="1" customHeight="1">
      <c r="A17" s="232" t="s">
        <v>13</v>
      </c>
      <c r="B17" s="220" t="s">
        <v>2173</v>
      </c>
      <c r="C17" s="234"/>
      <c r="D17" s="956"/>
      <c r="E17" s="234"/>
      <c r="F17" s="234"/>
      <c r="G17" s="224" t="s">
        <v>2172</v>
      </c>
    </row>
    <row r="18" spans="1:8" s="219" customFormat="1" ht="13.5" hidden="1" customHeight="1">
      <c r="A18" s="232" t="s">
        <v>14</v>
      </c>
      <c r="B18" s="220" t="s">
        <v>2174</v>
      </c>
      <c r="C18" s="225">
        <v>0</v>
      </c>
      <c r="D18" s="955"/>
      <c r="E18" s="223"/>
      <c r="F18" s="226">
        <v>3.0499999999999999E-2</v>
      </c>
      <c r="G18" s="224" t="s">
        <v>2175</v>
      </c>
    </row>
    <row r="19" spans="1:8" s="228" customFormat="1" ht="13.5" customHeight="1">
      <c r="A19" s="260" t="s">
        <v>2176</v>
      </c>
      <c r="B19" s="215" t="s">
        <v>2177</v>
      </c>
      <c r="C19" s="216" t="str">
        <f>IF(G19="已包含在土地取得成本中","0",ROUND(D19*E19/10000,0))</f>
        <v>0</v>
      </c>
      <c r="D19" s="957">
        <f ca="1">D9+D10</f>
        <v>15708.62</v>
      </c>
      <c r="E19" s="216">
        <f>'数据-取费表'!B31</f>
        <v>200</v>
      </c>
      <c r="F19" s="236"/>
      <c r="G19" s="2039" t="s">
        <v>4213</v>
      </c>
    </row>
    <row r="20" spans="1:8" s="219" customFormat="1" ht="13.5" customHeight="1">
      <c r="A20" s="260" t="s">
        <v>2178</v>
      </c>
      <c r="B20" s="215" t="s">
        <v>2179</v>
      </c>
      <c r="C20" s="237">
        <f>ROUND((C5+C19)*F20,0)</f>
        <v>1807</v>
      </c>
      <c r="D20" s="237"/>
      <c r="E20" s="237"/>
      <c r="F20" s="238">
        <f>'数据-取费表'!B37</f>
        <v>0.03</v>
      </c>
      <c r="G20" s="239" t="s">
        <v>2180</v>
      </c>
    </row>
    <row r="21" spans="1:8" s="219" customFormat="1" ht="13.5" customHeight="1">
      <c r="A21" s="260" t="s">
        <v>2181</v>
      </c>
      <c r="B21" s="215" t="s">
        <v>2182</v>
      </c>
      <c r="C21" s="240">
        <f>F21</f>
        <v>0.03</v>
      </c>
      <c r="D21" s="241" t="s">
        <v>2183</v>
      </c>
      <c r="E21" s="237"/>
      <c r="F21" s="238">
        <f>'数据-取费表'!B38</f>
        <v>0.03</v>
      </c>
      <c r="G21" s="239" t="s">
        <v>2184</v>
      </c>
    </row>
    <row r="22" spans="1:8" s="219" customFormat="1" ht="13.5" customHeight="1">
      <c r="A22" s="260" t="s">
        <v>2185</v>
      </c>
      <c r="B22" s="215" t="s">
        <v>2186</v>
      </c>
      <c r="C22" s="1263">
        <f ca="1">ROUND(SUM(C23:C25),0)</f>
        <v>5434</v>
      </c>
      <c r="D22" s="240">
        <f ca="1">C26</f>
        <v>1.2999999999999999E-3</v>
      </c>
      <c r="E22" s="241" t="s">
        <v>2183</v>
      </c>
      <c r="F22" s="242">
        <f ca="1">'数据-取费表'!B40</f>
        <v>4.3499999999999997E-2</v>
      </c>
      <c r="G22" s="239" t="str">
        <f>IF('数据-取费表'!B22&lt;=1,"单利计息","复利计息")</f>
        <v>复利计息</v>
      </c>
    </row>
    <row r="23" spans="1:8" s="219" customFormat="1" ht="13.5" customHeight="1">
      <c r="A23" s="887" t="s">
        <v>2187</v>
      </c>
      <c r="B23" s="220" t="s">
        <v>2188</v>
      </c>
      <c r="C23" s="1264">
        <f ca="1">ROUND(IF('数据-取费表'!B22&lt;=1,C5*F22*'数据-取费表'!B23,C5*(POWER((1+F22),'数据-取费表'!B23)-1)),0)</f>
        <v>5355</v>
      </c>
      <c r="D23" s="243"/>
      <c r="E23" s="243"/>
      <c r="F23" s="244"/>
      <c r="G23" s="245" t="s">
        <v>2189</v>
      </c>
    </row>
    <row r="24" spans="1:8" s="219" customFormat="1" ht="13.5" customHeight="1">
      <c r="A24" s="887" t="s">
        <v>2190</v>
      </c>
      <c r="B24" s="220" t="s">
        <v>2191</v>
      </c>
      <c r="C24" s="1264">
        <f ca="1">ROUND(IF('数据-取费表'!B22&lt;=1,C19*F22*('数据-取费表'!B19/2+'数据-取费表'!B21),C19*(POWER((1+F22),('数据-取费表'!B19/2+'数据-取费表'!B21))-1)),0)</f>
        <v>0</v>
      </c>
      <c r="D24" s="243"/>
      <c r="E24" s="243"/>
      <c r="F24" s="244"/>
      <c r="G24" s="245" t="s">
        <v>2192</v>
      </c>
    </row>
    <row r="25" spans="1:8" s="219" customFormat="1" ht="24">
      <c r="A25" s="887" t="s">
        <v>2193</v>
      </c>
      <c r="B25" s="220" t="s">
        <v>2194</v>
      </c>
      <c r="C25" s="1264">
        <f ca="1">ROUND(IF('数据-取费表'!B22&lt;=1,C20*F22*'数据-取费表'!B23/2,C20*(POWER((1+F22),'数据-取费表'!B23/2)-1)),0)</f>
        <v>79</v>
      </c>
      <c r="D25" s="243"/>
      <c r="E25" s="246"/>
      <c r="F25" s="244"/>
      <c r="G25" s="247" t="s">
        <v>2195</v>
      </c>
    </row>
    <row r="26" spans="1:8" s="219" customFormat="1">
      <c r="A26" s="887" t="s">
        <v>795</v>
      </c>
      <c r="B26" s="220" t="s">
        <v>2196</v>
      </c>
      <c r="C26" s="243">
        <f ca="1">ROUND(IF('数据-取费表'!B22&lt;=1,F21*F22*'数据-取费表'!B23/2,F21*(POWER((1+F22),'数据-取费表'!B23/2)-1)),4)</f>
        <v>1.2999999999999999E-3</v>
      </c>
      <c r="D26" s="243"/>
      <c r="E26" s="246"/>
      <c r="F26" s="244"/>
      <c r="G26" s="248"/>
    </row>
    <row r="27" spans="1:8" s="219" customFormat="1" ht="24.75">
      <c r="A27" s="260" t="s">
        <v>2197</v>
      </c>
      <c r="B27" s="249" t="s">
        <v>2198</v>
      </c>
      <c r="C27" s="250">
        <f ca="1">C28</f>
        <v>6205</v>
      </c>
      <c r="D27" s="240">
        <f ca="1">C29</f>
        <v>3.0000000000000001E-3</v>
      </c>
      <c r="E27" s="241" t="s">
        <v>2199</v>
      </c>
      <c r="F27" s="251">
        <f ca="1">IF(B1="",'数据-取费表'!Q16,INDIRECT("'数据-取费表'!q"&amp;$G$1))</f>
        <v>0.1</v>
      </c>
      <c r="G27" s="252" t="s">
        <v>2200</v>
      </c>
      <c r="H27" s="219">
        <f>60238*((1+4.35%)^(0+2)-1)</f>
        <v>5354.6913555000137</v>
      </c>
    </row>
    <row r="28" spans="1:8" s="219" customFormat="1" ht="13.5" customHeight="1">
      <c r="A28" s="887" t="s">
        <v>791</v>
      </c>
      <c r="B28" s="253" t="s">
        <v>2201</v>
      </c>
      <c r="C28" s="254">
        <f ca="1">ROUND((C5+C19+C20)*F27*'数据-取费表'!B21/'数据-取费表'!B20,0)</f>
        <v>6205</v>
      </c>
      <c r="D28" s="240"/>
      <c r="E28" s="241"/>
      <c r="F28" s="251"/>
      <c r="G28" s="252"/>
      <c r="H28" s="3235">
        <f>(1807)*4.35%</f>
        <v>78.604500000000002</v>
      </c>
    </row>
    <row r="29" spans="1:8" s="219" customFormat="1" ht="13.5" customHeight="1">
      <c r="A29" s="887" t="s">
        <v>792</v>
      </c>
      <c r="B29" s="253" t="s">
        <v>2202</v>
      </c>
      <c r="C29" s="243">
        <f ca="1">ROUND(C21*F27*'数据-取费表'!B21/'数据-取费表'!B20,4)</f>
        <v>3.0000000000000001E-3</v>
      </c>
      <c r="D29" s="240"/>
      <c r="E29" s="241"/>
      <c r="F29" s="251"/>
      <c r="G29" s="252"/>
      <c r="H29" s="219">
        <f>H27+H28</f>
        <v>5433.2958555000141</v>
      </c>
    </row>
    <row r="30" spans="1:8"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8" ht="16.5" customHeight="1">
      <c r="A31" s="214">
        <v>1</v>
      </c>
      <c r="B31" s="215" t="s">
        <v>2206</v>
      </c>
      <c r="C31" s="216">
        <f ca="1">ROUND((C5+C19+C20+C22+C27)/(1-C21-D22-D27-C30),0)</f>
        <v>80679</v>
      </c>
      <c r="D31" s="235"/>
      <c r="E31" s="216"/>
      <c r="F31" s="255"/>
      <c r="G31" s="239" t="s">
        <v>2207</v>
      </c>
    </row>
    <row r="32" spans="1:8" s="213" customFormat="1" ht="15.75">
      <c r="A32" s="257" t="s">
        <v>2208</v>
      </c>
      <c r="B32" s="258"/>
      <c r="C32" s="258"/>
      <c r="D32" s="258"/>
      <c r="E32" s="258"/>
      <c r="F32" s="258"/>
      <c r="G32" s="259"/>
    </row>
    <row r="33" spans="1:7" s="219" customFormat="1" ht="13.5" customHeight="1">
      <c r="A33" s="260" t="s">
        <v>782</v>
      </c>
      <c r="B33" s="215" t="s">
        <v>2209</v>
      </c>
      <c r="C33" s="261">
        <f ca="1">SUM(C34:C38)</f>
        <v>5570</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4713</v>
      </c>
      <c r="D34" s="222"/>
      <c r="E34" s="225"/>
      <c r="F34" s="262">
        <f ca="1">IF('数据-取费表'!B24=0,1,IF(B1="",'数据-取费表'!N16,INDIRECT("'数据-取费表'!n"&amp;$G$1)))</f>
        <v>1</v>
      </c>
      <c r="G34" s="224" t="s">
        <v>2211</v>
      </c>
    </row>
    <row r="35" spans="1:7" ht="13.5" customHeight="1">
      <c r="A35" s="887" t="s">
        <v>796</v>
      </c>
      <c r="B35" s="220" t="s">
        <v>2212</v>
      </c>
      <c r="C35" s="225">
        <f ca="1">ROUND(C34*F35,0)</f>
        <v>236</v>
      </c>
      <c r="D35" s="225"/>
      <c r="E35" s="225"/>
      <c r="F35" s="264">
        <f>'数据-取费表'!B33</f>
        <v>0.05</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236</v>
      </c>
      <c r="D36" s="225"/>
      <c r="E36" s="225"/>
      <c r="F36" s="264">
        <f>'数据-取费表'!B34</f>
        <v>0.05</v>
      </c>
      <c r="G36" s="265" t="s">
        <v>2215</v>
      </c>
    </row>
    <row r="37" spans="1:7" s="263" customFormat="1" ht="13.5" customHeight="1">
      <c r="A37" s="887" t="s">
        <v>798</v>
      </c>
      <c r="B37" s="220" t="s">
        <v>2216</v>
      </c>
      <c r="C37" s="254">
        <f ca="1">ROUND(E37*D37*F34/10000,0)</f>
        <v>314</v>
      </c>
      <c r="D37" s="222">
        <f ca="1">D19</f>
        <v>15708.62</v>
      </c>
      <c r="E37" s="254">
        <f>'数据-取费表'!B35</f>
        <v>200</v>
      </c>
      <c r="F37" s="264"/>
      <c r="G37" s="266" t="s">
        <v>2217</v>
      </c>
    </row>
    <row r="38" spans="1:7" ht="13.5" customHeight="1">
      <c r="A38" s="887" t="s">
        <v>799</v>
      </c>
      <c r="B38" s="220" t="s">
        <v>2218</v>
      </c>
      <c r="C38" s="225">
        <f ca="1">ROUND(C34*F38,0)</f>
        <v>71</v>
      </c>
      <c r="D38" s="225"/>
      <c r="E38" s="225"/>
      <c r="F38" s="264">
        <f>'数据-取费表'!B36</f>
        <v>1.4999999999999999E-2</v>
      </c>
      <c r="G38" s="224" t="s">
        <v>2213</v>
      </c>
    </row>
    <row r="39" spans="1:7" s="219" customFormat="1" ht="13.5" customHeight="1">
      <c r="A39" s="260" t="s">
        <v>2219</v>
      </c>
      <c r="B39" s="215" t="s">
        <v>2220</v>
      </c>
      <c r="C39" s="237">
        <f ca="1">ROUND(C33*F20,0)</f>
        <v>167</v>
      </c>
      <c r="D39" s="237"/>
      <c r="E39" s="237"/>
      <c r="F39" s="2532">
        <f>F20</f>
        <v>0.03</v>
      </c>
      <c r="G39" s="239" t="s">
        <v>2221</v>
      </c>
    </row>
    <row r="40" spans="1:7" s="219" customFormat="1" ht="13.5" customHeight="1">
      <c r="A40" s="260" t="s">
        <v>2222</v>
      </c>
      <c r="B40" s="215" t="s">
        <v>2223</v>
      </c>
      <c r="C40" s="1493">
        <f>F21</f>
        <v>0.03</v>
      </c>
      <c r="D40" s="241" t="s">
        <v>2224</v>
      </c>
      <c r="E40" s="237"/>
      <c r="F40" s="2532">
        <f>F21</f>
        <v>0.03</v>
      </c>
      <c r="G40" s="239" t="s">
        <v>2225</v>
      </c>
    </row>
    <row r="41" spans="1:7" s="219" customFormat="1" ht="13.5" customHeight="1">
      <c r="A41" s="260" t="s">
        <v>2226</v>
      </c>
      <c r="B41" s="215" t="s">
        <v>2227</v>
      </c>
      <c r="C41" s="237">
        <f ca="1">ROUND(SUM(C42:C43),0)</f>
        <v>249</v>
      </c>
      <c r="D41" s="240">
        <f ca="1">C44</f>
        <v>1.2999999999999999E-3</v>
      </c>
      <c r="E41" s="241" t="s">
        <v>2224</v>
      </c>
      <c r="F41" s="2533">
        <f ca="1">F22</f>
        <v>4.3499999999999997E-2</v>
      </c>
      <c r="G41" s="239" t="str">
        <f>IF('数据-取费表'!B22&lt;=1,"单利计息","复利计息")</f>
        <v>复利计息</v>
      </c>
    </row>
    <row r="42" spans="1:7" ht="13.5" customHeight="1">
      <c r="A42" s="887" t="s">
        <v>791</v>
      </c>
      <c r="B42" s="220" t="s">
        <v>2228</v>
      </c>
      <c r="C42" s="243">
        <f ca="1">ROUND(IF('数据-取费表'!B22&lt;=1,C33*F22*'数据-取费表'!B21/2,C33*(POWER((1+F22),'数据-取费表'!B21/2)-1)),0)</f>
        <v>242</v>
      </c>
      <c r="D42" s="243"/>
      <c r="E42" s="243"/>
      <c r="F42" s="244"/>
      <c r="G42" s="3467" t="s">
        <v>2229</v>
      </c>
    </row>
    <row r="43" spans="1:7" ht="13.5" customHeight="1">
      <c r="A43" s="887" t="s">
        <v>792</v>
      </c>
      <c r="B43" s="220" t="s">
        <v>2230</v>
      </c>
      <c r="C43" s="243">
        <f ca="1">ROUND(IF('数据-取费表'!B22&lt;=1,C39*F22*'数据-取费表'!B21/2,C39*(POWER((1+F22),'数据-取费表'!B21/2)-1)),0)</f>
        <v>7</v>
      </c>
      <c r="D43" s="243"/>
      <c r="E43" s="243"/>
      <c r="F43" s="244"/>
      <c r="G43" s="3468"/>
    </row>
    <row r="44" spans="1:7" ht="13.5" customHeight="1">
      <c r="A44" s="887" t="s">
        <v>793</v>
      </c>
      <c r="B44" s="220" t="s">
        <v>2231</v>
      </c>
      <c r="C44" s="243">
        <f ca="1">ROUND(IF('数据-取费表'!B22&lt;=1,C40*F22*'数据-取费表'!B21/2,C40*(POWER((1+F22),'数据-取费表'!B21/2)-1)),4)</f>
        <v>1.2999999999999999E-3</v>
      </c>
      <c r="D44" s="243"/>
      <c r="E44" s="243"/>
      <c r="F44" s="244"/>
      <c r="G44" s="3469"/>
    </row>
    <row r="45" spans="1:7" s="219" customFormat="1" ht="13.5" customHeight="1">
      <c r="A45" s="260" t="s">
        <v>2232</v>
      </c>
      <c r="B45" s="249" t="s">
        <v>2198</v>
      </c>
      <c r="C45" s="250">
        <f ca="1">C46</f>
        <v>574</v>
      </c>
      <c r="D45" s="240">
        <f ca="1">C47</f>
        <v>3.0000000000000001E-3</v>
      </c>
      <c r="E45" s="241" t="s">
        <v>2224</v>
      </c>
      <c r="F45" s="2534">
        <f ca="1">F27</f>
        <v>0.1</v>
      </c>
      <c r="G45" s="252" t="s">
        <v>2233</v>
      </c>
    </row>
    <row r="46" spans="1:7" s="219" customFormat="1" ht="13.5" customHeight="1">
      <c r="A46" s="887" t="s">
        <v>791</v>
      </c>
      <c r="B46" s="253" t="s">
        <v>2234</v>
      </c>
      <c r="C46" s="254">
        <f ca="1">ROUND((C33+C39)*F27,0)</f>
        <v>574</v>
      </c>
      <c r="D46" s="268"/>
      <c r="E46" s="241"/>
      <c r="F46" s="251"/>
      <c r="G46" s="252"/>
    </row>
    <row r="47" spans="1:7" s="219" customFormat="1" ht="13.5" customHeight="1">
      <c r="A47" s="887" t="s">
        <v>792</v>
      </c>
      <c r="B47" s="253" t="s">
        <v>2235</v>
      </c>
      <c r="C47" s="243">
        <f ca="1">ROUND(C40*F27,4)</f>
        <v>3.0000000000000001E-3</v>
      </c>
      <c r="D47" s="268"/>
      <c r="E47" s="241"/>
      <c r="F47" s="251"/>
      <c r="G47" s="252"/>
    </row>
    <row r="48" spans="1:7" s="219" customFormat="1" ht="13.5" customHeight="1">
      <c r="A48" s="260" t="s">
        <v>2197</v>
      </c>
      <c r="B48" s="215" t="s">
        <v>2236</v>
      </c>
      <c r="C48" s="1493">
        <f>ROUND(F30/(1+'数据-取费表'!C42),4)</f>
        <v>5.2400000000000002E-2</v>
      </c>
      <c r="D48" s="241" t="s">
        <v>2224</v>
      </c>
      <c r="E48" s="237"/>
      <c r="F48" s="2533">
        <f>F30</f>
        <v>5.5000000000000007E-2</v>
      </c>
      <c r="G48" s="239" t="s">
        <v>2237</v>
      </c>
    </row>
    <row r="49" spans="1:7" ht="16.5" customHeight="1">
      <c r="A49" s="260" t="s">
        <v>2203</v>
      </c>
      <c r="B49" s="215" t="s">
        <v>2238</v>
      </c>
      <c r="C49" s="237">
        <f ca="1">ROUND((C33+C39+C41+C45)/(1-C40-D41-D45-C48),0)</f>
        <v>7183</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7183</v>
      </c>
      <c r="D51" s="237"/>
      <c r="E51" s="237"/>
      <c r="F51" s="269"/>
      <c r="G51" s="239" t="s">
        <v>2245</v>
      </c>
    </row>
    <row r="52" spans="1:7" s="213" customFormat="1" ht="16.5" thickBot="1">
      <c r="A52" s="270" t="s">
        <v>2246</v>
      </c>
      <c r="B52" s="271"/>
      <c r="C52" s="272">
        <f ca="1">C31+C51</f>
        <v>87862</v>
      </c>
      <c r="D52" s="271"/>
      <c r="E52" s="271"/>
      <c r="F52" s="271"/>
      <c r="G52" s="273"/>
    </row>
    <row r="55" spans="1:7" ht="15">
      <c r="B55" s="275" t="s">
        <v>2247</v>
      </c>
      <c r="C55" s="276"/>
    </row>
    <row r="56" spans="1:7">
      <c r="B56" s="278" t="s">
        <v>1478</v>
      </c>
      <c r="C56" s="280">
        <f ca="1">1-C57</f>
        <v>0.91800000000000004</v>
      </c>
    </row>
    <row r="57" spans="1:7">
      <c r="B57" s="278" t="s">
        <v>1479</v>
      </c>
      <c r="C57" s="279">
        <f ca="1">ROUND(C51/C52,3)</f>
        <v>8.2000000000000003E-2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J19" sqref="J19"/>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2"/>
      <c r="C1" s="2042" t="s">
        <v>2248</v>
      </c>
      <c r="D1" s="203"/>
      <c r="E1" s="203"/>
      <c r="F1" s="203"/>
      <c r="G1" s="1287">
        <f>MATCH(B1,'数据-取费表'!A6:A16,0)+5</f>
        <v>9</v>
      </c>
      <c r="H1" s="1191" t="str">
        <f>IF(ISERROR(FIND("住宅",B1)),"非住宅","住宅")</f>
        <v>非住宅</v>
      </c>
    </row>
    <row r="2" spans="1:8" s="205" customFormat="1" ht="18" customHeight="1">
      <c r="A2" s="206" t="s">
        <v>2147</v>
      </c>
      <c r="B2" s="207">
        <f ca="1">ROUND(IF(D2="——",C52/10000,C52/10000-E2),0)</f>
        <v>21621</v>
      </c>
      <c r="C2" s="204" t="s">
        <v>2148</v>
      </c>
      <c r="D2" s="2036" t="s">
        <v>70</v>
      </c>
      <c r="E2" s="1330" t="e">
        <f ca="1">SUMIF(INDIRECT("'"&amp;G2&amp;"'"&amp;"!A:A"),"承租人权益价值",INDIRECT("'"&amp;G2&amp;"'"&amp;"!c:c"))</f>
        <v>#REF!</v>
      </c>
      <c r="F2" s="2037" t="s">
        <v>2148</v>
      </c>
      <c r="G2" s="2038"/>
    </row>
    <row r="3" spans="1:8" s="205" customFormat="1" ht="18" customHeight="1" thickBot="1">
      <c r="A3" s="208" t="s">
        <v>2149</v>
      </c>
      <c r="B3" s="209">
        <f ca="1">ROUND(B2*10000/(IF(B1="",'数据-汇总表'!E3,INDIRECT("'数据-取费表'!k"&amp;$G$1))),0)</f>
        <v>4669</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0</v>
      </c>
      <c r="D5" s="216" t="s">
        <v>2154</v>
      </c>
      <c r="E5" s="217" t="s">
        <v>2155</v>
      </c>
      <c r="F5" s="217" t="s">
        <v>2156</v>
      </c>
      <c r="G5" s="218"/>
    </row>
    <row r="6" spans="1:8" s="219" customFormat="1" ht="13.5" customHeight="1">
      <c r="A6" s="885" t="s">
        <v>2157</v>
      </c>
      <c r="B6" s="220" t="s">
        <v>2158</v>
      </c>
      <c r="C6" s="221"/>
      <c r="D6" s="222"/>
      <c r="E6" s="223"/>
      <c r="F6" s="223"/>
      <c r="G6" s="224"/>
    </row>
    <row r="7" spans="1:8" s="219" customFormat="1" ht="13.5" customHeight="1">
      <c r="A7" s="885" t="s">
        <v>2159</v>
      </c>
      <c r="B7" s="220" t="s">
        <v>2160</v>
      </c>
      <c r="C7" s="225">
        <f>ROUND(C6*F7,0)</f>
        <v>0</v>
      </c>
      <c r="D7" s="225"/>
      <c r="E7" s="223"/>
      <c r="F7" s="226">
        <f>IF(项目基本情况!B8="出让",0,'数据-取费表'!B48+'数据-取费表'!B49)</f>
        <v>3.0499999999999999E-2</v>
      </c>
      <c r="G7" s="224"/>
    </row>
    <row r="8" spans="1:8" s="228" customFormat="1">
      <c r="A8" s="885" t="s">
        <v>2161</v>
      </c>
      <c r="B8" s="220" t="s">
        <v>2162</v>
      </c>
      <c r="C8" s="225">
        <f ca="1">IF(G8="已包含在土地购买价格中",0,C9+C10)</f>
        <v>0</v>
      </c>
      <c r="D8" s="227"/>
      <c r="E8" s="225"/>
      <c r="F8" s="226"/>
      <c r="G8" s="2039"/>
    </row>
    <row r="9" spans="1:8" s="219" customFormat="1" ht="13.5" customHeight="1">
      <c r="A9" s="886" t="s">
        <v>800</v>
      </c>
      <c r="B9" s="229" t="s">
        <v>2163</v>
      </c>
      <c r="C9" s="230">
        <f ca="1">ROUND(D9*E9,0)</f>
        <v>0</v>
      </c>
      <c r="D9" s="953">
        <f ca="1">IF(B1="",'数据-汇总表'!E5,IF(INDIRECT("'数据-取费表'!c"&amp;$G$1)="住宅",INDIRECT("'数据-取费表'!k"&amp;$G$1),0))</f>
        <v>15708.62</v>
      </c>
      <c r="E9" s="230">
        <f>'数据-取费表'!B27</f>
        <v>0</v>
      </c>
      <c r="F9" s="226"/>
      <c r="G9" s="231"/>
    </row>
    <row r="10" spans="1:8" s="219" customFormat="1" ht="13.5" customHeight="1">
      <c r="A10" s="886" t="s">
        <v>801</v>
      </c>
      <c r="B10" s="229" t="s">
        <v>2165</v>
      </c>
      <c r="C10" s="230">
        <f ca="1">ROUND(D10*E10,0)</f>
        <v>0</v>
      </c>
      <c r="D10" s="953">
        <f ca="1">IF(B1="",'数据-汇总表'!E6,IF(INDIRECT("'数据-取费表'!c"&amp;$G$1)="住宅",INDIRECT("'数据-取费表'!s"&amp;$G$1),INDIRECT("'数据-取费表'!k"&amp;$G$1)+INDIRECT("'数据-取费表'!s"&amp;$G$1)))</f>
        <v>30597.759999999995</v>
      </c>
      <c r="E10" s="230">
        <f>'数据-取费表'!B28</f>
        <v>0</v>
      </c>
      <c r="F10" s="226"/>
      <c r="G10" s="231"/>
    </row>
    <row r="11" spans="1:8" s="219" customFormat="1" ht="13.5" hidden="1" customHeight="1">
      <c r="A11" s="232" t="s">
        <v>7</v>
      </c>
      <c r="B11" s="220" t="s">
        <v>2166</v>
      </c>
      <c r="C11" s="216"/>
      <c r="D11" s="955"/>
      <c r="E11" s="223"/>
      <c r="F11" s="223"/>
      <c r="G11" s="224"/>
    </row>
    <row r="12" spans="1:8" s="219" customFormat="1" ht="13.5" hidden="1" customHeight="1">
      <c r="A12" s="232" t="s">
        <v>8</v>
      </c>
      <c r="B12" s="220" t="s">
        <v>2249</v>
      </c>
      <c r="C12" s="216">
        <v>0</v>
      </c>
      <c r="D12" s="955"/>
      <c r="E12" s="233"/>
      <c r="F12" s="226">
        <v>3.0499999999999999E-2</v>
      </c>
      <c r="G12" s="224"/>
    </row>
    <row r="13" spans="1:8" s="219" customFormat="1" ht="13.5" hidden="1" customHeight="1">
      <c r="A13" s="232" t="s">
        <v>9</v>
      </c>
      <c r="B13" s="220" t="s">
        <v>2250</v>
      </c>
      <c r="C13" s="216"/>
      <c r="D13" s="955"/>
      <c r="E13" s="223"/>
      <c r="F13" s="223"/>
      <c r="G13" s="224"/>
    </row>
    <row r="14" spans="1:8" s="219" customFormat="1" ht="13.5" hidden="1" customHeight="1">
      <c r="A14" s="232" t="s">
        <v>10</v>
      </c>
      <c r="B14" s="220" t="s">
        <v>2162</v>
      </c>
      <c r="C14" s="216"/>
      <c r="D14" s="955"/>
      <c r="E14" s="223"/>
      <c r="F14" s="223"/>
      <c r="G14" s="224" t="s">
        <v>2251</v>
      </c>
    </row>
    <row r="15" spans="1:8" s="219" customFormat="1" ht="13.5" hidden="1" customHeight="1">
      <c r="A15" s="232" t="s">
        <v>11</v>
      </c>
      <c r="B15" s="220" t="s">
        <v>2252</v>
      </c>
      <c r="C15" s="225"/>
      <c r="D15" s="955"/>
      <c r="E15" s="223"/>
      <c r="F15" s="223"/>
      <c r="G15" s="224" t="s">
        <v>2253</v>
      </c>
    </row>
    <row r="16" spans="1:8" s="219" customFormat="1" ht="13.5" hidden="1" customHeight="1">
      <c r="A16" s="232" t="s">
        <v>12</v>
      </c>
      <c r="B16" s="220" t="s">
        <v>2162</v>
      </c>
      <c r="C16" s="225"/>
      <c r="D16" s="955"/>
      <c r="E16" s="223"/>
      <c r="F16" s="223"/>
      <c r="G16" s="224"/>
    </row>
    <row r="17" spans="1:7" s="219" customFormat="1" ht="13.5" hidden="1" customHeight="1">
      <c r="A17" s="232" t="s">
        <v>13</v>
      </c>
      <c r="B17" s="220" t="s">
        <v>2254</v>
      </c>
      <c r="C17" s="234"/>
      <c r="D17" s="956"/>
      <c r="E17" s="234"/>
      <c r="F17" s="234"/>
      <c r="G17" s="224" t="s">
        <v>2253</v>
      </c>
    </row>
    <row r="18" spans="1:7" s="219" customFormat="1" ht="13.5" hidden="1" customHeight="1">
      <c r="A18" s="232" t="s">
        <v>14</v>
      </c>
      <c r="B18" s="220" t="s">
        <v>2255</v>
      </c>
      <c r="C18" s="225">
        <v>0</v>
      </c>
      <c r="D18" s="955"/>
      <c r="E18" s="223"/>
      <c r="F18" s="226">
        <v>3.0499999999999999E-2</v>
      </c>
      <c r="G18" s="224" t="s">
        <v>2256</v>
      </c>
    </row>
    <row r="19" spans="1:7" s="228" customFormat="1" ht="13.5" customHeight="1">
      <c r="A19" s="260" t="s">
        <v>2257</v>
      </c>
      <c r="B19" s="215" t="s">
        <v>2258</v>
      </c>
      <c r="C19" s="216">
        <f ca="1">IF(G19="已包含在土地取得成本中","0",ROUND(D19*E19,0))</f>
        <v>9261276</v>
      </c>
      <c r="D19" s="957">
        <f ca="1">D9+D10</f>
        <v>46306.38</v>
      </c>
      <c r="E19" s="216">
        <f>'数据-取费表'!B31</f>
        <v>200</v>
      </c>
      <c r="F19" s="236"/>
      <c r="G19" s="2039"/>
    </row>
    <row r="20" spans="1:7" s="219" customFormat="1" ht="13.5" customHeight="1">
      <c r="A20" s="260" t="s">
        <v>2259</v>
      </c>
      <c r="B20" s="215" t="s">
        <v>2260</v>
      </c>
      <c r="C20" s="237">
        <f ca="1">ROUND((C5+C19)*F20,0)</f>
        <v>277838</v>
      </c>
      <c r="D20" s="237"/>
      <c r="E20" s="237"/>
      <c r="F20" s="238">
        <f>'数据-取费表'!B37</f>
        <v>0.03</v>
      </c>
      <c r="G20" s="239" t="s">
        <v>2261</v>
      </c>
    </row>
    <row r="21" spans="1:7" s="219" customFormat="1" ht="13.5" customHeight="1">
      <c r="A21" s="260" t="s">
        <v>2262</v>
      </c>
      <c r="B21" s="215" t="s">
        <v>2263</v>
      </c>
      <c r="C21" s="240">
        <f>F21</f>
        <v>0.03</v>
      </c>
      <c r="D21" s="241" t="s">
        <v>2264</v>
      </c>
      <c r="E21" s="237"/>
      <c r="F21" s="238">
        <f>'数据-取费表'!B38</f>
        <v>0.03</v>
      </c>
      <c r="G21" s="239" t="s">
        <v>2265</v>
      </c>
    </row>
    <row r="22" spans="1:7" s="219" customFormat="1" ht="13.5" customHeight="1">
      <c r="A22" s="260" t="s">
        <v>2266</v>
      </c>
      <c r="B22" s="215" t="s">
        <v>2267</v>
      </c>
      <c r="C22" s="1288">
        <f ca="1">ROUND(SUM(C23:C25),0)</f>
        <v>835342</v>
      </c>
      <c r="D22" s="240">
        <f ca="1">C26</f>
        <v>1.2999999999999999E-3</v>
      </c>
      <c r="E22" s="241" t="s">
        <v>2264</v>
      </c>
      <c r="F22" s="242">
        <f ca="1">'数据-取费表'!B40</f>
        <v>4.3499999999999997E-2</v>
      </c>
      <c r="G22" s="239" t="str">
        <f>IF('数据-取费表'!B22&lt;=1,"单利计息","复利计息")</f>
        <v>复利计息</v>
      </c>
    </row>
    <row r="23" spans="1:7" s="219" customFormat="1" ht="13.5" customHeight="1">
      <c r="A23" s="887" t="s">
        <v>2157</v>
      </c>
      <c r="B23" s="220" t="s">
        <v>2268</v>
      </c>
      <c r="C23" s="1289">
        <f ca="1">ROUND(IF('数据-取费表'!B22&lt;=1,C5*F22*'数据-取费表'!B22,C5*(POWER((1+F22),'数据-取费表'!B22)-1)),0)</f>
        <v>0</v>
      </c>
      <c r="D23" s="243"/>
      <c r="E23" s="243"/>
      <c r="F23" s="244"/>
      <c r="G23" s="245" t="s">
        <v>2269</v>
      </c>
    </row>
    <row r="24" spans="1:7" s="219" customFormat="1" ht="13.5" customHeight="1">
      <c r="A24" s="887" t="s">
        <v>2159</v>
      </c>
      <c r="B24" s="220" t="s">
        <v>2270</v>
      </c>
      <c r="C24" s="1289">
        <f ca="1">ROUND(IF('数据-取费表'!B22&lt;=1,C19*F22*('数据-取费表'!B19/2+'数据-取费表'!B20),C19*(POWER((1+F22),('数据-取费表'!B19/2+'数据-取费表'!B20))-1)),0)</f>
        <v>823256</v>
      </c>
      <c r="D24" s="243"/>
      <c r="E24" s="243"/>
      <c r="F24" s="244"/>
      <c r="G24" s="245" t="s">
        <v>2271</v>
      </c>
    </row>
    <row r="25" spans="1:7" s="219" customFormat="1" ht="24">
      <c r="A25" s="887" t="s">
        <v>2161</v>
      </c>
      <c r="B25" s="220" t="s">
        <v>2272</v>
      </c>
      <c r="C25" s="1289">
        <f ca="1">ROUND(IF('数据-取费表'!B22&lt;=1,C20*F22*'数据-取费表'!B22/2,C20*(POWER((1+F22),'数据-取费表'!B22/2)-1)),0)</f>
        <v>12086</v>
      </c>
      <c r="D25" s="243"/>
      <c r="E25" s="246"/>
      <c r="F25" s="244"/>
      <c r="G25" s="247" t="s">
        <v>2273</v>
      </c>
    </row>
    <row r="26" spans="1:7" s="219" customFormat="1">
      <c r="A26" s="887" t="s">
        <v>795</v>
      </c>
      <c r="B26" s="220" t="s">
        <v>2196</v>
      </c>
      <c r="C26" s="243">
        <f ca="1">ROUND(IF('数据-取费表'!B22&lt;=1,F21*F22*'数据-取费表'!B22/2,F21*(POWER((1+F22),'数据-取费表'!B22/2)-1)),4)</f>
        <v>1.2999999999999999E-3</v>
      </c>
      <c r="D26" s="243"/>
      <c r="E26" s="246"/>
      <c r="F26" s="244"/>
      <c r="G26" s="248"/>
    </row>
    <row r="27" spans="1:7" s="219" customFormat="1" ht="24.75">
      <c r="A27" s="260" t="s">
        <v>2197</v>
      </c>
      <c r="B27" s="249" t="s">
        <v>2198</v>
      </c>
      <c r="C27" s="250">
        <f ca="1">C28</f>
        <v>858520</v>
      </c>
      <c r="D27" s="240">
        <f ca="1">C29</f>
        <v>2.7000000000000001E-3</v>
      </c>
      <c r="E27" s="241" t="s">
        <v>2199</v>
      </c>
      <c r="F27" s="251">
        <f ca="1">IF(B1="",'数据-取费表'!Q16,INDIRECT("'数据-取费表'!q"&amp;$G$1))</f>
        <v>0.09</v>
      </c>
      <c r="G27" s="252" t="s">
        <v>2200</v>
      </c>
    </row>
    <row r="28" spans="1:7" s="219" customFormat="1" ht="13.5" customHeight="1">
      <c r="A28" s="887" t="s">
        <v>791</v>
      </c>
      <c r="B28" s="253" t="s">
        <v>2201</v>
      </c>
      <c r="C28" s="254">
        <f ca="1">ROUND((C5+C19+C20)*F27,0)</f>
        <v>858520</v>
      </c>
      <c r="D28" s="240"/>
      <c r="E28" s="241"/>
      <c r="F28" s="251"/>
      <c r="G28" s="252"/>
    </row>
    <row r="29" spans="1:7" s="219" customFormat="1" ht="13.5" customHeight="1">
      <c r="A29" s="887" t="s">
        <v>792</v>
      </c>
      <c r="B29" s="253" t="s">
        <v>2202</v>
      </c>
      <c r="C29" s="243">
        <f ca="1">ROUND(C21*F27,4)</f>
        <v>2.7000000000000001E-3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12295289</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159566453</v>
      </c>
      <c r="D33" s="237"/>
      <c r="E33" s="217"/>
      <c r="F33" s="246"/>
      <c r="G33" s="239"/>
    </row>
    <row r="34" spans="1:7" s="263" customFormat="1" ht="13.5" customHeight="1">
      <c r="A34" s="887" t="s">
        <v>791</v>
      </c>
      <c r="B34" s="220" t="s">
        <v>2210</v>
      </c>
      <c r="C34" s="225">
        <f ca="1">ROUND(IF(B1="",SUMPRODUCT('数据-取费表'!K6:K14,'数据-取费表'!L6:L14),INDIRECT("'数据-取费表'!l"&amp;$G$1)*INDIRECT("'数据-取费表'!k"&amp;$G$1)+'数据-取费表'!L14*INDIRECT("'数据-取费表'!S"&amp;$G$1)),0)</f>
        <v>138919140</v>
      </c>
      <c r="D34" s="222"/>
      <c r="E34" s="225"/>
      <c r="F34" s="262"/>
      <c r="G34" s="224"/>
    </row>
    <row r="35" spans="1:7" ht="13.5" customHeight="1">
      <c r="A35" s="887" t="s">
        <v>796</v>
      </c>
      <c r="B35" s="220" t="s">
        <v>2212</v>
      </c>
      <c r="C35" s="225">
        <f ca="1">ROUND(C34*F35,0)</f>
        <v>6945957</v>
      </c>
      <c r="D35" s="225"/>
      <c r="E35" s="225"/>
      <c r="F35" s="264">
        <f>'数据-取费表'!B33</f>
        <v>0.05</v>
      </c>
      <c r="G35" s="224" t="s">
        <v>2213</v>
      </c>
    </row>
    <row r="36" spans="1:7" ht="24">
      <c r="A36" s="887" t="s">
        <v>797</v>
      </c>
      <c r="B36" s="220" t="s">
        <v>2214</v>
      </c>
      <c r="C36" s="225">
        <f ca="1">ROUND(IF(B1="",SUM('数据-取费表'!AP6:AP13)*F36,IF(INDIRECT("'数据-取费表'!c"&amp;$G$1)="住宅",INDIRECT("'数据-取费表'!k"&amp;$G$1)*INDIRECT("'数据-取费表'!l"&amp;$G$1)*F36,0)),0)</f>
        <v>2356293</v>
      </c>
      <c r="D36" s="225"/>
      <c r="E36" s="225"/>
      <c r="F36" s="264">
        <f>'数据-取费表'!B34</f>
        <v>0.05</v>
      </c>
      <c r="G36" s="265" t="s">
        <v>2215</v>
      </c>
    </row>
    <row r="37" spans="1:7" s="263" customFormat="1" ht="13.5" customHeight="1">
      <c r="A37" s="887" t="s">
        <v>798</v>
      </c>
      <c r="B37" s="220" t="s">
        <v>2216</v>
      </c>
      <c r="C37" s="254">
        <f ca="1">ROUND(E37*D37,0)</f>
        <v>9261276</v>
      </c>
      <c r="D37" s="222">
        <f ca="1">D19</f>
        <v>46306.38</v>
      </c>
      <c r="E37" s="254">
        <f>'数据-取费表'!B35</f>
        <v>200</v>
      </c>
      <c r="F37" s="264"/>
      <c r="G37" s="266"/>
    </row>
    <row r="38" spans="1:7" ht="13.5" customHeight="1">
      <c r="A38" s="887" t="s">
        <v>799</v>
      </c>
      <c r="B38" s="220" t="s">
        <v>2218</v>
      </c>
      <c r="C38" s="225">
        <f ca="1">ROUND(C34*F38,0)</f>
        <v>2083787</v>
      </c>
      <c r="D38" s="225"/>
      <c r="E38" s="225"/>
      <c r="F38" s="264">
        <f>'数据-取费表'!B36</f>
        <v>1.4999999999999999E-2</v>
      </c>
      <c r="G38" s="224" t="s">
        <v>2213</v>
      </c>
    </row>
    <row r="39" spans="1:7" s="219" customFormat="1" ht="13.5" customHeight="1">
      <c r="A39" s="260" t="s">
        <v>2219</v>
      </c>
      <c r="B39" s="215" t="s">
        <v>2220</v>
      </c>
      <c r="C39" s="237">
        <f ca="1">ROUND(C33*F20,0)</f>
        <v>4786994</v>
      </c>
      <c r="D39" s="237"/>
      <c r="E39" s="237"/>
      <c r="F39" s="2532">
        <f>F20</f>
        <v>0.03</v>
      </c>
      <c r="G39" s="239" t="s">
        <v>2221</v>
      </c>
    </row>
    <row r="40" spans="1:7" s="219" customFormat="1" ht="13.5" customHeight="1">
      <c r="A40" s="260" t="s">
        <v>2222</v>
      </c>
      <c r="B40" s="215" t="s">
        <v>2223</v>
      </c>
      <c r="C40" s="1493">
        <f>F21</f>
        <v>0.03</v>
      </c>
      <c r="D40" s="241" t="s">
        <v>2224</v>
      </c>
      <c r="E40" s="237"/>
      <c r="F40" s="2532">
        <f>F21</f>
        <v>0.03</v>
      </c>
      <c r="G40" s="239" t="s">
        <v>2225</v>
      </c>
    </row>
    <row r="41" spans="1:7" s="219" customFormat="1" ht="13.5" customHeight="1">
      <c r="A41" s="260" t="s">
        <v>2226</v>
      </c>
      <c r="B41" s="215" t="s">
        <v>2227</v>
      </c>
      <c r="C41" s="237">
        <f ca="1">ROUND(SUM(C42:C43),0)</f>
        <v>7149375</v>
      </c>
      <c r="D41" s="240">
        <f ca="1">C44</f>
        <v>1.2999999999999999E-3</v>
      </c>
      <c r="E41" s="241" t="s">
        <v>2224</v>
      </c>
      <c r="F41" s="2533">
        <f ca="1">F22</f>
        <v>4.3499999999999997E-2</v>
      </c>
      <c r="G41" s="239" t="str">
        <f>IF('数据-取费表'!B22&lt;=1,"单利计息","复利计息")</f>
        <v>复利计息</v>
      </c>
    </row>
    <row r="42" spans="1:7" ht="13.5" customHeight="1">
      <c r="A42" s="887" t="s">
        <v>791</v>
      </c>
      <c r="B42" s="220" t="s">
        <v>2228</v>
      </c>
      <c r="C42" s="243">
        <f ca="1">ROUND(IF('数据-取费表'!B22&lt;=1,C33*F22*'数据-取费表'!B20/2,C33*(POWER((1+F22),'数据-取费表'!B20/2)-1)),0)</f>
        <v>6941141</v>
      </c>
      <c r="D42" s="243"/>
      <c r="E42" s="243"/>
      <c r="F42" s="244"/>
      <c r="G42" s="3467" t="s">
        <v>2276</v>
      </c>
    </row>
    <row r="43" spans="1:7" ht="13.5" customHeight="1">
      <c r="A43" s="887" t="s">
        <v>792</v>
      </c>
      <c r="B43" s="220" t="s">
        <v>2230</v>
      </c>
      <c r="C43" s="243">
        <f ca="1">ROUND(IF('数据-取费表'!B22&lt;=1,C39*F22*'数据-取费表'!B20/2,C39*(POWER((1+F22),'数据-取费表'!B20/2)-1)),0)</f>
        <v>208234</v>
      </c>
      <c r="D43" s="243"/>
      <c r="E43" s="243"/>
      <c r="F43" s="244"/>
      <c r="G43" s="3468"/>
    </row>
    <row r="44" spans="1:7" ht="13.5" customHeight="1">
      <c r="A44" s="887" t="s">
        <v>793</v>
      </c>
      <c r="B44" s="220" t="s">
        <v>2231</v>
      </c>
      <c r="C44" s="243">
        <f ca="1">ROUND(IF('数据-取费表'!B22&lt;=1,C40*F22*'数据-取费表'!B20/2,C40*(POWER((1+F22),'数据-取费表'!B20/2)-1)),4)</f>
        <v>1.2999999999999999E-3</v>
      </c>
      <c r="D44" s="243"/>
      <c r="E44" s="243"/>
      <c r="F44" s="244"/>
      <c r="G44" s="3469"/>
    </row>
    <row r="45" spans="1:7" s="219" customFormat="1" ht="13.5" customHeight="1">
      <c r="A45" s="260" t="s">
        <v>2232</v>
      </c>
      <c r="B45" s="249" t="s">
        <v>2198</v>
      </c>
      <c r="C45" s="250">
        <f ca="1">C46</f>
        <v>14791810</v>
      </c>
      <c r="D45" s="240">
        <f ca="1">C47</f>
        <v>2.7000000000000001E-3</v>
      </c>
      <c r="E45" s="241" t="s">
        <v>2224</v>
      </c>
      <c r="F45" s="2534">
        <f ca="1">F27</f>
        <v>0.09</v>
      </c>
      <c r="G45" s="252" t="s">
        <v>2233</v>
      </c>
    </row>
    <row r="46" spans="1:7" s="219" customFormat="1" ht="13.5" customHeight="1">
      <c r="A46" s="887" t="s">
        <v>791</v>
      </c>
      <c r="B46" s="253" t="s">
        <v>2234</v>
      </c>
      <c r="C46" s="254">
        <f ca="1">ROUND((C33+C39)*F27,0)</f>
        <v>14791810</v>
      </c>
      <c r="D46" s="268"/>
      <c r="E46" s="241"/>
      <c r="F46" s="251"/>
      <c r="G46" s="252"/>
    </row>
    <row r="47" spans="1:7" s="219" customFormat="1" ht="13.5" customHeight="1">
      <c r="A47" s="887" t="s">
        <v>792</v>
      </c>
      <c r="B47" s="253" t="s">
        <v>2235</v>
      </c>
      <c r="C47" s="243">
        <f ca="1">ROUND(C40*F27,4)</f>
        <v>2.7000000000000001E-3</v>
      </c>
      <c r="D47" s="268"/>
      <c r="E47" s="241"/>
      <c r="F47" s="251"/>
      <c r="G47" s="252"/>
    </row>
    <row r="48" spans="1:7" s="219" customFormat="1" ht="13.5" customHeight="1">
      <c r="A48" s="260" t="s">
        <v>2197</v>
      </c>
      <c r="B48" s="215" t="s">
        <v>2236</v>
      </c>
      <c r="C48" s="267">
        <f>ROUND(F30/(1+'数据-取费表'!C42),4)</f>
        <v>5.2400000000000002E-2</v>
      </c>
      <c r="D48" s="241" t="s">
        <v>2224</v>
      </c>
      <c r="E48" s="237"/>
      <c r="F48" s="2533">
        <f>F30</f>
        <v>5.5000000000000007E-2</v>
      </c>
      <c r="G48" s="239" t="s">
        <v>2237</v>
      </c>
    </row>
    <row r="49" spans="1:7" ht="16.5" customHeight="1">
      <c r="A49" s="260" t="s">
        <v>2203</v>
      </c>
      <c r="B49" s="215" t="s">
        <v>2277</v>
      </c>
      <c r="C49" s="237">
        <f ca="1">ROUND((C33+C39+C41+C45)/(1-C40-D41-D45-C48),0)</f>
        <v>203912688</v>
      </c>
      <c r="D49" s="237"/>
      <c r="E49" s="237"/>
      <c r="F49" s="269"/>
      <c r="G49" s="239" t="s">
        <v>2239</v>
      </c>
    </row>
    <row r="50" spans="1:7" s="263" customFormat="1">
      <c r="A50" s="260" t="s">
        <v>2240</v>
      </c>
      <c r="B50" s="215" t="s">
        <v>2241</v>
      </c>
      <c r="C50" s="237"/>
      <c r="D50" s="237"/>
      <c r="E50" s="237"/>
      <c r="F50" s="269">
        <f>IF('数据-取费表'!B24=0,'数据-取费表'!N16,1)</f>
        <v>1</v>
      </c>
      <c r="G50" s="252"/>
    </row>
    <row r="51" spans="1:7" ht="16.5" customHeight="1">
      <c r="A51" s="260" t="s">
        <v>2243</v>
      </c>
      <c r="B51" s="215" t="s">
        <v>2278</v>
      </c>
      <c r="C51" s="237">
        <f ca="1">ROUND(C49*F50,0)</f>
        <v>203912688</v>
      </c>
      <c r="D51" s="237"/>
      <c r="E51" s="237"/>
      <c r="F51" s="269"/>
      <c r="G51" s="239" t="s">
        <v>2245</v>
      </c>
    </row>
    <row r="52" spans="1:7" s="213" customFormat="1" ht="16.5" thickBot="1">
      <c r="A52" s="270" t="s">
        <v>2246</v>
      </c>
      <c r="B52" s="271"/>
      <c r="C52" s="272">
        <f ca="1">C31+C51</f>
        <v>216207977</v>
      </c>
      <c r="D52" s="271"/>
      <c r="E52" s="271"/>
      <c r="F52" s="271"/>
      <c r="G52" s="273"/>
    </row>
    <row r="55" spans="1:7" ht="15">
      <c r="B55" s="275" t="s">
        <v>2247</v>
      </c>
      <c r="C55" s="276"/>
    </row>
    <row r="56" spans="1:7">
      <c r="B56" s="278" t="s">
        <v>1478</v>
      </c>
      <c r="C56" s="280">
        <f ca="1">1-C57</f>
        <v>5.7000000000000051E-2</v>
      </c>
    </row>
    <row r="57" spans="1:7">
      <c r="B57" s="278" t="s">
        <v>1479</v>
      </c>
      <c r="C57" s="279">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2279</v>
      </c>
      <c r="B1" s="1351"/>
      <c r="C1" s="1352"/>
      <c r="D1" s="1350"/>
      <c r="E1" s="3030"/>
      <c r="F1" s="3030"/>
      <c r="G1" s="2893"/>
      <c r="H1" s="3030"/>
      <c r="I1" s="3030"/>
      <c r="J1" s="3030"/>
      <c r="K1" s="3031">
        <f>MATCH(C1,'数据-取费表'!A6:A16,0)+5</f>
        <v>9</v>
      </c>
    </row>
    <row r="2" spans="1:33" ht="18" customHeight="1">
      <c r="A2" s="206" t="s">
        <v>2147</v>
      </c>
      <c r="B2" s="209">
        <f ca="1">C32</f>
        <v>0</v>
      </c>
      <c r="C2" s="281" t="s">
        <v>2280</v>
      </c>
      <c r="D2" s="281"/>
      <c r="E2" s="3030"/>
      <c r="F2" s="3030"/>
      <c r="G2" s="3030"/>
      <c r="H2" s="3030"/>
      <c r="I2" s="3030"/>
      <c r="J2" s="3030"/>
      <c r="K2" s="3030"/>
    </row>
    <row r="3" spans="1:33" ht="18" customHeight="1" thickBot="1">
      <c r="A3" s="208" t="s">
        <v>2149</v>
      </c>
      <c r="B3" s="209">
        <f ca="1">ROUND(B2*10000/IF(C1="",'数据-汇总表'!E3,INDIRECT("'数据-取费表'!K"&amp;$K$1)),0)</f>
        <v>0</v>
      </c>
      <c r="C3" s="281" t="s">
        <v>2281</v>
      </c>
      <c r="D3" s="281"/>
      <c r="E3" s="3030"/>
      <c r="F3" s="3030"/>
      <c r="G3" s="3030"/>
      <c r="H3" s="3030"/>
      <c r="I3" s="3030"/>
      <c r="J3" s="3030"/>
      <c r="K3" s="303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3" t="s">
        <v>2285</v>
      </c>
      <c r="D5" s="2043" t="s">
        <v>2286</v>
      </c>
      <c r="E5" s="2043" t="s">
        <v>2287</v>
      </c>
      <c r="F5" s="2043"/>
      <c r="G5" s="2043"/>
      <c r="H5" s="2043"/>
      <c r="I5" s="2043"/>
      <c r="J5" s="2043"/>
      <c r="K5" s="204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10771.04</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4" t="s">
        <v>2291</v>
      </c>
      <c r="B8" s="168"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2301</v>
      </c>
      <c r="C12" s="23">
        <f ca="1">ROUND(C11*F12,0)</f>
        <v>0</v>
      </c>
      <c r="D12" s="909"/>
      <c r="E12" s="334"/>
      <c r="F12" s="912">
        <f>'数据-取费表'!B33</f>
        <v>0.05</v>
      </c>
      <c r="G12" s="8" t="s">
        <v>2302</v>
      </c>
      <c r="H12" s="904"/>
      <c r="I12" s="904"/>
      <c r="J12" s="904"/>
      <c r="K12" s="905"/>
    </row>
    <row r="13" spans="1:33" s="911" customFormat="1" ht="13.5" customHeight="1">
      <c r="A13" s="907" t="s">
        <v>1302</v>
      </c>
      <c r="B13" s="908" t="s">
        <v>2303</v>
      </c>
      <c r="C13" s="23">
        <f ca="1">ROUND(IF(C1="",SUMIF('数据-取费表'!C:C,"住宅",'数据-取费表'!P:P)*F13,IF(INDIRECT("'数据-取费表'!c"&amp;$K$1)="住宅",INDIRECT("'数据-取费表'!P"&amp;$K$1)*F13,0)),0)</f>
        <v>0</v>
      </c>
      <c r="D13" s="954"/>
      <c r="E13" s="334"/>
      <c r="F13" s="912">
        <f>'数据-取费表'!B34</f>
        <v>0.05</v>
      </c>
      <c r="G13" s="8" t="s">
        <v>2304</v>
      </c>
      <c r="H13" s="904"/>
      <c r="I13" s="904"/>
      <c r="J13" s="904"/>
      <c r="K13" s="905"/>
    </row>
    <row r="14" spans="1:33" s="913" customFormat="1" ht="13.5" customHeight="1">
      <c r="A14" s="907" t="s">
        <v>1303</v>
      </c>
      <c r="B14" s="908" t="s">
        <v>2305</v>
      </c>
      <c r="C14" s="23">
        <f ca="1">ROUND(D14*E14*F11/10000,0)</f>
        <v>0</v>
      </c>
      <c r="D14" s="954">
        <f ca="1">IF(C1="",'数据-汇总表'!E3,INDIRECT("'数据-取费表'!K"&amp;$K$1)+INDIRECT("'数据-取费表'!S"&amp;$K$1))</f>
        <v>46306.38</v>
      </c>
      <c r="E14" s="23">
        <f>'数据-取费表'!B35</f>
        <v>200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5"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3">
        <f ca="1">ROUND(D17*E17/10000,0)</f>
        <v>0</v>
      </c>
      <c r="D17" s="954">
        <f ca="1">D14</f>
        <v>46306.38</v>
      </c>
      <c r="E17" s="23">
        <f>'数据-取费表'!B32</f>
        <v>0</v>
      </c>
      <c r="F17" s="914"/>
      <c r="G17" s="135" t="s">
        <v>2311</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3">
        <f ca="1">C19+C20-IF(C1="",'数据-取费表'!B29,IF(G18="已全部缴纳",C19+C20,H18))</f>
        <v>0</v>
      </c>
      <c r="D18" s="954"/>
      <c r="E18" s="23"/>
      <c r="F18" s="912"/>
      <c r="G18" s="2045"/>
      <c r="H18" s="1347"/>
      <c r="I18" s="2046" t="s">
        <v>2313</v>
      </c>
      <c r="J18" s="915"/>
      <c r="K18" s="916"/>
    </row>
    <row r="19" spans="1:33" s="911" customFormat="1" ht="13.5" customHeight="1">
      <c r="A19" s="907" t="s">
        <v>805</v>
      </c>
      <c r="B19" s="908" t="s">
        <v>2314</v>
      </c>
      <c r="C19" s="23">
        <f ca="1">ROUND(D19*E19/10000,0)</f>
        <v>0</v>
      </c>
      <c r="D19" s="954">
        <f ca="1">IF(C1="",'数据-汇总表'!E5,IF(INDIRECT("'数据-取费表'!c"&amp;$K$1)="住宅",INDIRECT("'数据-取费表'!k"&amp;$K$1),0))</f>
        <v>15708.62</v>
      </c>
      <c r="E19" s="23">
        <f>'数据-取费表'!B27</f>
        <v>0</v>
      </c>
      <c r="F19" s="912"/>
      <c r="G19" s="14"/>
      <c r="H19" s="1349"/>
      <c r="I19" s="917"/>
      <c r="J19" s="917"/>
      <c r="K19" s="918"/>
    </row>
    <row r="20" spans="1:33" s="911" customFormat="1" ht="13.5" customHeight="1">
      <c r="A20" s="907" t="s">
        <v>806</v>
      </c>
      <c r="B20" s="908" t="s">
        <v>2315</v>
      </c>
      <c r="C20" s="23">
        <f ca="1">ROUND(D20*E20/10000,0)</f>
        <v>0</v>
      </c>
      <c r="D20" s="954">
        <f ca="1">IF(C1="",'数据-汇总表'!E6,IF(INDIRECT("'数据-取费表'!c"&amp;$K$1)="住宅",INDIRECT("'数据-取费表'!s"&amp;$K$1),INDIRECT("'数据-取费表'!k"&amp;$K$1)+INDIRECT("'数据-取费表'!s"&amp;$K$1)))</f>
        <v>30597.759999999995</v>
      </c>
      <c r="E20" s="23">
        <f>'数据-取费表'!B28</f>
        <v>0</v>
      </c>
      <c r="F20" s="912"/>
      <c r="G20" s="14"/>
      <c r="H20" s="917"/>
      <c r="I20" s="917"/>
      <c r="J20" s="917"/>
      <c r="K20" s="918"/>
    </row>
    <row r="21" spans="1:33" s="911" customFormat="1" ht="13.5" customHeight="1">
      <c r="A21" s="897" t="s">
        <v>802</v>
      </c>
      <c r="B21" s="921" t="s">
        <v>2316</v>
      </c>
      <c r="C21" s="922">
        <f ca="1">C16+C17+C18</f>
        <v>0</v>
      </c>
      <c r="D21" s="923"/>
      <c r="E21" s="286"/>
      <c r="F21" s="286"/>
      <c r="G21" s="135" t="s">
        <v>2317</v>
      </c>
      <c r="H21" s="915"/>
      <c r="I21" s="915"/>
      <c r="J21" s="915"/>
      <c r="K21" s="916"/>
    </row>
    <row r="22" spans="1:33" s="911" customFormat="1" ht="13.5" customHeight="1">
      <c r="A22" s="897" t="s">
        <v>2289</v>
      </c>
      <c r="B22" s="921" t="s">
        <v>2318</v>
      </c>
      <c r="C22" s="922">
        <f ca="1">ROUND(C21*F22,0)</f>
        <v>0</v>
      </c>
      <c r="D22" s="286"/>
      <c r="E22" s="286"/>
      <c r="F22" s="924">
        <f>'数据-取费表'!B37</f>
        <v>0.03</v>
      </c>
      <c r="G22" s="8" t="s">
        <v>2319</v>
      </c>
      <c r="H22" s="904"/>
      <c r="I22" s="904"/>
      <c r="J22" s="904"/>
      <c r="K22" s="905"/>
    </row>
    <row r="23" spans="1:33" s="911" customFormat="1" ht="13.5" customHeight="1">
      <c r="A23" s="897" t="s">
        <v>2291</v>
      </c>
      <c r="B23" s="921" t="s">
        <v>2320</v>
      </c>
      <c r="C23" s="922">
        <f ca="1">ROUND(C4*F23*F11,0)</f>
        <v>0</v>
      </c>
      <c r="D23" s="286"/>
      <c r="E23" s="286"/>
      <c r="F23" s="924">
        <f>'数据-取费表'!B38</f>
        <v>0.03</v>
      </c>
      <c r="G23" s="8" t="s">
        <v>2321</v>
      </c>
      <c r="H23" s="904"/>
      <c r="I23" s="904"/>
      <c r="J23" s="904"/>
      <c r="K23" s="905"/>
    </row>
    <row r="24" spans="1:33" s="911" customFormat="1" ht="13.5" customHeight="1">
      <c r="A24" s="897" t="s">
        <v>2322</v>
      </c>
      <c r="B24" s="921" t="s">
        <v>2323</v>
      </c>
      <c r="C24" s="285">
        <f>ROUND(F24/(1+'数据-取费表'!C42),4)</f>
        <v>2.9000000000000001E-2</v>
      </c>
      <c r="D24" s="286" t="s">
        <v>15</v>
      </c>
      <c r="E24" s="286"/>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89"/>
      <c r="E26" s="290"/>
      <c r="F26" s="291"/>
      <c r="G26" s="2047"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89"/>
      <c r="E27" s="290"/>
      <c r="F27" s="291"/>
      <c r="G27" s="2047" t="str">
        <f>IF('数据-取费表'!B22&lt;=1,"（1）-（3）项×年利率×建设期÷2","（1）-（3）项×((1+年利率)^(建设期÷2)-1)")</f>
        <v>（1）-（3）项×((1+年利率)^(建设期÷2)-1)</v>
      </c>
      <c r="H27" s="915"/>
      <c r="I27" s="915"/>
      <c r="J27" s="915"/>
      <c r="K27" s="916"/>
    </row>
    <row r="28" spans="1:33" s="294" customFormat="1" ht="13.5" customHeight="1">
      <c r="A28" s="897" t="s">
        <v>2329</v>
      </c>
      <c r="B28" s="2048" t="s">
        <v>2330</v>
      </c>
      <c r="C28" s="292">
        <f ca="1">C30</f>
        <v>0</v>
      </c>
      <c r="D28" s="285">
        <f ca="1">C29</f>
        <v>0</v>
      </c>
      <c r="E28" s="287" t="s">
        <v>15</v>
      </c>
      <c r="F28" s="293">
        <f ca="1">IF(C1="",'数据-取费表'!Q16,INDIRECT("'数据-取费表'!q"&amp;$K$1))</f>
        <v>0.09</v>
      </c>
      <c r="G28" s="925"/>
      <c r="H28" s="926"/>
      <c r="I28" s="926"/>
      <c r="J28" s="926"/>
      <c r="K28" s="927"/>
    </row>
    <row r="29" spans="1:33" s="296" customFormat="1" ht="13.5" customHeight="1">
      <c r="A29" s="907" t="s">
        <v>803</v>
      </c>
      <c r="B29" s="930" t="s">
        <v>2331</v>
      </c>
      <c r="C29" s="289">
        <f ca="1">ROUND((1+C24)*F28*'数据-取费表'!B24/'数据-取费表'!B20,4)</f>
        <v>0</v>
      </c>
      <c r="D29" s="289"/>
      <c r="E29" s="290"/>
      <c r="F29" s="295"/>
      <c r="G29" s="135" t="s">
        <v>2332</v>
      </c>
      <c r="H29" s="915"/>
      <c r="I29" s="915"/>
      <c r="J29" s="915"/>
      <c r="K29" s="916"/>
    </row>
    <row r="30" spans="1:33" s="296" customFormat="1" ht="13.5" customHeight="1">
      <c r="A30" s="907" t="s">
        <v>804</v>
      </c>
      <c r="B30" s="930" t="s">
        <v>2333</v>
      </c>
      <c r="C30" s="297">
        <f ca="1">ROUND((C21+C22+C23)*F28,0)</f>
        <v>0</v>
      </c>
      <c r="D30" s="289"/>
      <c r="E30" s="290"/>
      <c r="F30" s="295"/>
      <c r="G30" s="135"/>
      <c r="H30" s="915"/>
      <c r="I30" s="915"/>
      <c r="J30" s="915"/>
      <c r="K30" s="916"/>
    </row>
    <row r="31" spans="1:33" s="911" customFormat="1" ht="13.5" customHeight="1" thickBot="1">
      <c r="A31" s="2049"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9</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28"/>
      <c r="H2" s="2917"/>
      <c r="I2" s="2917"/>
      <c r="J2" s="2917"/>
      <c r="K2" s="2918"/>
      <c r="L2" s="2917"/>
      <c r="M2" s="2917"/>
    </row>
    <row r="3" spans="1:37" ht="18" customHeight="1" thickBot="1">
      <c r="A3" s="1572" t="s">
        <v>1482</v>
      </c>
      <c r="B3" s="1573">
        <f ca="1">IF(ISERROR(B2*10000/F43),0,ROUND(B2*10000/F43,0))</f>
        <v>0</v>
      </c>
      <c r="C3" s="1569" t="s">
        <v>1483</v>
      </c>
      <c r="D3" s="1569"/>
      <c r="E3" s="1570"/>
      <c r="F3" s="1571"/>
      <c r="G3" s="2928"/>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0</v>
      </c>
      <c r="D5" s="1546" t="s">
        <v>1367</v>
      </c>
      <c r="E5" s="1202"/>
      <c r="F5" s="1203"/>
      <c r="G5" s="1566"/>
      <c r="H5" s="304">
        <v>1</v>
      </c>
      <c r="I5" s="305" t="s">
        <v>1366</v>
      </c>
      <c r="J5" s="1201">
        <f ca="1">J6+J10+J12</f>
        <v>0</v>
      </c>
      <c r="K5" s="1546" t="s">
        <v>1367</v>
      </c>
      <c r="L5" s="1202"/>
      <c r="M5" s="1203"/>
    </row>
    <row r="6" spans="1:37" ht="18" customHeight="1">
      <c r="A6" s="1200" t="s">
        <v>1003</v>
      </c>
      <c r="B6" s="3472" t="s">
        <v>1368</v>
      </c>
      <c r="C6" s="1205">
        <f ca="1">ROUND(F6*F8*F7*(1-F9)/10000,0)</f>
        <v>0</v>
      </c>
      <c r="D6" s="159" t="s">
        <v>2850</v>
      </c>
      <c r="E6" s="307" t="s">
        <v>1370</v>
      </c>
      <c r="F6" s="308">
        <f ca="1">INDIRECT("'数据-取费表'!u"&amp;$G$1)</f>
        <v>0</v>
      </c>
      <c r="G6" s="1566"/>
      <c r="H6" s="1200" t="s">
        <v>1003</v>
      </c>
      <c r="I6" s="3472" t="s">
        <v>1368</v>
      </c>
      <c r="J6" s="306">
        <f ca="1">ROUND(M6*M8*M7*(1-M9)/10000,0)</f>
        <v>0</v>
      </c>
      <c r="K6" s="159" t="s">
        <v>2849</v>
      </c>
      <c r="L6" s="307" t="s">
        <v>1370</v>
      </c>
      <c r="M6" s="308">
        <f ca="1">INDIRECT("'数据-取费表'!z"&amp;$G$1)</f>
        <v>0</v>
      </c>
    </row>
    <row r="7" spans="1:37" ht="18" customHeight="1">
      <c r="A7" s="1204"/>
      <c r="B7" s="3473"/>
      <c r="C7" s="1206"/>
      <c r="D7" s="312"/>
      <c r="E7" s="1207" t="s">
        <v>1371</v>
      </c>
      <c r="F7" s="308">
        <f ca="1">IF(INDIRECT("'数据-取费表'!ah"&amp;$G$1)="",INDIRECT("'数据-取费表'!k"&amp;$G$1),INDIRECT("'数据-取费表'!ah"&amp;$G$1))</f>
        <v>0</v>
      </c>
      <c r="G7" s="1566"/>
      <c r="H7" s="309"/>
      <c r="I7" s="3473"/>
      <c r="J7" s="311"/>
      <c r="K7" s="312"/>
      <c r="L7" s="307" t="s">
        <v>1371</v>
      </c>
      <c r="M7" s="308">
        <f ca="1">F7</f>
        <v>0</v>
      </c>
    </row>
    <row r="8" spans="1:37" ht="18" customHeight="1">
      <c r="A8" s="309"/>
      <c r="B8" s="3473"/>
      <c r="C8" s="311"/>
      <c r="D8" s="312"/>
      <c r="E8" s="307" t="s">
        <v>1372</v>
      </c>
      <c r="F8" s="308">
        <f ca="1">INDIRECT("'数据-取费表'!ai"&amp;$G$1)</f>
        <v>0</v>
      </c>
      <c r="G8" s="1566"/>
      <c r="H8" s="309"/>
      <c r="I8" s="3473"/>
      <c r="J8" s="311"/>
      <c r="K8" s="312"/>
      <c r="L8" s="307" t="s">
        <v>1372</v>
      </c>
      <c r="M8" s="308">
        <f ca="1">INDIRECT("'数据-取费表'!ai"&amp;$G$1)</f>
        <v>0</v>
      </c>
    </row>
    <row r="9" spans="1:37" ht="18" customHeight="1">
      <c r="A9" s="309"/>
      <c r="B9" s="3474"/>
      <c r="C9" s="311"/>
      <c r="D9" s="312"/>
      <c r="E9" s="307" t="s">
        <v>1373</v>
      </c>
      <c r="F9" s="317">
        <f ca="1">INDIRECT("'数据-取费表'!w"&amp;$G$1)</f>
        <v>0</v>
      </c>
      <c r="G9" s="1566"/>
      <c r="H9" s="309"/>
      <c r="I9" s="3474"/>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2858</v>
      </c>
      <c r="E10" s="318" t="s">
        <v>1375</v>
      </c>
      <c r="F10" s="1275"/>
      <c r="G10" s="1566"/>
      <c r="H10" s="1200" t="s">
        <v>1007</v>
      </c>
      <c r="I10" s="1547" t="s">
        <v>1374</v>
      </c>
      <c r="J10" s="306">
        <f ca="1">ROUND(IF(M10="押一",J6/12*M11,IF(M10="押二",J6/12*2*M11,IF(M10="押三",J6/12*3*M11,J11*M11))),0)</f>
        <v>0</v>
      </c>
      <c r="K10" s="1548" t="s">
        <v>2857</v>
      </c>
      <c r="L10" s="318" t="s">
        <v>1375</v>
      </c>
      <c r="M10" s="1275"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7" t="s">
        <v>1382</v>
      </c>
      <c r="C14" s="323">
        <f ca="1">INDIRECT("'数据-取费表'!m"&amp;$G$1)+INDIRECT("'数据-取费表'!t"&amp;$G$1)</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0.05</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8" t="s">
        <v>998</v>
      </c>
      <c r="I16" s="1239" t="s">
        <v>1389</v>
      </c>
      <c r="J16" s="315">
        <f ca="1">ROUND(J17+J22+J23+J24,0)</f>
        <v>0</v>
      </c>
      <c r="K16" s="1246" t="s">
        <v>1390</v>
      </c>
      <c r="L16" s="1247"/>
      <c r="M16" s="1203"/>
    </row>
    <row r="17" spans="1:37" s="1579" customFormat="1" ht="18" customHeight="1">
      <c r="A17" s="1112" t="s">
        <v>1355</v>
      </c>
      <c r="B17" s="307" t="s">
        <v>1391</v>
      </c>
      <c r="C17" s="23">
        <f ca="1">ROUND(F17*(F43+INDIRECT("'数据-取费表'!S"&amp;$G$1))/10000,0)</f>
        <v>0</v>
      </c>
      <c r="D17" s="307" t="s">
        <v>1392</v>
      </c>
      <c r="E17" s="307" t="s">
        <v>1393</v>
      </c>
      <c r="F17" s="25">
        <f>'数据-取费表'!B35</f>
        <v>200</v>
      </c>
      <c r="G17" s="1578"/>
      <c r="H17" s="1112" t="s">
        <v>1003</v>
      </c>
      <c r="I17" s="307"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IF(K19="按租金收入计税",ROUND(J6*M19/(1+'数据-取费表'!C42),2),ROUND(C29*M19*0.7,2))</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0.03</v>
      </c>
      <c r="G20" s="1578"/>
      <c r="H20" s="1112" t="s">
        <v>1354</v>
      </c>
      <c r="I20" s="159" t="s">
        <v>1406</v>
      </c>
      <c r="J20" s="24">
        <f ca="1">ROUND(M20*M21/10000,2)</f>
        <v>0</v>
      </c>
      <c r="K20" s="329" t="s">
        <v>1407</v>
      </c>
      <c r="L20" s="307" t="s">
        <v>1408</v>
      </c>
      <c r="M20" s="330">
        <f>'数据-取费表'!B52</f>
        <v>0</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0.03</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8" t="s">
        <v>999</v>
      </c>
      <c r="I25" s="1253" t="s">
        <v>1428</v>
      </c>
      <c r="J25" s="315">
        <f ca="1">J5-J16</f>
        <v>0</v>
      </c>
      <c r="K25" s="1254" t="s">
        <v>1429</v>
      </c>
      <c r="L25" s="1255"/>
      <c r="M25" s="1256"/>
    </row>
    <row r="26" spans="1:37">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5.2400000000000002E-2</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0</v>
      </c>
      <c r="D30" s="1246" t="s">
        <v>1390</v>
      </c>
      <c r="E30" s="1247"/>
      <c r="F30" s="1203"/>
      <c r="G30" s="1566"/>
      <c r="H30" s="2919"/>
      <c r="I30" s="1580"/>
      <c r="J30" s="1581"/>
      <c r="K30" s="2696"/>
      <c r="L30" s="2920"/>
      <c r="M30" s="2921"/>
    </row>
    <row r="31" spans="1:37" ht="18" customHeight="1">
      <c r="A31" s="1112" t="s">
        <v>1003</v>
      </c>
      <c r="B31" s="307"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2" t="s">
        <v>3051</v>
      </c>
      <c r="I31" s="1580"/>
      <c r="J31" s="1581"/>
      <c r="K31" s="2696"/>
      <c r="L31" s="2920"/>
      <c r="M31" s="2921"/>
    </row>
    <row r="32" spans="1:37" ht="18" customHeight="1">
      <c r="A32" s="1112" t="s">
        <v>1002</v>
      </c>
      <c r="B32" s="307" t="s">
        <v>1398</v>
      </c>
      <c r="C32" s="23">
        <f ca="1">IF(项目基本情况!B11="自然人","——",ROUND(C6*F32/(1+'数据-取费表'!C42),2))</f>
        <v>0</v>
      </c>
      <c r="D32" s="1526" t="s">
        <v>1399</v>
      </c>
      <c r="E32" s="307" t="s">
        <v>1387</v>
      </c>
      <c r="F32" s="336">
        <f>'数据-取费表'!B41</f>
        <v>5.5000000000000007E-2</v>
      </c>
      <c r="G32" s="1566"/>
      <c r="H32" s="2919"/>
      <c r="I32" s="1580"/>
      <c r="J32" s="1581"/>
      <c r="K32" s="2696"/>
      <c r="L32" s="2920"/>
      <c r="M32" s="2921"/>
    </row>
    <row r="33" spans="1:18" ht="18" customHeight="1">
      <c r="A33" s="1112" t="s">
        <v>1004</v>
      </c>
      <c r="B33" s="307" t="s">
        <v>1402</v>
      </c>
      <c r="C33" s="23">
        <f ca="1">IF(项目基本情况!B11="自然人","——",IF(D33="按租金收入计税",ROUND(C6*F33/(1+'数据-取费表'!C42),2),IF(D33="按房产原值计税",ROUND(C29*F33*0.7,2),INDIRECT("'数据-取费表'!Aj"&amp;$G$1))))</f>
        <v>0</v>
      </c>
      <c r="D33" s="1552" t="s">
        <v>1403</v>
      </c>
      <c r="E33" s="307" t="s">
        <v>1387</v>
      </c>
      <c r="F33" s="327">
        <f>IF(D33="按票据","——",IF(D33="按租金收入计税",'数据-取费表'!B51,'数据-取费表'!B50))</f>
        <v>1.2E-2</v>
      </c>
      <c r="G33" s="1566"/>
      <c r="H33" s="2922"/>
      <c r="I33" s="1580"/>
      <c r="J33" s="1581"/>
      <c r="K33" s="2923"/>
      <c r="L33" s="2922"/>
      <c r="M33" s="2922"/>
    </row>
    <row r="34" spans="1:18" ht="18" customHeight="1">
      <c r="A34" s="1200" t="s">
        <v>1354</v>
      </c>
      <c r="B34" s="159" t="s">
        <v>1406</v>
      </c>
      <c r="C34" s="24">
        <f ca="1">IF(项目基本情况!B11="自然人","——",ROUND(F34*F35/10000,2))</f>
        <v>0</v>
      </c>
      <c r="D34" s="329" t="s">
        <v>1407</v>
      </c>
      <c r="E34" s="307" t="s">
        <v>1408</v>
      </c>
      <c r="F34" s="330">
        <f>'数据-取费表'!B52</f>
        <v>0</v>
      </c>
      <c r="G34" s="1566"/>
      <c r="H34" s="2919"/>
      <c r="I34" s="1580"/>
      <c r="J34" s="1581"/>
      <c r="K34" s="2924"/>
      <c r="L34" s="2925"/>
      <c r="M34" s="2925"/>
    </row>
    <row r="35" spans="1:18" ht="18" customHeight="1">
      <c r="A35" s="1262"/>
      <c r="B35" s="1260"/>
      <c r="C35" s="28"/>
      <c r="D35" s="332"/>
      <c r="E35" s="307" t="s">
        <v>1412</v>
      </c>
      <c r="F35" s="308">
        <f ca="1">INDIRECT("'数据-取费表'!r"&amp;$G$1)</f>
        <v>0</v>
      </c>
      <c r="G35" s="1566"/>
      <c r="H35" s="2919"/>
      <c r="I35" s="1580"/>
      <c r="J35" s="1581"/>
      <c r="K35" s="2923"/>
      <c r="L35" s="2922"/>
      <c r="M35" s="2922"/>
    </row>
    <row r="36" spans="1:18" ht="18" customHeight="1">
      <c r="A36" s="1261" t="s">
        <v>1007</v>
      </c>
      <c r="B36" s="307" t="s">
        <v>1414</v>
      </c>
      <c r="C36" s="23">
        <f ca="1">ROUND(C29*F36,1)</f>
        <v>0</v>
      </c>
      <c r="D36" s="1526" t="s">
        <v>1447</v>
      </c>
      <c r="E36" s="307" t="s">
        <v>1387</v>
      </c>
      <c r="F36" s="333">
        <f ca="1">INDIRECT("'数据-取费表'!Ak"&amp;$G$1)</f>
        <v>0</v>
      </c>
      <c r="G36" s="1566"/>
      <c r="H36" s="2922"/>
      <c r="I36" s="1580"/>
      <c r="J36" s="1581"/>
      <c r="K36" s="2764"/>
      <c r="L36" s="2922"/>
      <c r="M36" s="2922"/>
    </row>
    <row r="37" spans="1:18" ht="18" customHeight="1">
      <c r="A37" s="1112" t="s">
        <v>1043</v>
      </c>
      <c r="B37" s="307" t="s">
        <v>1418</v>
      </c>
      <c r="C37" s="23">
        <f ca="1">ROUND(C13*F37,1)</f>
        <v>0</v>
      </c>
      <c r="D37" s="1526" t="s">
        <v>1419</v>
      </c>
      <c r="E37" s="307" t="s">
        <v>1420</v>
      </c>
      <c r="F37" s="335">
        <f ca="1">INDIRECT("'数据-取费表'!Al"&amp;$G$1)</f>
        <v>0</v>
      </c>
      <c r="G37" s="1566"/>
      <c r="H37" s="2922"/>
      <c r="I37" s="1580"/>
      <c r="J37" s="1581"/>
      <c r="K37" s="2764"/>
      <c r="L37" s="2922"/>
      <c r="M37" s="2922"/>
    </row>
    <row r="38" spans="1:18" ht="18" customHeight="1" thickBot="1">
      <c r="A38" s="1248" t="s">
        <v>1358</v>
      </c>
      <c r="B38" s="1249" t="s">
        <v>1404</v>
      </c>
      <c r="C38" s="1250">
        <f ca="1">ROUND(C5*F38,1)</f>
        <v>0</v>
      </c>
      <c r="D38" s="1251" t="s">
        <v>1424</v>
      </c>
      <c r="E38" s="1249" t="s">
        <v>1420</v>
      </c>
      <c r="F38" s="1245">
        <f ca="1">INDIRECT("'数据-取费表'!Am"&amp;$G$1)</f>
        <v>0</v>
      </c>
      <c r="G38" s="1566"/>
      <c r="H38" s="2922"/>
      <c r="I38" s="1580"/>
      <c r="J38" s="1581"/>
      <c r="K38" s="2926"/>
      <c r="L38" s="2922"/>
      <c r="M38" s="2922"/>
    </row>
    <row r="39" spans="1:18" ht="24.6" customHeight="1" thickTop="1">
      <c r="A39" s="1238" t="s">
        <v>999</v>
      </c>
      <c r="B39" s="1253" t="s">
        <v>1448</v>
      </c>
      <c r="C39" s="315">
        <f ca="1">C5-C30</f>
        <v>0</v>
      </c>
      <c r="D39" s="1254" t="s">
        <v>1449</v>
      </c>
      <c r="E39" s="1255"/>
      <c r="F39" s="1256"/>
      <c r="G39" s="1566"/>
      <c r="H39" s="2922"/>
      <c r="I39" s="1580"/>
      <c r="J39" s="1581"/>
      <c r="K39" s="2926"/>
      <c r="L39" s="2922"/>
      <c r="M39" s="2922"/>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26"/>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4"/>
      <c r="L41" s="1351"/>
      <c r="M41" s="1351"/>
    </row>
    <row r="42" spans="1:18" ht="18" customHeight="1">
      <c r="A42" s="313"/>
      <c r="B42" s="314"/>
      <c r="C42" s="315"/>
      <c r="D42" s="332"/>
      <c r="E42" s="307" t="s">
        <v>1442</v>
      </c>
      <c r="F42" s="317">
        <f ca="1">INDIRECT("'数据-取费表'!v"&amp;$G$1)</f>
        <v>0</v>
      </c>
      <c r="G42" s="1566"/>
      <c r="H42" s="1351"/>
      <c r="I42" s="1580"/>
      <c r="J42" s="1581"/>
      <c r="K42" s="2764"/>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6"/>
      <c r="H43" s="1351"/>
      <c r="I43" s="1351"/>
      <c r="J43" s="1351"/>
      <c r="K43" s="2764"/>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27"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5"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2851</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1">
        <f ca="1">ROUND(IF(F53="押一",C49/12*F11,IF(F53="押二",C49/12*2*F11,IF(F53="押三",C49/12*3*F11,C54*F11))),0)</f>
        <v>0</v>
      </c>
      <c r="D53" s="1548" t="s">
        <v>2857</v>
      </c>
      <c r="E53" s="318" t="s">
        <v>1375</v>
      </c>
      <c r="F53" s="1275"/>
      <c r="I53" s="1621" t="s">
        <v>1512</v>
      </c>
      <c r="J53" s="2383">
        <f ca="1">IF(M47="住宅",IF(D1="——",MAX(J51,L48),MAX(J51,L48-'数据-取费表'!B24)),IF(D1="——",MIN(J51,L48),MIN(J51,L48-'数据-取费表'!B24)))</f>
        <v>0</v>
      </c>
      <c r="K53" s="3470" t="s">
        <v>1513</v>
      </c>
      <c r="L53" s="3471"/>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0</v>
      </c>
      <c r="D62" s="1095" t="s">
        <v>1462</v>
      </c>
      <c r="E62" s="1080" t="s">
        <v>1463</v>
      </c>
      <c r="F62" s="330">
        <f t="shared" si="0"/>
        <v>0</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ROUND(C48*F66,1)</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c r="O70" s="1610" t="s">
        <v>1017</v>
      </c>
      <c r="P70" s="1649" t="s">
        <v>1550</v>
      </c>
      <c r="Q70" s="1602">
        <f ca="1">C13</f>
        <v>0</v>
      </c>
      <c r="R70" s="1602" t="s">
        <v>1494</v>
      </c>
    </row>
    <row r="71" spans="1:18" s="1566" customFormat="1" ht="13.5" thickBot="1">
      <c r="A71" s="1101" t="s">
        <v>1001</v>
      </c>
      <c r="B71" s="1102" t="s">
        <v>1452</v>
      </c>
      <c r="C71" s="341" t="e">
        <f ca="1">ROUND(C68*10000/F71,0)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3" priority="56">
      <formula>$L$48&gt;$J$51</formula>
    </cfRule>
  </conditionalFormatting>
  <conditionalFormatting sqref="I55 I60">
    <cfRule type="expression" dxfId="202" priority="57">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0" zoomScale="70" zoomScaleNormal="70" zoomScaleSheetLayoutView="70" workbookViewId="0">
      <selection activeCell="C31" sqref="C3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9</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28"/>
      <c r="H2" s="2917"/>
      <c r="I2" s="2917"/>
      <c r="J2" s="2917"/>
      <c r="K2" s="2918"/>
      <c r="L2" s="2917"/>
      <c r="M2" s="2917"/>
    </row>
    <row r="3" spans="1:37" ht="18" customHeight="1" thickBot="1">
      <c r="A3" s="1572" t="s">
        <v>1558</v>
      </c>
      <c r="B3" s="1573">
        <f ca="1">IF(ISERROR(D2/F43),0,ROUND(D2/F43,0))</f>
        <v>0</v>
      </c>
      <c r="C3" s="1569" t="s">
        <v>1559</v>
      </c>
      <c r="D3" s="1569"/>
      <c r="E3" s="1570"/>
      <c r="F3" s="1571"/>
      <c r="G3" s="2928"/>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472" t="s">
        <v>1368</v>
      </c>
      <c r="C6" s="1205">
        <f ca="1">ROUND(F6*F8*F7*(1-F9),0)</f>
        <v>0</v>
      </c>
      <c r="D6" s="159" t="s">
        <v>2847</v>
      </c>
      <c r="E6" s="307" t="s">
        <v>1370</v>
      </c>
      <c r="F6" s="308">
        <f ca="1">INDIRECT("'数据-取费表'!u"&amp;$G$1)</f>
        <v>0</v>
      </c>
      <c r="G6" s="1566"/>
      <c r="H6" s="1200" t="s">
        <v>1003</v>
      </c>
      <c r="I6" s="3472" t="s">
        <v>1368</v>
      </c>
      <c r="J6" s="306">
        <f ca="1">ROUND(M6*M8*M7*(1-M9),0)</f>
        <v>0</v>
      </c>
      <c r="K6" s="1558" t="s">
        <v>2848</v>
      </c>
      <c r="L6" s="307" t="s">
        <v>1370</v>
      </c>
      <c r="M6" s="308">
        <f ca="1">INDIRECT("'数据-取费表'!z"&amp;$G$1)</f>
        <v>0</v>
      </c>
    </row>
    <row r="7" spans="1:37" ht="18" customHeight="1">
      <c r="A7" s="1204"/>
      <c r="B7" s="3473"/>
      <c r="C7" s="1206"/>
      <c r="D7" s="312"/>
      <c r="E7" s="1207" t="s">
        <v>1371</v>
      </c>
      <c r="F7" s="308">
        <f ca="1">IF(INDIRECT("'数据-取费表'!ah"&amp;$G$1)="",INDIRECT("'数据-取费表'!k"&amp;$G$1),INDIRECT("'数据-取费表'!ah"&amp;$G$1))</f>
        <v>0</v>
      </c>
      <c r="G7" s="1566"/>
      <c r="H7" s="309"/>
      <c r="I7" s="3473"/>
      <c r="J7" s="311"/>
      <c r="K7" s="312"/>
      <c r="L7" s="307" t="s">
        <v>1371</v>
      </c>
      <c r="M7" s="308">
        <f ca="1">F7</f>
        <v>0</v>
      </c>
    </row>
    <row r="8" spans="1:37" ht="18" customHeight="1">
      <c r="A8" s="309"/>
      <c r="B8" s="3473"/>
      <c r="C8" s="311"/>
      <c r="D8" s="312"/>
      <c r="E8" s="307" t="s">
        <v>1372</v>
      </c>
      <c r="F8" s="308">
        <f ca="1">INDIRECT("'数据-取费表'!ai"&amp;$G$1)</f>
        <v>0</v>
      </c>
      <c r="G8" s="1566"/>
      <c r="H8" s="309"/>
      <c r="I8" s="3473"/>
      <c r="J8" s="311"/>
      <c r="K8" s="312"/>
      <c r="L8" s="307" t="s">
        <v>1372</v>
      </c>
      <c r="M8" s="308">
        <f ca="1">INDIRECT("'数据-取费表'!ai"&amp;$G$1)</f>
        <v>0</v>
      </c>
    </row>
    <row r="9" spans="1:37" ht="18" customHeight="1">
      <c r="A9" s="309"/>
      <c r="B9" s="3474"/>
      <c r="C9" s="311"/>
      <c r="D9" s="312"/>
      <c r="E9" s="307" t="s">
        <v>1373</v>
      </c>
      <c r="F9" s="317">
        <f ca="1">INDIRECT("'数据-取费表'!w"&amp;$G$1)</f>
        <v>0</v>
      </c>
      <c r="G9" s="1566"/>
      <c r="H9" s="309"/>
      <c r="I9" s="3474"/>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2857</v>
      </c>
      <c r="E10" s="318" t="s">
        <v>1375</v>
      </c>
      <c r="F10" s="1275"/>
      <c r="G10" s="1566"/>
      <c r="H10" s="1200" t="s">
        <v>1007</v>
      </c>
      <c r="I10" s="1547" t="s">
        <v>1374</v>
      </c>
      <c r="J10" s="306">
        <f ca="1">ROUND(IF(M10="押一",J6/12*M11,IF(M10="押二",J6/12*2*M11,IF(M10="押三",J6/12*3*M11,J11*M11))),0)</f>
        <v>0</v>
      </c>
      <c r="K10" s="1559" t="s">
        <v>2859</v>
      </c>
      <c r="L10" s="318" t="s">
        <v>1375</v>
      </c>
      <c r="M10" s="1275"/>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0.05</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8" t="s">
        <v>998</v>
      </c>
      <c r="I16" s="1239" t="s">
        <v>1389</v>
      </c>
      <c r="J16" s="315">
        <f ca="1">ROUND(J17+J22+J23+J24,0)</f>
        <v>0</v>
      </c>
      <c r="K16" s="1246" t="s">
        <v>1390</v>
      </c>
      <c r="L16" s="1247"/>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0.03</v>
      </c>
      <c r="G20" s="1578"/>
      <c r="H20" s="1112" t="s">
        <v>1354</v>
      </c>
      <c r="I20" s="159" t="s">
        <v>1406</v>
      </c>
      <c r="J20" s="24">
        <f ca="1">ROUND(M20*M21,0)</f>
        <v>0</v>
      </c>
      <c r="K20" s="329" t="s">
        <v>1407</v>
      </c>
      <c r="L20" s="307" t="s">
        <v>1408</v>
      </c>
      <c r="M20" s="330">
        <f>'数据-取费表'!B52</f>
        <v>0</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0.03</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8" t="s">
        <v>999</v>
      </c>
      <c r="I25" s="1253" t="s">
        <v>1428</v>
      </c>
      <c r="J25" s="315">
        <f ca="1">J5-J16</f>
        <v>0</v>
      </c>
      <c r="K25" s="1254" t="s">
        <v>1429</v>
      </c>
      <c r="L25" s="1255"/>
      <c r="M25" s="1256"/>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5.2400000000000002E-2</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0</v>
      </c>
      <c r="D30" s="1246" t="s">
        <v>1390</v>
      </c>
      <c r="E30" s="1247"/>
      <c r="F30" s="1203"/>
      <c r="G30" s="1566"/>
      <c r="H30" s="2919"/>
      <c r="I30" s="1580"/>
      <c r="J30" s="1581"/>
      <c r="K30" s="2696"/>
      <c r="L30" s="2920"/>
      <c r="M30" s="2921"/>
    </row>
    <row r="31" spans="1:37" ht="18" customHeight="1">
      <c r="A31" s="1112" t="s">
        <v>1003</v>
      </c>
      <c r="B31" s="307"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2" t="s">
        <v>3051</v>
      </c>
      <c r="I31" s="1580"/>
      <c r="J31" s="1581"/>
      <c r="K31" s="2696"/>
      <c r="L31" s="2920"/>
      <c r="M31" s="2921"/>
    </row>
    <row r="32" spans="1:37" ht="18" customHeight="1">
      <c r="A32" s="1112" t="s">
        <v>1002</v>
      </c>
      <c r="B32" s="307" t="s">
        <v>1398</v>
      </c>
      <c r="C32" s="23">
        <f ca="1">IF(项目基本情况!B11="自然人","——",ROUND(C6*F32/(1+'数据-取费表'!C42),0))</f>
        <v>0</v>
      </c>
      <c r="D32" s="1526" t="s">
        <v>1399</v>
      </c>
      <c r="E32" s="307" t="s">
        <v>1387</v>
      </c>
      <c r="F32" s="336">
        <f>'数据-取费表'!B41</f>
        <v>5.5000000000000007E-2</v>
      </c>
      <c r="G32" s="1566"/>
      <c r="H32" s="2919"/>
      <c r="I32" s="1580"/>
      <c r="J32" s="1581"/>
      <c r="K32" s="2696"/>
      <c r="L32" s="2920"/>
      <c r="M32" s="2921"/>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2"/>
      <c r="I33" s="1580"/>
      <c r="J33" s="1581"/>
      <c r="K33" s="2923"/>
      <c r="L33" s="2922"/>
      <c r="M33" s="2922"/>
    </row>
    <row r="34" spans="1:18" ht="18" customHeight="1">
      <c r="A34" s="1200" t="s">
        <v>1354</v>
      </c>
      <c r="B34" s="159" t="s">
        <v>1406</v>
      </c>
      <c r="C34" s="24">
        <f ca="1">IF(项目基本情况!B11="自然人","——",ROUND(F34*F35,))</f>
        <v>0</v>
      </c>
      <c r="D34" s="329" t="s">
        <v>1407</v>
      </c>
      <c r="E34" s="307" t="s">
        <v>1408</v>
      </c>
      <c r="F34" s="330">
        <f>'数据-取费表'!B52</f>
        <v>0</v>
      </c>
      <c r="G34" s="1566"/>
      <c r="H34" s="2919"/>
      <c r="I34" s="1580"/>
      <c r="J34" s="1581"/>
      <c r="K34" s="2924"/>
      <c r="L34" s="2925"/>
      <c r="M34" s="2925"/>
    </row>
    <row r="35" spans="1:18" ht="18" customHeight="1">
      <c r="A35" s="1262"/>
      <c r="B35" s="1260"/>
      <c r="C35" s="28"/>
      <c r="D35" s="332"/>
      <c r="E35" s="307" t="s">
        <v>1412</v>
      </c>
      <c r="F35" s="308">
        <f ca="1">INDIRECT("'数据-取费表'!r"&amp;$G$1)</f>
        <v>0</v>
      </c>
      <c r="G35" s="1566"/>
      <c r="H35" s="2919"/>
      <c r="I35" s="1580"/>
      <c r="J35" s="1581"/>
      <c r="K35" s="2923"/>
      <c r="L35" s="2922"/>
      <c r="M35" s="2922"/>
    </row>
    <row r="36" spans="1:18" ht="18" customHeight="1">
      <c r="A36" s="1261" t="s">
        <v>1007</v>
      </c>
      <c r="B36" s="307" t="s">
        <v>1414</v>
      </c>
      <c r="C36" s="23">
        <f ca="1">ROUND(C29*F36,0)</f>
        <v>0</v>
      </c>
      <c r="D36" s="1526" t="s">
        <v>1447</v>
      </c>
      <c r="E36" s="307" t="s">
        <v>1387</v>
      </c>
      <c r="F36" s="333">
        <f ca="1">INDIRECT("'数据-取费表'!Ak"&amp;$G$1)</f>
        <v>0</v>
      </c>
      <c r="G36" s="1566"/>
      <c r="H36" s="2922"/>
      <c r="I36" s="1580"/>
      <c r="J36" s="1581"/>
      <c r="K36" s="2764"/>
      <c r="L36" s="2922"/>
      <c r="M36" s="2922"/>
    </row>
    <row r="37" spans="1:18" ht="18" customHeight="1">
      <c r="A37" s="1112" t="s">
        <v>1043</v>
      </c>
      <c r="B37" s="307" t="s">
        <v>1418</v>
      </c>
      <c r="C37" s="23">
        <f ca="1">ROUND(C13*F37,0)</f>
        <v>0</v>
      </c>
      <c r="D37" s="1526" t="s">
        <v>1419</v>
      </c>
      <c r="E37" s="307" t="s">
        <v>1420</v>
      </c>
      <c r="F37" s="335">
        <f ca="1">INDIRECT("'数据-取费表'!Al"&amp;$G$1)</f>
        <v>0</v>
      </c>
      <c r="G37" s="1566"/>
      <c r="H37" s="2922"/>
      <c r="I37" s="1580"/>
      <c r="J37" s="1581"/>
      <c r="K37" s="2764"/>
      <c r="L37" s="2922"/>
      <c r="M37" s="2922"/>
    </row>
    <row r="38" spans="1:18" ht="18" customHeight="1" thickBot="1">
      <c r="A38" s="1248" t="s">
        <v>1358</v>
      </c>
      <c r="B38" s="1249" t="s">
        <v>1404</v>
      </c>
      <c r="C38" s="1250">
        <f ca="1">ROUND(C5*F38,1)</f>
        <v>0</v>
      </c>
      <c r="D38" s="1251" t="s">
        <v>1424</v>
      </c>
      <c r="E38" s="1249" t="s">
        <v>1420</v>
      </c>
      <c r="F38" s="1245">
        <f ca="1">INDIRECT("'数据-取费表'!Am"&amp;$G$1)</f>
        <v>0</v>
      </c>
      <c r="G38" s="1566"/>
      <c r="H38" s="2922"/>
      <c r="I38" s="1580"/>
      <c r="J38" s="1581"/>
      <c r="K38" s="2926"/>
      <c r="L38" s="2922"/>
      <c r="M38" s="2922"/>
    </row>
    <row r="39" spans="1:18" ht="24.6" customHeight="1" thickTop="1">
      <c r="A39" s="1238" t="s">
        <v>999</v>
      </c>
      <c r="B39" s="1253" t="s">
        <v>1448</v>
      </c>
      <c r="C39" s="315">
        <f ca="1">C5-C30</f>
        <v>0</v>
      </c>
      <c r="D39" s="1254" t="s">
        <v>1449</v>
      </c>
      <c r="E39" s="1255"/>
      <c r="F39" s="1256"/>
      <c r="G39" s="1566"/>
      <c r="H39" s="2922"/>
      <c r="I39" s="1580"/>
      <c r="J39" s="1581"/>
      <c r="K39" s="2926"/>
      <c r="L39" s="2922"/>
      <c r="M39" s="2922"/>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26"/>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4"/>
      <c r="L41" s="1351"/>
      <c r="M41" s="1351"/>
    </row>
    <row r="42" spans="1:18" ht="18" customHeight="1">
      <c r="A42" s="313"/>
      <c r="B42" s="314"/>
      <c r="C42" s="315"/>
      <c r="D42" s="332"/>
      <c r="E42" s="307" t="s">
        <v>1442</v>
      </c>
      <c r="F42" s="317">
        <f ca="1">INDIRECT("'数据-取费表'!v"&amp;$G$1)</f>
        <v>0</v>
      </c>
      <c r="G42" s="1566"/>
      <c r="H42" s="1351"/>
      <c r="I42" s="1580"/>
      <c r="J42" s="1581"/>
      <c r="K42" s="2764"/>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4"/>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5"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8" t="s">
        <v>1374</v>
      </c>
      <c r="C53" s="321">
        <f ca="1">ROUND(IF(F53="押一",C49/12*F11,IF(F53="押二",C49/12*2*F11,IF(F53="押三",C49/12*3*F11,C54*F11))),0)</f>
        <v>0</v>
      </c>
      <c r="D53" s="1548" t="s">
        <v>2860</v>
      </c>
      <c r="E53" s="318" t="s">
        <v>1375</v>
      </c>
      <c r="F53" s="1275"/>
      <c r="I53" s="1621" t="s">
        <v>1512</v>
      </c>
      <c r="J53" s="2383">
        <f ca="1">IF(M47="住宅",IF(D1="——",MAX(J51,L48),MAX(J51,L48-'数据-取费表'!B24)),IF(D1="——",MIN(J51,L48),MIN(J51,L48-'数据-取费表'!B24)))</f>
        <v>0</v>
      </c>
      <c r="K53" s="3470" t="s">
        <v>1513</v>
      </c>
      <c r="L53" s="3471"/>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0</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2346</v>
      </c>
      <c r="B1" s="2051"/>
      <c r="C1" s="2051"/>
      <c r="D1" s="2051"/>
      <c r="E1" s="2052"/>
      <c r="F1" s="2929"/>
      <c r="G1" s="1672"/>
      <c r="H1" s="1672"/>
      <c r="I1" s="1672"/>
      <c r="J1" s="1672"/>
      <c r="K1" s="1672"/>
      <c r="L1" s="1672"/>
      <c r="M1" s="1672"/>
      <c r="N1" s="1672"/>
      <c r="O1" s="1672"/>
      <c r="P1" s="1672"/>
      <c r="Q1" s="1672"/>
      <c r="R1" s="1672"/>
      <c r="S1" s="1672"/>
    </row>
    <row r="2" spans="1:22" ht="15.75">
      <c r="A2" s="2053" t="s">
        <v>2147</v>
      </c>
      <c r="B2" s="2054">
        <f ca="1">SUMIF(B6:B13,"&lt;&gt;#ref!",B6:B13)</f>
        <v>0</v>
      </c>
      <c r="C2" s="2055" t="s">
        <v>2339</v>
      </c>
      <c r="D2" s="2056" t="s">
        <v>2340</v>
      </c>
      <c r="E2" s="2827">
        <f>SUM(E6:E13)</f>
        <v>0</v>
      </c>
      <c r="F2" s="2929"/>
      <c r="G2" s="1672"/>
      <c r="H2" s="1672"/>
      <c r="I2" s="1672"/>
      <c r="J2" s="1672"/>
      <c r="K2" s="1672"/>
      <c r="L2" s="1672"/>
      <c r="M2" s="1672"/>
      <c r="N2" s="1672"/>
      <c r="O2" s="1672"/>
      <c r="P2" s="1672"/>
      <c r="Q2" s="1672"/>
      <c r="R2" s="1672"/>
      <c r="S2" s="1672"/>
    </row>
    <row r="3" spans="1:22" ht="15.75">
      <c r="A3" s="2053" t="s">
        <v>1360</v>
      </c>
      <c r="B3" s="2821" t="e">
        <f ca="1">ROUND(B2*10000/E2,0)</f>
        <v>#DIV/0!</v>
      </c>
      <c r="C3" s="2055" t="s">
        <v>2347</v>
      </c>
      <c r="D3" s="2931"/>
      <c r="E3" s="2933"/>
      <c r="F3" s="2929"/>
      <c r="G3" s="1672"/>
      <c r="H3" s="1672"/>
      <c r="I3" s="1672"/>
      <c r="J3" s="1672"/>
      <c r="K3" s="1672"/>
      <c r="L3" s="1672"/>
      <c r="M3" s="1672"/>
      <c r="N3" s="1672"/>
      <c r="O3" s="1672"/>
      <c r="P3" s="1672"/>
      <c r="Q3" s="1672"/>
      <c r="R3" s="1672"/>
      <c r="S3" s="1672"/>
    </row>
    <row r="4" spans="1:22" ht="15.75">
      <c r="A4" s="2934"/>
      <c r="B4" s="2931"/>
      <c r="C4" s="2931"/>
      <c r="D4" s="2931"/>
      <c r="E4" s="2933"/>
      <c r="F4" s="2929"/>
      <c r="G4" s="1672"/>
      <c r="H4" s="1672"/>
      <c r="I4" s="1672"/>
      <c r="J4" s="1672"/>
      <c r="K4" s="1672"/>
      <c r="L4" s="1672"/>
      <c r="M4" s="1672"/>
      <c r="N4" s="1672"/>
      <c r="O4" s="1672"/>
      <c r="P4" s="1672"/>
      <c r="Q4" s="1672"/>
      <c r="R4" s="1672"/>
      <c r="S4" s="1672"/>
    </row>
    <row r="5" spans="1:22" ht="15">
      <c r="A5" s="2823" t="s">
        <v>2341</v>
      </c>
      <c r="B5" s="3475" t="s">
        <v>2342</v>
      </c>
      <c r="C5" s="3476"/>
      <c r="D5" s="2930"/>
      <c r="E5" s="2057" t="s">
        <v>2343</v>
      </c>
      <c r="F5" s="2058" t="s">
        <v>2344</v>
      </c>
      <c r="G5" s="1672"/>
      <c r="H5" s="1672"/>
      <c r="I5" s="1672"/>
      <c r="J5" s="1672"/>
      <c r="K5" s="1672"/>
      <c r="L5" s="1672"/>
      <c r="M5" s="1672"/>
      <c r="N5" s="1672"/>
      <c r="O5" s="1672"/>
      <c r="P5" s="1672"/>
      <c r="Q5" s="1672"/>
      <c r="R5" s="1672"/>
      <c r="S5" s="1672"/>
    </row>
    <row r="6" spans="1:22">
      <c r="A6" s="2824">
        <f>'数据-取费表'!AN6</f>
        <v>0</v>
      </c>
      <c r="B6" s="2822" t="e">
        <f ca="1">IF(F6="是",'数据-取费表'!AO6,0)</f>
        <v>#REF!</v>
      </c>
      <c r="C6" s="2055" t="s">
        <v>2339</v>
      </c>
      <c r="D6" s="2931"/>
      <c r="E6" s="2826">
        <f>IF(OR(A6=0,F6="否"),0,'数据-取费表'!K6+'数据-取费表'!S6)</f>
        <v>0</v>
      </c>
      <c r="F6" s="2059" t="s">
        <v>2345</v>
      </c>
      <c r="G6" s="1672"/>
      <c r="H6" s="1672"/>
      <c r="I6" s="1672"/>
      <c r="J6" s="1672"/>
      <c r="K6" s="1672"/>
      <c r="L6" s="1672"/>
      <c r="M6" s="1672"/>
      <c r="N6" s="1672"/>
      <c r="O6" s="1672"/>
      <c r="P6" s="1672"/>
      <c r="Q6" s="1672"/>
      <c r="R6" s="1672"/>
      <c r="S6" s="1672"/>
    </row>
    <row r="7" spans="1:22">
      <c r="A7" s="2824">
        <f>'数据-取费表'!AN7</f>
        <v>0</v>
      </c>
      <c r="B7" s="2822" t="e">
        <f ca="1">IF(F7="是",'数据-取费表'!AO7,0)</f>
        <v>#REF!</v>
      </c>
      <c r="C7" s="2055" t="s">
        <v>2339</v>
      </c>
      <c r="D7" s="2931"/>
      <c r="E7" s="2826">
        <f>IF(OR(A7=0,F7="否"),0,'数据-取费表'!K7+'数据-取费表'!S7)</f>
        <v>0</v>
      </c>
      <c r="F7" s="2059" t="s">
        <v>2345</v>
      </c>
      <c r="G7" s="1672"/>
      <c r="H7" s="1672"/>
      <c r="I7" s="1672"/>
      <c r="J7" s="1672"/>
      <c r="K7" s="1672"/>
      <c r="L7" s="1672"/>
      <c r="M7" s="1672"/>
      <c r="N7" s="1672"/>
      <c r="O7" s="1672"/>
      <c r="P7" s="1672"/>
      <c r="Q7" s="1672"/>
      <c r="R7" s="1672"/>
      <c r="S7" s="1672"/>
    </row>
    <row r="8" spans="1:22">
      <c r="A8" s="2824">
        <f>'数据-取费表'!AN8</f>
        <v>0</v>
      </c>
      <c r="B8" s="2822" t="e">
        <f ca="1">IF(F8="是",'数据-取费表'!AO8,0)</f>
        <v>#REF!</v>
      </c>
      <c r="C8" s="2055" t="s">
        <v>2339</v>
      </c>
      <c r="D8" s="2931"/>
      <c r="E8" s="2826">
        <f>IF(OR(A8=0,F8="否"),0,'数据-取费表'!K8+'数据-取费表'!S8)</f>
        <v>0</v>
      </c>
      <c r="F8" s="2059" t="s">
        <v>2345</v>
      </c>
      <c r="G8" s="1672"/>
      <c r="H8" s="1672"/>
      <c r="I8" s="1672"/>
      <c r="J8" s="1672"/>
      <c r="K8" s="1672"/>
      <c r="L8" s="1672"/>
      <c r="M8" s="1672"/>
      <c r="N8" s="1672"/>
      <c r="O8" s="1672"/>
      <c r="P8" s="1672"/>
      <c r="Q8" s="1672"/>
      <c r="R8" s="1672"/>
      <c r="S8" s="1672"/>
    </row>
    <row r="9" spans="1:22">
      <c r="A9" s="2824">
        <f>'数据-取费表'!AN9</f>
        <v>0</v>
      </c>
      <c r="B9" s="2822" t="e">
        <f ca="1">IF(F9="是",'数据-取费表'!AO9,0)</f>
        <v>#REF!</v>
      </c>
      <c r="C9" s="2055" t="s">
        <v>2339</v>
      </c>
      <c r="D9" s="2931"/>
      <c r="E9" s="2826">
        <f>IF(OR(A9=0,F9="否"),0,'数据-取费表'!K9+'数据-取费表'!S9)</f>
        <v>0</v>
      </c>
      <c r="F9" s="2059" t="s">
        <v>2345</v>
      </c>
      <c r="G9" s="1672"/>
      <c r="H9" s="1672"/>
      <c r="I9" s="1672"/>
      <c r="J9" s="1672"/>
      <c r="K9" s="1672"/>
      <c r="L9" s="1672"/>
      <c r="M9" s="1672"/>
      <c r="N9" s="1672"/>
      <c r="O9" s="1672"/>
      <c r="P9" s="1672"/>
      <c r="Q9" s="1672"/>
      <c r="R9" s="1672"/>
      <c r="S9" s="1672"/>
    </row>
    <row r="10" spans="1:22">
      <c r="A10" s="2824">
        <f>'数据-取费表'!AN10</f>
        <v>0</v>
      </c>
      <c r="B10" s="2822" t="e">
        <f ca="1">IF(F10="是",'数据-取费表'!AO10,0)</f>
        <v>#REF!</v>
      </c>
      <c r="C10" s="2055" t="s">
        <v>2339</v>
      </c>
      <c r="D10" s="2931"/>
      <c r="E10" s="2826">
        <f>IF(OR(A10=0,F10="否"),0,'数据-取费表'!K10+'数据-取费表'!S10)</f>
        <v>0</v>
      </c>
      <c r="F10" s="2059" t="s">
        <v>2345</v>
      </c>
      <c r="G10" s="1672"/>
      <c r="H10" s="1672"/>
      <c r="I10" s="1672"/>
      <c r="J10" s="1672"/>
      <c r="K10" s="1672"/>
      <c r="L10" s="1672"/>
      <c r="M10" s="1672"/>
      <c r="N10" s="1672"/>
      <c r="O10" s="1672"/>
      <c r="P10" s="1672"/>
      <c r="Q10" s="1672"/>
      <c r="R10" s="1672"/>
      <c r="S10" s="1672"/>
    </row>
    <row r="11" spans="1:22">
      <c r="A11" s="2824">
        <f>'数据-取费表'!AN11</f>
        <v>0</v>
      </c>
      <c r="B11" s="2822" t="e">
        <f ca="1">IF(F11="是",'数据-取费表'!AO11,0)</f>
        <v>#REF!</v>
      </c>
      <c r="C11" s="2055" t="s">
        <v>2339</v>
      </c>
      <c r="D11" s="2931"/>
      <c r="E11" s="2826">
        <f>IF(OR(A11=0,F11="否"),0,'数据-取费表'!K11+'数据-取费表'!S11)</f>
        <v>0</v>
      </c>
      <c r="F11" s="2059" t="s">
        <v>2345</v>
      </c>
      <c r="G11" s="1672"/>
      <c r="H11" s="1672"/>
      <c r="I11" s="1672"/>
      <c r="J11" s="1672"/>
      <c r="K11" s="1672"/>
      <c r="L11" s="1672"/>
      <c r="M11" s="1672"/>
      <c r="N11" s="1672"/>
      <c r="O11" s="1672"/>
      <c r="P11" s="1672"/>
      <c r="Q11" s="1672"/>
      <c r="R11" s="1672"/>
      <c r="S11" s="1672"/>
    </row>
    <row r="12" spans="1:22">
      <c r="A12" s="2824">
        <f>'数据-取费表'!AN12</f>
        <v>0</v>
      </c>
      <c r="B12" s="2822" t="e">
        <f ca="1">IF(F12="是",'数据-取费表'!AO12,0)</f>
        <v>#REF!</v>
      </c>
      <c r="C12" s="2055" t="s">
        <v>2339</v>
      </c>
      <c r="D12" s="2931"/>
      <c r="E12" s="2826">
        <f>IF(OR(A12=0,F12="否"),0,'数据-取费表'!K12+'数据-取费表'!S12)</f>
        <v>0</v>
      </c>
      <c r="F12" s="2059" t="s">
        <v>2345</v>
      </c>
      <c r="G12" s="1672"/>
      <c r="H12" s="1672"/>
      <c r="I12" s="1672"/>
      <c r="J12" s="1672"/>
      <c r="K12" s="1672"/>
      <c r="L12" s="1672"/>
      <c r="M12" s="1672"/>
      <c r="N12" s="1672"/>
      <c r="O12" s="1672"/>
      <c r="P12" s="1672"/>
      <c r="Q12" s="1672"/>
      <c r="R12" s="1672"/>
      <c r="S12" s="1672"/>
    </row>
    <row r="13" spans="1:22" ht="15" thickBot="1">
      <c r="A13" s="2825">
        <f>'数据-取费表'!AN13</f>
        <v>0</v>
      </c>
      <c r="B13" s="2822" t="e">
        <f ca="1">IF(F13="是",'数据-取费表'!AO13,0)</f>
        <v>#REF!</v>
      </c>
      <c r="C13" s="2060" t="s">
        <v>2339</v>
      </c>
      <c r="D13" s="2932"/>
      <c r="E13" s="2826">
        <f>IF(OR(A13=0,F13="否"),0,'数据-取费表'!K13+'数据-取费表'!S13)</f>
        <v>0</v>
      </c>
      <c r="F13" s="2059" t="s">
        <v>2345</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77" t="s">
        <v>1044</v>
      </c>
      <c r="B1" s="3478"/>
      <c r="C1" s="3479"/>
      <c r="D1" s="3480">
        <f>SUM(I10,I15,I20,I21,I23)</f>
        <v>0</v>
      </c>
      <c r="E1" s="3480"/>
      <c r="F1" s="3480"/>
      <c r="G1" s="3480"/>
      <c r="H1" s="3480"/>
      <c r="I1" s="3481"/>
    </row>
    <row r="2" spans="1:9">
      <c r="A2" s="3482" t="s">
        <v>1045</v>
      </c>
      <c r="B2" s="3483" t="s">
        <v>1046</v>
      </c>
      <c r="C2" s="3483"/>
      <c r="D2" s="1210" t="s">
        <v>1047</v>
      </c>
      <c r="E2" s="1210" t="s">
        <v>1048</v>
      </c>
      <c r="F2" s="1210" t="s">
        <v>1049</v>
      </c>
      <c r="G2" s="1210" t="s">
        <v>1050</v>
      </c>
      <c r="H2" s="1210" t="s">
        <v>1051</v>
      </c>
      <c r="I2" s="1211" t="s">
        <v>1052</v>
      </c>
    </row>
    <row r="3" spans="1:9">
      <c r="A3" s="3482"/>
      <c r="B3" s="3483" t="s">
        <v>1053</v>
      </c>
      <c r="C3" s="3483"/>
      <c r="D3" s="1212"/>
      <c r="E3" s="1210"/>
      <c r="F3" s="1213"/>
      <c r="G3" s="1213"/>
      <c r="H3" s="1214"/>
      <c r="I3" s="1215">
        <f>ROUND(D3*E3*F3*G3*H3/10000,0)</f>
        <v>0</v>
      </c>
    </row>
    <row r="4" spans="1:9">
      <c r="A4" s="3482"/>
      <c r="B4" s="3483" t="s">
        <v>1054</v>
      </c>
      <c r="C4" s="3483"/>
      <c r="D4" s="1212"/>
      <c r="E4" s="1210"/>
      <c r="F4" s="1213"/>
      <c r="G4" s="1213"/>
      <c r="H4" s="1214"/>
      <c r="I4" s="1215">
        <f t="shared" ref="I4:I9" si="0">ROUND(D4*E4*F4*G4*H4/10000,0)</f>
        <v>0</v>
      </c>
    </row>
    <row r="5" spans="1:9">
      <c r="A5" s="3482"/>
      <c r="B5" s="3483" t="s">
        <v>1055</v>
      </c>
      <c r="C5" s="3483"/>
      <c r="D5" s="1212"/>
      <c r="E5" s="1210"/>
      <c r="F5" s="1213"/>
      <c r="G5" s="1213"/>
      <c r="H5" s="1214"/>
      <c r="I5" s="1215">
        <f t="shared" si="0"/>
        <v>0</v>
      </c>
    </row>
    <row r="6" spans="1:9">
      <c r="A6" s="3482"/>
      <c r="B6" s="3483" t="s">
        <v>1056</v>
      </c>
      <c r="C6" s="3483"/>
      <c r="D6" s="1212"/>
      <c r="E6" s="1210"/>
      <c r="F6" s="1213"/>
      <c r="G6" s="1213"/>
      <c r="H6" s="1214"/>
      <c r="I6" s="1215">
        <f t="shared" si="0"/>
        <v>0</v>
      </c>
    </row>
    <row r="7" spans="1:9">
      <c r="A7" s="3482"/>
      <c r="B7" s="3483" t="s">
        <v>1057</v>
      </c>
      <c r="C7" s="3483"/>
      <c r="D7" s="1212"/>
      <c r="E7" s="1210"/>
      <c r="F7" s="1213"/>
      <c r="G7" s="1213"/>
      <c r="H7" s="1214"/>
      <c r="I7" s="1215">
        <f t="shared" si="0"/>
        <v>0</v>
      </c>
    </row>
    <row r="8" spans="1:9">
      <c r="A8" s="3482"/>
      <c r="B8" s="3483" t="s">
        <v>1058</v>
      </c>
      <c r="C8" s="3483"/>
      <c r="D8" s="1212"/>
      <c r="E8" s="1210"/>
      <c r="F8" s="1213"/>
      <c r="G8" s="1213"/>
      <c r="H8" s="1214"/>
      <c r="I8" s="1215">
        <f t="shared" si="0"/>
        <v>0</v>
      </c>
    </row>
    <row r="9" spans="1:9">
      <c r="A9" s="3482"/>
      <c r="B9" s="3483" t="s">
        <v>1059</v>
      </c>
      <c r="C9" s="3483"/>
      <c r="D9" s="1212"/>
      <c r="E9" s="1210"/>
      <c r="F9" s="1213"/>
      <c r="G9" s="1213"/>
      <c r="H9" s="1214"/>
      <c r="I9" s="1215">
        <f t="shared" si="0"/>
        <v>0</v>
      </c>
    </row>
    <row r="10" spans="1:9">
      <c r="A10" s="3482"/>
      <c r="B10" s="3484" t="s">
        <v>1060</v>
      </c>
      <c r="C10" s="3484"/>
      <c r="D10" s="1216"/>
      <c r="E10" s="1216" t="e">
        <f>ROUND(D1*10000/D10/H9,0)</f>
        <v>#DIV/0!</v>
      </c>
      <c r="F10" s="1217"/>
      <c r="G10" s="1217"/>
      <c r="H10" s="1218"/>
      <c r="I10" s="1219">
        <f>SUM(I3:I9)</f>
        <v>0</v>
      </c>
    </row>
    <row r="11" spans="1:9" ht="14.25">
      <c r="A11" s="3482" t="s">
        <v>1061</v>
      </c>
      <c r="B11" s="3483" t="s">
        <v>1062</v>
      </c>
      <c r="C11" s="3483"/>
      <c r="D11" s="1212" t="s">
        <v>1063</v>
      </c>
      <c r="E11" s="1212" t="s">
        <v>1064</v>
      </c>
      <c r="F11" s="1213" t="s">
        <v>1065</v>
      </c>
      <c r="G11" s="1213" t="s">
        <v>1051</v>
      </c>
      <c r="H11" s="1220" t="s">
        <v>1066</v>
      </c>
      <c r="I11" s="1211" t="s">
        <v>1052</v>
      </c>
    </row>
    <row r="12" spans="1:9">
      <c r="A12" s="3482"/>
      <c r="B12" s="3483" t="s">
        <v>1067</v>
      </c>
      <c r="C12" s="3483"/>
      <c r="D12" s="1212"/>
      <c r="E12" s="1212"/>
      <c r="F12" s="1213"/>
      <c r="G12" s="1214"/>
      <c r="H12" s="1221"/>
      <c r="I12" s="1211">
        <f>ROUND(D12*E12*F12*G12/10000,0)</f>
        <v>0</v>
      </c>
    </row>
    <row r="13" spans="1:9">
      <c r="A13" s="3482"/>
      <c r="B13" s="3483" t="s">
        <v>1068</v>
      </c>
      <c r="C13" s="3483"/>
      <c r="D13" s="1212"/>
      <c r="E13" s="1212"/>
      <c r="F13" s="1213"/>
      <c r="G13" s="1214"/>
      <c r="H13" s="1221"/>
      <c r="I13" s="1211">
        <f>ROUND(D13*E13*F13*G13/10000,0)</f>
        <v>0</v>
      </c>
    </row>
    <row r="14" spans="1:9">
      <c r="A14" s="3482"/>
      <c r="B14" s="3483" t="s">
        <v>1069</v>
      </c>
      <c r="C14" s="3483"/>
      <c r="D14" s="1212"/>
      <c r="E14" s="1212"/>
      <c r="F14" s="1213"/>
      <c r="G14" s="1214"/>
      <c r="H14" s="1221"/>
      <c r="I14" s="1211">
        <f>ROUND(D14*E14*F14*G14/10000,0)</f>
        <v>0</v>
      </c>
    </row>
    <row r="15" spans="1:9">
      <c r="A15" s="3482"/>
      <c r="B15" s="3484" t="s">
        <v>1060</v>
      </c>
      <c r="C15" s="3484"/>
      <c r="D15" s="1216"/>
      <c r="E15" s="1216">
        <f>SUM(E12:E14)</f>
        <v>0</v>
      </c>
      <c r="F15" s="1217"/>
      <c r="G15" s="1214"/>
      <c r="H15" s="1221"/>
      <c r="I15" s="1222">
        <f>SUM(I12:I14)</f>
        <v>0</v>
      </c>
    </row>
    <row r="16" spans="1:9" ht="24">
      <c r="A16" s="3482" t="s">
        <v>1070</v>
      </c>
      <c r="B16" s="3483" t="s">
        <v>1071</v>
      </c>
      <c r="C16" s="3483"/>
      <c r="D16" s="1212" t="s">
        <v>1047</v>
      </c>
      <c r="E16" s="1223" t="s">
        <v>1072</v>
      </c>
      <c r="F16" s="1213" t="s">
        <v>1073</v>
      </c>
      <c r="G16" s="1214" t="s">
        <v>1051</v>
      </c>
      <c r="H16" s="1220" t="s">
        <v>1066</v>
      </c>
      <c r="I16" s="1211" t="s">
        <v>1052</v>
      </c>
    </row>
    <row r="17" spans="1:9" ht="14.25">
      <c r="A17" s="3482"/>
      <c r="B17" s="3483" t="s">
        <v>1074</v>
      </c>
      <c r="C17" s="3483"/>
      <c r="D17" s="1212"/>
      <c r="E17" s="1212"/>
      <c r="F17" s="1213"/>
      <c r="G17" s="1214"/>
      <c r="H17" s="1224"/>
      <c r="I17" s="1225">
        <f>ROUND(D17*E17*F17*G17/10000,0)</f>
        <v>0</v>
      </c>
    </row>
    <row r="18" spans="1:9" ht="14.25">
      <c r="A18" s="3482"/>
      <c r="B18" s="3483" t="s">
        <v>1075</v>
      </c>
      <c r="C18" s="3483"/>
      <c r="D18" s="1212"/>
      <c r="E18" s="1212"/>
      <c r="F18" s="1213"/>
      <c r="G18" s="1214"/>
      <c r="H18" s="1224"/>
      <c r="I18" s="1225">
        <f>ROUND(D18*E18*F18*G18/10000,0)</f>
        <v>0</v>
      </c>
    </row>
    <row r="19" spans="1:9" ht="14.25">
      <c r="A19" s="3482"/>
      <c r="B19" s="3483" t="s">
        <v>1076</v>
      </c>
      <c r="C19" s="3483"/>
      <c r="D19" s="1212"/>
      <c r="E19" s="1212"/>
      <c r="F19" s="1213"/>
      <c r="G19" s="1214"/>
      <c r="H19" s="1224"/>
      <c r="I19" s="1225">
        <f>ROUND(D19*E19*F19*G19/10000,0)</f>
        <v>0</v>
      </c>
    </row>
    <row r="20" spans="1:9">
      <c r="A20" s="3482"/>
      <c r="B20" s="3484" t="s">
        <v>1060</v>
      </c>
      <c r="C20" s="3484"/>
      <c r="D20" s="1216">
        <f>SUM(D17:D19)</f>
        <v>0</v>
      </c>
      <c r="E20" s="1216"/>
      <c r="F20" s="1217"/>
      <c r="G20" s="1214"/>
      <c r="H20" s="1221"/>
      <c r="I20" s="1222">
        <f>SUM(I17:I19)</f>
        <v>0</v>
      </c>
    </row>
    <row r="21" spans="1:9">
      <c r="A21" s="3482" t="s">
        <v>1077</v>
      </c>
      <c r="B21" s="3486"/>
      <c r="C21" s="3486"/>
      <c r="D21" s="3486"/>
      <c r="E21" s="3486"/>
      <c r="F21" s="3486"/>
      <c r="G21" s="3486"/>
      <c r="H21" s="1500">
        <v>0.1</v>
      </c>
      <c r="I21" s="1219">
        <f>ROUND(I10*H21,0)</f>
        <v>0</v>
      </c>
    </row>
    <row r="22" spans="1:9" ht="14.25">
      <c r="A22" s="3487" t="s">
        <v>1078</v>
      </c>
      <c r="B22" s="3488"/>
      <c r="C22" s="3489"/>
      <c r="D22" s="1226" t="s">
        <v>1079</v>
      </c>
      <c r="E22" s="1226" t="s">
        <v>1080</v>
      </c>
      <c r="F22" s="1227" t="s">
        <v>1081</v>
      </c>
      <c r="G22" s="1227" t="s">
        <v>1082</v>
      </c>
      <c r="H22" s="1220" t="s">
        <v>1083</v>
      </c>
      <c r="I22" s="1211" t="s">
        <v>1084</v>
      </c>
    </row>
    <row r="23" spans="1:9" ht="14.25" thickBot="1">
      <c r="A23" s="3490"/>
      <c r="B23" s="3491"/>
      <c r="C23" s="3492"/>
      <c r="D23" s="1228"/>
      <c r="E23" s="1228"/>
      <c r="F23" s="1228"/>
      <c r="G23" s="1229"/>
      <c r="H23" s="1230"/>
      <c r="I23" s="1231">
        <f>ROUND(E23*D23*F23*(1-G23)/10000,0)</f>
        <v>0</v>
      </c>
    </row>
    <row r="26" spans="1:9">
      <c r="A26" s="1232" t="s">
        <v>1085</v>
      </c>
      <c r="B26" s="1232"/>
      <c r="C26" s="1232"/>
      <c r="D26" s="1232"/>
      <c r="E26" s="3493">
        <f>C27-C30-C31-C32</f>
        <v>0</v>
      </c>
      <c r="F26" s="3493"/>
      <c r="G26" s="3493"/>
      <c r="H26" s="1497" t="s">
        <v>1306</v>
      </c>
    </row>
    <row r="27" spans="1:9">
      <c r="A27" s="1233">
        <v>1</v>
      </c>
      <c r="B27" s="1234" t="s">
        <v>1086</v>
      </c>
      <c r="C27" s="1234">
        <f>C28+C29</f>
        <v>0</v>
      </c>
      <c r="D27" s="1234"/>
      <c r="E27" s="3494"/>
      <c r="F27" s="3494"/>
      <c r="G27" s="3494"/>
    </row>
    <row r="28" spans="1:9">
      <c r="A28" s="1235" t="s">
        <v>1087</v>
      </c>
      <c r="B28" s="1234" t="s">
        <v>1088</v>
      </c>
      <c r="C28" s="1234"/>
      <c r="D28" s="1234"/>
      <c r="E28" s="3494"/>
      <c r="F28" s="3494"/>
      <c r="G28" s="349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485"/>
      <c r="F32" s="3485"/>
      <c r="G32" s="3485"/>
    </row>
    <row r="33" spans="1:7" hidden="1">
      <c r="A33" s="3495" t="s">
        <v>1097</v>
      </c>
      <c r="B33" s="3496"/>
      <c r="C33" s="3496"/>
      <c r="D33" s="3497"/>
      <c r="E33" s="3493"/>
      <c r="F33" s="3493"/>
      <c r="G33" s="3493"/>
    </row>
    <row r="34" spans="1:7" hidden="1">
      <c r="A34" s="1237">
        <v>1</v>
      </c>
      <c r="B34" s="1234" t="s">
        <v>1098</v>
      </c>
      <c r="C34" s="1234"/>
      <c r="D34" s="1234"/>
      <c r="E34" s="3494"/>
      <c r="F34" s="3494"/>
      <c r="G34" s="3494"/>
    </row>
    <row r="35" spans="1:7" hidden="1">
      <c r="A35" s="1237">
        <v>2</v>
      </c>
      <c r="B35" s="1234" t="s">
        <v>1099</v>
      </c>
      <c r="C35" s="1234"/>
      <c r="D35" s="1234"/>
      <c r="E35" s="3494"/>
      <c r="F35" s="3494"/>
      <c r="G35" s="3494"/>
    </row>
    <row r="36" spans="1:7" hidden="1">
      <c r="A36" s="1237">
        <v>3</v>
      </c>
      <c r="B36" s="1234" t="s">
        <v>1100</v>
      </c>
      <c r="C36" s="1234"/>
      <c r="D36" s="1234"/>
      <c r="E36" s="3494"/>
      <c r="F36" s="3494"/>
      <c r="G36" s="3494"/>
    </row>
    <row r="37" spans="1:7" hidden="1">
      <c r="A37" s="1237">
        <v>4</v>
      </c>
      <c r="B37" s="1234" t="s">
        <v>1101</v>
      </c>
      <c r="C37" s="1234"/>
      <c r="D37" s="1234"/>
      <c r="E37" s="3494"/>
      <c r="F37" s="3494"/>
      <c r="G37" s="3494"/>
    </row>
    <row r="38" spans="1:7" hidden="1">
      <c r="A38" s="3495" t="s">
        <v>1102</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80" zoomScaleNormal="60" zoomScaleSheetLayoutView="80" workbookViewId="0">
      <selection activeCell="H67" sqref="H6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7.3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f>F66</f>
        <v>63648</v>
      </c>
      <c r="C2" s="1037"/>
      <c r="D2" s="1037"/>
      <c r="E2" s="1038"/>
      <c r="F2" s="1039"/>
      <c r="G2" s="1038"/>
      <c r="H2" s="1038"/>
      <c r="I2" s="1038"/>
      <c r="J2" s="1038"/>
      <c r="K2" s="1040"/>
      <c r="L2" s="2956"/>
      <c r="M2" s="2957"/>
      <c r="N2" s="2957"/>
      <c r="O2" s="2957"/>
      <c r="P2" s="707"/>
      <c r="Q2" s="707"/>
      <c r="R2" s="707"/>
      <c r="S2" s="707"/>
      <c r="T2" s="707"/>
      <c r="U2" s="707"/>
      <c r="V2" s="707"/>
      <c r="W2" s="707"/>
      <c r="X2" s="707"/>
      <c r="Y2" s="707"/>
      <c r="Z2" s="707"/>
      <c r="AA2" s="707"/>
      <c r="AB2" s="707"/>
      <c r="AC2" s="708"/>
      <c r="AD2" s="356"/>
    </row>
    <row r="3" spans="1:30" s="357" customFormat="1" ht="28.5" customHeight="1" thickBot="1">
      <c r="A3" s="208" t="s">
        <v>2149</v>
      </c>
      <c r="B3" s="565">
        <f>ROUND(IF(D3="",B2*10000/'数据-汇总表'!E3,B2*10000/D3),0)</f>
        <v>13745</v>
      </c>
      <c r="C3" s="208" t="s">
        <v>2566</v>
      </c>
      <c r="D3" s="1353"/>
      <c r="E3" s="1038"/>
      <c r="F3" s="1039"/>
      <c r="G3" s="1038"/>
      <c r="H3" s="1038"/>
      <c r="I3" s="1038"/>
      <c r="J3" s="1038"/>
      <c r="K3" s="1040"/>
      <c r="L3" s="2956"/>
      <c r="M3" s="2957"/>
      <c r="N3" s="2957"/>
      <c r="O3" s="2957"/>
      <c r="P3" s="707"/>
      <c r="Q3" s="707"/>
      <c r="R3" s="707"/>
      <c r="S3" s="707"/>
      <c r="T3" s="707"/>
      <c r="U3" s="707"/>
      <c r="V3" s="707"/>
      <c r="W3" s="707"/>
      <c r="X3" s="707"/>
      <c r="Y3" s="707"/>
      <c r="Z3" s="707"/>
      <c r="AA3" s="707"/>
      <c r="AB3" s="724"/>
      <c r="AC3" s="721"/>
    </row>
    <row r="4" spans="1:30" ht="15">
      <c r="A4" s="360" t="s">
        <v>2465</v>
      </c>
      <c r="B4" s="361"/>
      <c r="C4" s="3516" t="s">
        <v>2466</v>
      </c>
      <c r="D4" s="3517"/>
      <c r="E4" s="3518" t="s">
        <v>2467</v>
      </c>
      <c r="F4" s="3519"/>
      <c r="G4" s="3516" t="s">
        <v>2468</v>
      </c>
      <c r="H4" s="3517"/>
      <c r="I4" s="3516" t="s">
        <v>2469</v>
      </c>
      <c r="J4" s="3517"/>
      <c r="K4" s="566" t="s">
        <v>2470</v>
      </c>
      <c r="L4" s="2937"/>
      <c r="M4" s="2938"/>
      <c r="N4" s="2938"/>
      <c r="O4" s="2938"/>
      <c r="P4" s="3520" t="s">
        <v>2471</v>
      </c>
      <c r="Q4" s="3521"/>
      <c r="R4" s="3503" t="s">
        <v>2467</v>
      </c>
      <c r="S4" s="3504"/>
      <c r="T4" s="3503" t="s">
        <v>2468</v>
      </c>
      <c r="U4" s="3504"/>
      <c r="V4" s="3528" t="s">
        <v>2469</v>
      </c>
      <c r="W4" s="3528"/>
      <c r="X4" s="1537"/>
      <c r="Y4" s="3503" t="s">
        <v>2471</v>
      </c>
      <c r="Z4" s="3504"/>
      <c r="AA4" s="3498" t="s">
        <v>2467</v>
      </c>
      <c r="AB4" s="3499" t="s">
        <v>2468</v>
      </c>
      <c r="AC4" s="3498" t="s">
        <v>2469</v>
      </c>
    </row>
    <row r="5" spans="1:30" ht="63.75" customHeight="1">
      <c r="A5" s="363"/>
      <c r="B5" s="364"/>
      <c r="C5" s="3509" t="s">
        <v>4345</v>
      </c>
      <c r="D5" s="3510"/>
      <c r="E5" s="3507" t="str">
        <f>土地案例!A2</f>
        <v>北京市顺义新城第23街区新国展三期项目(原22街区南部)22-02-007-1、22-02-007-2地块R2二类居住用地</v>
      </c>
      <c r="F5" s="3508"/>
      <c r="G5" s="3509" t="str">
        <f>土地案例!A19</f>
        <v>北京市顺义区后沙峪镇马头庄村SY00-0019-6007地块R2二类居住用地</v>
      </c>
      <c r="H5" s="3510"/>
      <c r="I5" s="3509" t="str">
        <f>土地案例!A17</f>
        <v>北京市顺义区后沙峪镇顺义新城第19街区SY00-0019-0075地块R2二类居住用地</v>
      </c>
      <c r="J5" s="3510"/>
      <c r="K5" s="566"/>
      <c r="L5" s="2937"/>
      <c r="M5" s="2938"/>
      <c r="N5" s="2938"/>
      <c r="O5" s="2938"/>
      <c r="P5" s="3522"/>
      <c r="Q5" s="3523"/>
      <c r="R5" s="3505"/>
      <c r="S5" s="3506"/>
      <c r="T5" s="3505"/>
      <c r="U5" s="3506"/>
      <c r="V5" s="3528"/>
      <c r="W5" s="3528"/>
      <c r="X5" s="1537"/>
      <c r="Y5" s="3505"/>
      <c r="Z5" s="3506"/>
      <c r="AA5" s="3499"/>
      <c r="AB5" s="3499"/>
      <c r="AC5" s="3499"/>
    </row>
    <row r="6" spans="1:30" ht="15.75" thickBot="1">
      <c r="A6" s="365"/>
      <c r="B6" s="366"/>
      <c r="C6" s="3511" t="s">
        <v>2617</v>
      </c>
      <c r="D6" s="3512"/>
      <c r="E6" s="3513" t="s">
        <v>2617</v>
      </c>
      <c r="F6" s="3514"/>
      <c r="G6" s="3511" t="s">
        <v>2617</v>
      </c>
      <c r="H6" s="3512"/>
      <c r="I6" s="3511" t="s">
        <v>2617</v>
      </c>
      <c r="J6" s="3512"/>
      <c r="K6" s="566" t="s">
        <v>2367</v>
      </c>
      <c r="L6" s="2937"/>
      <c r="M6" s="2938"/>
      <c r="N6" s="2938"/>
      <c r="O6" s="2938"/>
      <c r="P6" s="3524"/>
      <c r="Q6" s="3525"/>
      <c r="R6" s="3505"/>
      <c r="S6" s="3506"/>
      <c r="T6" s="3526"/>
      <c r="U6" s="3527"/>
      <c r="V6" s="3528"/>
      <c r="W6" s="3528"/>
      <c r="X6" s="1537"/>
      <c r="Y6" s="3526"/>
      <c r="Z6" s="3527"/>
      <c r="AA6" s="3500"/>
      <c r="AB6" s="3500"/>
      <c r="AC6" s="3500"/>
    </row>
    <row r="7" spans="1:30" s="112" customFormat="1" ht="15.75" thickBot="1">
      <c r="A7" s="367" t="s">
        <v>2368</v>
      </c>
      <c r="B7" s="368"/>
      <c r="C7" s="369">
        <f>'数据-取费表'!B2</f>
        <v>44495</v>
      </c>
      <c r="D7" s="370">
        <v>100</v>
      </c>
      <c r="E7" s="371" t="str">
        <f>土地案例!L2</f>
        <v>2021-02-02</v>
      </c>
      <c r="F7" s="372">
        <f>SUMIF(70:70,YEAR(E7)&amp;"-"&amp;INT((MONTH(E7)+2)/3),71:71)</f>
        <v>100</v>
      </c>
      <c r="G7" s="2157" t="str">
        <f>土地案例!L19</f>
        <v>2018-07-04</v>
      </c>
      <c r="H7" s="370">
        <f>SUMIF(70:70,YEAR(G7)&amp;"-"&amp;INT((MONTH(G7)+2)/3),71:71)</f>
        <v>97</v>
      </c>
      <c r="I7" s="2157" t="str">
        <f>土地案例!L17</f>
        <v>2018-11-26</v>
      </c>
      <c r="J7" s="370">
        <f>SUMIF(70:70,YEAR(I7)&amp;"-"&amp;INT((MONTH(I7)+2)/3),71:71)</f>
        <v>97.5</v>
      </c>
      <c r="K7" s="567"/>
      <c r="L7" s="2939"/>
      <c r="M7" s="2940"/>
      <c r="N7" s="2940"/>
      <c r="O7" s="2940"/>
      <c r="P7" s="3501" t="s">
        <v>2369</v>
      </c>
      <c r="Q7" s="3529"/>
      <c r="R7" s="709" t="s">
        <v>17</v>
      </c>
      <c r="S7" s="710">
        <f t="shared" ref="S7:S15" si="0">F7</f>
        <v>100</v>
      </c>
      <c r="T7" s="709" t="s">
        <v>17</v>
      </c>
      <c r="U7" s="710">
        <f t="shared" ref="U7:U15" si="1">H7</f>
        <v>97</v>
      </c>
      <c r="V7" s="709" t="s">
        <v>17</v>
      </c>
      <c r="W7" s="710">
        <f t="shared" ref="W7:W15" si="2">J7</f>
        <v>97.5</v>
      </c>
      <c r="X7" s="711"/>
      <c r="Y7" s="3501" t="s">
        <v>2369</v>
      </c>
      <c r="Z7" s="3502"/>
      <c r="AA7" s="712">
        <f>D7/F7</f>
        <v>1</v>
      </c>
      <c r="AB7" s="712">
        <f>D7/H7</f>
        <v>1.0309278350515463</v>
      </c>
      <c r="AC7" s="712">
        <f>D7/J7</f>
        <v>1.0256410256410255</v>
      </c>
    </row>
    <row r="8" spans="1:30" s="112" customFormat="1" ht="15.75" thickBot="1">
      <c r="A8" s="367" t="s">
        <v>2370</v>
      </c>
      <c r="B8" s="368"/>
      <c r="C8" s="373" t="s">
        <v>2371</v>
      </c>
      <c r="D8" s="370">
        <v>100</v>
      </c>
      <c r="E8" s="373" t="s">
        <v>4215</v>
      </c>
      <c r="F8" s="372">
        <f>SUMIF(73:73,E8,74:74)-SUMIF(73:73,C8,74:74)+100</f>
        <v>100</v>
      </c>
      <c r="G8" s="373" t="s">
        <v>4215</v>
      </c>
      <c r="H8" s="370">
        <f>SUMIF(73:73,G8,74:74)-SUMIF(73:73,C8,74:74)+100</f>
        <v>100</v>
      </c>
      <c r="I8" s="373" t="s">
        <v>4215</v>
      </c>
      <c r="J8" s="370">
        <f>SUMIF(73:73,I8,74:74)-SUMIF(73:73,C8,74:74)+100</f>
        <v>100</v>
      </c>
      <c r="K8" s="567"/>
      <c r="L8" s="2939"/>
      <c r="M8" s="2940"/>
      <c r="N8" s="2940"/>
      <c r="O8" s="2940"/>
      <c r="P8" s="3501" t="s">
        <v>2372</v>
      </c>
      <c r="Q8" s="3502"/>
      <c r="R8" s="709" t="s">
        <v>17</v>
      </c>
      <c r="S8" s="710">
        <f t="shared" si="0"/>
        <v>100</v>
      </c>
      <c r="T8" s="709" t="s">
        <v>17</v>
      </c>
      <c r="U8" s="710">
        <f t="shared" si="1"/>
        <v>100</v>
      </c>
      <c r="V8" s="709" t="s">
        <v>17</v>
      </c>
      <c r="W8" s="710">
        <f t="shared" si="2"/>
        <v>100</v>
      </c>
      <c r="X8" s="711"/>
      <c r="Y8" s="3501" t="s">
        <v>2372</v>
      </c>
      <c r="Z8" s="3502"/>
      <c r="AA8" s="712">
        <f t="shared" ref="AA8:AA45" si="3">D8/F8</f>
        <v>1</v>
      </c>
      <c r="AB8" s="712">
        <f t="shared" ref="AB8:AB45" si="4">D8/H8</f>
        <v>1</v>
      </c>
      <c r="AC8" s="712">
        <f t="shared" ref="AC8:AC45" si="5">D8/J8</f>
        <v>1</v>
      </c>
    </row>
    <row r="9" spans="1:30" s="112" customFormat="1">
      <c r="A9" s="374" t="s">
        <v>2373</v>
      </c>
      <c r="B9" s="66" t="s">
        <v>2374</v>
      </c>
      <c r="C9" s="2160" t="s">
        <v>3061</v>
      </c>
      <c r="D9" s="130">
        <v>100</v>
      </c>
      <c r="E9" s="2160" t="s">
        <v>3061</v>
      </c>
      <c r="F9" s="130">
        <f>SUMIF(75:75,E9,76:76)-SUMIF(75:75,C9,76:76)+100</f>
        <v>100</v>
      </c>
      <c r="G9" s="2160" t="s">
        <v>3061</v>
      </c>
      <c r="H9" s="130">
        <f>SUMIF(75:75,G9,76:76)-SUMIF(75:75,C9,76:76)+100</f>
        <v>100</v>
      </c>
      <c r="I9" s="2160" t="s">
        <v>3061</v>
      </c>
      <c r="J9" s="130">
        <f>SUMIF(75:75,I9,76:76)-SUMIF(75:75,C9,76:76)+100</f>
        <v>100</v>
      </c>
      <c r="K9" s="567"/>
      <c r="L9" s="2939"/>
      <c r="M9" s="2940"/>
      <c r="N9" s="2940"/>
      <c r="O9" s="2994"/>
      <c r="P9" s="3515"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102</v>
      </c>
      <c r="G10" s="421"/>
      <c r="H10" s="131">
        <f>ROUND(100/'数据-取费表'!G16,0)</f>
        <v>102</v>
      </c>
      <c r="I10" s="421"/>
      <c r="J10" s="131">
        <f>ROUND(100/'数据-取费表'!G16,0)</f>
        <v>102</v>
      </c>
      <c r="K10" s="627"/>
      <c r="L10" s="2941"/>
      <c r="M10" s="2942"/>
      <c r="N10" s="2942"/>
      <c r="O10" s="2995"/>
      <c r="P10" s="3515"/>
      <c r="Q10" s="1525" t="str">
        <f t="shared" si="6"/>
        <v>土地使用年限（年）</v>
      </c>
      <c r="R10" s="709" t="s">
        <v>17</v>
      </c>
      <c r="S10" s="710">
        <f t="shared" si="0"/>
        <v>102</v>
      </c>
      <c r="T10" s="709" t="s">
        <v>17</v>
      </c>
      <c r="U10" s="710">
        <f t="shared" si="1"/>
        <v>102</v>
      </c>
      <c r="V10" s="709" t="s">
        <v>17</v>
      </c>
      <c r="W10" s="710">
        <f t="shared" si="2"/>
        <v>102</v>
      </c>
      <c r="X10" s="711"/>
      <c r="Y10" s="3443"/>
      <c r="Z10" s="54" t="str">
        <f t="shared" si="7"/>
        <v>土地使用年限（年）</v>
      </c>
      <c r="AA10" s="712">
        <f t="shared" si="3"/>
        <v>0.98039215686274506</v>
      </c>
      <c r="AB10" s="712">
        <f t="shared" si="4"/>
        <v>0.98039215686274506</v>
      </c>
      <c r="AC10" s="712">
        <f t="shared" si="5"/>
        <v>0.98039215686274506</v>
      </c>
    </row>
    <row r="11" spans="1:30" ht="15">
      <c r="A11" s="386"/>
      <c r="B11" s="380" t="s">
        <v>2378</v>
      </c>
      <c r="C11" s="387">
        <v>1.01</v>
      </c>
      <c r="D11" s="131">
        <v>100</v>
      </c>
      <c r="E11" s="387">
        <v>2.5</v>
      </c>
      <c r="F11" s="131">
        <f>LOOKUP(E11,80:80,81:81)-LOOKUP(C11,80:80,81:81)+100</f>
        <v>85</v>
      </c>
      <c r="G11" s="388">
        <v>1.8</v>
      </c>
      <c r="H11" s="131">
        <f>LOOKUP(G11,80:80,81:81)-LOOKUP(C11,80:80,81:81)+100</f>
        <v>95</v>
      </c>
      <c r="I11" s="387">
        <v>2</v>
      </c>
      <c r="J11" s="131">
        <f>LOOKUP(I11,80:80,81:81)-LOOKUP(C11,80:80,81:81)+100</f>
        <v>90</v>
      </c>
      <c r="K11" s="628">
        <v>5</v>
      </c>
      <c r="L11" s="2943"/>
      <c r="M11" s="2938"/>
      <c r="N11" s="2938"/>
      <c r="O11" s="2996"/>
      <c r="P11" s="3515"/>
      <c r="Q11" s="1525" t="str">
        <f t="shared" si="6"/>
        <v>容积率</v>
      </c>
      <c r="R11" s="709" t="s">
        <v>17</v>
      </c>
      <c r="S11" s="710">
        <f t="shared" si="0"/>
        <v>85</v>
      </c>
      <c r="T11" s="709" t="s">
        <v>17</v>
      </c>
      <c r="U11" s="710">
        <f t="shared" si="1"/>
        <v>95</v>
      </c>
      <c r="V11" s="709" t="s">
        <v>17</v>
      </c>
      <c r="W11" s="710">
        <f t="shared" si="2"/>
        <v>90</v>
      </c>
      <c r="X11" s="711"/>
      <c r="Y11" s="3443"/>
      <c r="Z11" s="54" t="str">
        <f t="shared" si="7"/>
        <v>容积率</v>
      </c>
      <c r="AA11" s="712">
        <f t="shared" si="3"/>
        <v>1.1764705882352942</v>
      </c>
      <c r="AB11" s="712">
        <f t="shared" si="4"/>
        <v>1.0526315789473684</v>
      </c>
      <c r="AC11" s="712">
        <f t="shared" si="5"/>
        <v>1.1111111111111112</v>
      </c>
    </row>
    <row r="12" spans="1:30" s="112" customFormat="1" ht="15">
      <c r="A12" s="389"/>
      <c r="B12" s="2076" t="s">
        <v>2567</v>
      </c>
      <c r="C12" s="3142" t="s">
        <v>4337</v>
      </c>
      <c r="D12" s="391">
        <v>100</v>
      </c>
      <c r="E12" s="3149" t="s">
        <v>4338</v>
      </c>
      <c r="F12" s="131">
        <f>SUMIF(82:82,E12,83:83)-SUMIF(82:82,C12,83:83)+100</f>
        <v>97</v>
      </c>
      <c r="G12" s="3150" t="s">
        <v>4337</v>
      </c>
      <c r="H12" s="131">
        <f>SUMIF(82:82,G12,83:83)-SUMIF(82:82,C12,83:83)+100</f>
        <v>100</v>
      </c>
      <c r="I12" s="3149" t="s">
        <v>4337</v>
      </c>
      <c r="J12" s="131">
        <f>SUMIF(82:82,I12,83:83)-SUMIF(82:82,C12,83:83)+100</f>
        <v>100</v>
      </c>
      <c r="K12" s="627"/>
      <c r="L12" s="2939"/>
      <c r="M12" s="2940"/>
      <c r="N12" s="2940"/>
      <c r="O12" s="2994"/>
      <c r="P12" s="3515"/>
      <c r="Q12" s="1525" t="str">
        <f t="shared" si="6"/>
        <v>配建</v>
      </c>
      <c r="R12" s="709" t="s">
        <v>17</v>
      </c>
      <c r="S12" s="710">
        <f t="shared" si="0"/>
        <v>97</v>
      </c>
      <c r="T12" s="709" t="s">
        <v>17</v>
      </c>
      <c r="U12" s="710">
        <f t="shared" si="1"/>
        <v>100</v>
      </c>
      <c r="V12" s="709" t="s">
        <v>17</v>
      </c>
      <c r="W12" s="710">
        <f t="shared" si="2"/>
        <v>100</v>
      </c>
      <c r="X12" s="711"/>
      <c r="Y12" s="3443"/>
      <c r="Z12" s="54" t="str">
        <f t="shared" si="7"/>
        <v>配建</v>
      </c>
      <c r="AA12" s="712">
        <f>D12/F12</f>
        <v>1.0309278350515463</v>
      </c>
      <c r="AB12" s="712">
        <f>D12/H12</f>
        <v>1</v>
      </c>
      <c r="AC12" s="712">
        <f>D12/J12</f>
        <v>1</v>
      </c>
    </row>
    <row r="13" spans="1:30" ht="15">
      <c r="A13" s="386"/>
      <c r="B13" s="3134" t="s">
        <v>4306</v>
      </c>
      <c r="C13" s="392" t="s">
        <v>4348</v>
      </c>
      <c r="D13" s="393">
        <v>100</v>
      </c>
      <c r="E13" s="505" t="s">
        <v>4363</v>
      </c>
      <c r="F13" s="131">
        <f>SUMIF(84:84,E13,85:85)-SUMIF(84:84,C13,85:85)+100</f>
        <v>102</v>
      </c>
      <c r="G13" s="629">
        <v>0</v>
      </c>
      <c r="H13" s="393">
        <f>SUMIF(84:84,G13,85:85)-SUMIF(84:84,C13,85:85)+100</f>
        <v>108</v>
      </c>
      <c r="I13" s="629">
        <v>0</v>
      </c>
      <c r="J13" s="393">
        <f>SUMIF(84:84,I13,85:85)-SUMIF(84:84,C13,85:85)+100</f>
        <v>108</v>
      </c>
      <c r="K13" s="627"/>
      <c r="L13" s="2944"/>
      <c r="M13" s="2938"/>
      <c r="N13" s="2938"/>
      <c r="O13" s="2996"/>
      <c r="P13" s="3515"/>
      <c r="Q13" s="1525" t="str">
        <f t="shared" si="6"/>
        <v>自持</v>
      </c>
      <c r="R13" s="709" t="s">
        <v>17</v>
      </c>
      <c r="S13" s="710">
        <f t="shared" si="0"/>
        <v>102</v>
      </c>
      <c r="T13" s="709" t="s">
        <v>17</v>
      </c>
      <c r="U13" s="710">
        <f t="shared" si="1"/>
        <v>108</v>
      </c>
      <c r="V13" s="709" t="s">
        <v>17</v>
      </c>
      <c r="W13" s="710">
        <f t="shared" si="2"/>
        <v>108</v>
      </c>
      <c r="X13" s="711"/>
      <c r="Y13" s="3443"/>
      <c r="Z13" s="54" t="str">
        <f t="shared" si="7"/>
        <v>自持</v>
      </c>
      <c r="AA13" s="712">
        <f>D13/F13</f>
        <v>0.98039215686274506</v>
      </c>
      <c r="AB13" s="712">
        <f>D13/H13</f>
        <v>0.92592592592592593</v>
      </c>
      <c r="AC13" s="712">
        <f>D13/J13</f>
        <v>0.92592592592592593</v>
      </c>
    </row>
    <row r="14" spans="1:30" ht="15.75" thickBot="1">
      <c r="A14" s="394"/>
      <c r="B14" s="3138" t="s">
        <v>4310</v>
      </c>
      <c r="C14" s="395" t="s">
        <v>4349</v>
      </c>
      <c r="D14" s="396">
        <v>100</v>
      </c>
      <c r="E14" s="505" t="s">
        <v>4349</v>
      </c>
      <c r="F14" s="396">
        <f>SUMIF(86:86,E14,87:87)-SUMIF(86:86,C14,87:87)+100</f>
        <v>100</v>
      </c>
      <c r="G14" s="629" t="s">
        <v>4362</v>
      </c>
      <c r="H14" s="396">
        <f>SUMIF(86:86,G14,87:87)-SUMIF(86:86,C14,87:87)+100</f>
        <v>97</v>
      </c>
      <c r="I14" s="629" t="s">
        <v>4362</v>
      </c>
      <c r="J14" s="396">
        <f>SUMIF(86:86,I14,87:87)-SUMIF(86:86,C14,87:87)+100</f>
        <v>97</v>
      </c>
      <c r="K14" s="627"/>
      <c r="L14" s="2944"/>
      <c r="M14" s="2938"/>
      <c r="N14" s="2938"/>
      <c r="O14" s="2996"/>
      <c r="P14" s="3515"/>
      <c r="Q14" s="1525" t="str">
        <f t="shared" si="6"/>
        <v>限价区间</v>
      </c>
      <c r="R14" s="709" t="s">
        <v>17</v>
      </c>
      <c r="S14" s="710">
        <f t="shared" si="0"/>
        <v>100</v>
      </c>
      <c r="T14" s="709" t="s">
        <v>17</v>
      </c>
      <c r="U14" s="710">
        <f t="shared" si="1"/>
        <v>97</v>
      </c>
      <c r="V14" s="709" t="s">
        <v>17</v>
      </c>
      <c r="W14" s="710">
        <f t="shared" si="2"/>
        <v>97</v>
      </c>
      <c r="X14" s="711"/>
      <c r="Y14" s="3443"/>
      <c r="Z14" s="54" t="str">
        <f t="shared" si="7"/>
        <v>限价区间</v>
      </c>
      <c r="AA14" s="712">
        <f>D14/F14</f>
        <v>1</v>
      </c>
      <c r="AB14" s="712">
        <f>D14/H14</f>
        <v>1.0309278350515463</v>
      </c>
      <c r="AC14" s="712">
        <f>D14/J14</f>
        <v>1.0309278350515463</v>
      </c>
    </row>
    <row r="15" spans="1:30" ht="15">
      <c r="A15" s="398" t="s">
        <v>2379</v>
      </c>
      <c r="B15" s="64" t="s">
        <v>1942</v>
      </c>
      <c r="C15" s="2079" t="str">
        <f>估价对象房地状况!C15</f>
        <v>一般</v>
      </c>
      <c r="D15" s="399">
        <v>100</v>
      </c>
      <c r="E15" s="400"/>
      <c r="F15" s="399">
        <f>SUMIF(88:88,E16,89:89)-SUMIF(88:88,C16,89:89)+100</f>
        <v>105</v>
      </c>
      <c r="G15" s="400"/>
      <c r="H15" s="399">
        <f>SUMIF(88:88,G16,89:89)-SUMIF(88:88,C16,89:89)+100</f>
        <v>105</v>
      </c>
      <c r="I15" s="402"/>
      <c r="J15" s="399">
        <f>SUMIF(88:88,I16,89:89)-SUMIF(88:88,C16,89:89)+100</f>
        <v>105</v>
      </c>
      <c r="K15" s="628">
        <v>5</v>
      </c>
      <c r="L15" s="2944"/>
      <c r="M15" s="2938"/>
      <c r="N15" s="2938"/>
      <c r="O15" s="2996"/>
      <c r="P15" s="3530" t="s">
        <v>2380</v>
      </c>
      <c r="Q15" s="1534" t="str">
        <f t="shared" si="6"/>
        <v>居住社区成熟度</v>
      </c>
      <c r="R15" s="713" t="s">
        <v>17</v>
      </c>
      <c r="S15" s="714">
        <f t="shared" si="0"/>
        <v>105</v>
      </c>
      <c r="T15" s="713" t="s">
        <v>17</v>
      </c>
      <c r="U15" s="714">
        <f t="shared" si="1"/>
        <v>105</v>
      </c>
      <c r="V15" s="713" t="s">
        <v>17</v>
      </c>
      <c r="W15" s="714">
        <f t="shared" si="2"/>
        <v>105</v>
      </c>
      <c r="X15" s="1537"/>
      <c r="Y15" s="3530" t="s">
        <v>2380</v>
      </c>
      <c r="Z15" s="1538" t="str">
        <f t="shared" si="7"/>
        <v>居住社区成熟度</v>
      </c>
      <c r="AA15" s="1535">
        <f t="shared" si="3"/>
        <v>0.95238095238095233</v>
      </c>
      <c r="AB15" s="1535">
        <f t="shared" si="4"/>
        <v>0.95238095238095233</v>
      </c>
      <c r="AC15" s="1535">
        <f t="shared" si="5"/>
        <v>0.95238095238095233</v>
      </c>
    </row>
    <row r="16" spans="1:30" ht="15">
      <c r="A16" s="386"/>
      <c r="B16" s="404"/>
      <c r="C16" s="405" t="s">
        <v>4350</v>
      </c>
      <c r="D16" s="406"/>
      <c r="E16" s="2081" t="s">
        <v>4351</v>
      </c>
      <c r="F16" s="406"/>
      <c r="G16" s="2081" t="s">
        <v>4351</v>
      </c>
      <c r="H16" s="408"/>
      <c r="I16" s="2080" t="s">
        <v>4351</v>
      </c>
      <c r="J16" s="406"/>
      <c r="K16" s="627"/>
      <c r="L16" s="2944"/>
      <c r="M16" s="2938"/>
      <c r="N16" s="2938"/>
      <c r="O16" s="2996"/>
      <c r="P16" s="3531"/>
      <c r="Q16" s="1534"/>
      <c r="R16" s="713"/>
      <c r="S16" s="714"/>
      <c r="T16" s="713"/>
      <c r="U16" s="714"/>
      <c r="V16" s="713"/>
      <c r="W16" s="714"/>
      <c r="X16" s="1537"/>
      <c r="Y16" s="3531"/>
      <c r="Z16" s="1538"/>
      <c r="AA16" s="1535">
        <v>1</v>
      </c>
      <c r="AB16" s="1535">
        <v>1</v>
      </c>
      <c r="AC16" s="1535">
        <v>1</v>
      </c>
    </row>
    <row r="17" spans="1:29" ht="15" hidden="1">
      <c r="A17" s="386"/>
      <c r="B17" s="409" t="s">
        <v>2473</v>
      </c>
      <c r="C17" s="2138" t="str">
        <f>估价对象房地状况!C16</f>
        <v>较差</v>
      </c>
      <c r="D17" s="408">
        <v>100</v>
      </c>
      <c r="E17" s="410"/>
      <c r="F17" s="408">
        <f>SUMIF(90:90,E18,91:91)-SUMIF(90:90,C18,91:91)+100</f>
        <v>100</v>
      </c>
      <c r="G17" s="410"/>
      <c r="H17" s="413">
        <f>SUMIF(90:90,G18,91:91)-SUMIF(90:90,C18,91:91)+100</f>
        <v>100</v>
      </c>
      <c r="I17" s="412"/>
      <c r="J17" s="413">
        <f>SUMIF(90:90,I18,91:91)-SUMIF(90:90,C18,91:91)+100</f>
        <v>100</v>
      </c>
      <c r="K17" s="628"/>
      <c r="L17" s="2944"/>
      <c r="M17" s="2938"/>
      <c r="N17" s="2938"/>
      <c r="O17" s="2996"/>
      <c r="P17" s="3531"/>
      <c r="Q17" s="1534" t="str">
        <f>B17</f>
        <v>商业繁华度</v>
      </c>
      <c r="R17" s="713" t="s">
        <v>17</v>
      </c>
      <c r="S17" s="714">
        <f>F17</f>
        <v>100</v>
      </c>
      <c r="T17" s="713" t="s">
        <v>17</v>
      </c>
      <c r="U17" s="714">
        <f>H17</f>
        <v>100</v>
      </c>
      <c r="V17" s="713" t="s">
        <v>17</v>
      </c>
      <c r="W17" s="714">
        <f>J17</f>
        <v>100</v>
      </c>
      <c r="X17" s="1537"/>
      <c r="Y17" s="3531"/>
      <c r="Z17" s="1538" t="str">
        <f>Q17</f>
        <v>商业繁华度</v>
      </c>
      <c r="AA17" s="1535">
        <f t="shared" si="3"/>
        <v>1</v>
      </c>
      <c r="AB17" s="1535">
        <f t="shared" si="4"/>
        <v>1</v>
      </c>
      <c r="AC17" s="1535">
        <f t="shared" si="5"/>
        <v>1</v>
      </c>
    </row>
    <row r="18" spans="1:29" ht="15" hidden="1">
      <c r="A18" s="386"/>
      <c r="B18" s="414"/>
      <c r="C18" s="2084"/>
      <c r="D18" s="408"/>
      <c r="E18" s="2086"/>
      <c r="F18" s="408"/>
      <c r="G18" s="2086"/>
      <c r="H18" s="406"/>
      <c r="I18" s="2085"/>
      <c r="J18" s="406"/>
      <c r="K18" s="627"/>
      <c r="L18" s="2944"/>
      <c r="M18" s="2938"/>
      <c r="N18" s="2938"/>
      <c r="O18" s="2996"/>
      <c r="P18" s="3531"/>
      <c r="Q18" s="1534"/>
      <c r="R18" s="713"/>
      <c r="S18" s="714"/>
      <c r="T18" s="713"/>
      <c r="U18" s="714"/>
      <c r="V18" s="713"/>
      <c r="W18" s="714"/>
      <c r="X18" s="1537"/>
      <c r="Y18" s="3531"/>
      <c r="Z18" s="1538"/>
      <c r="AA18" s="1535">
        <v>1</v>
      </c>
      <c r="AB18" s="1535">
        <v>1</v>
      </c>
      <c r="AC18" s="1535">
        <v>1</v>
      </c>
    </row>
    <row r="19" spans="1:29" ht="15" hidden="1">
      <c r="A19" s="386"/>
      <c r="B19" s="409" t="s">
        <v>2507</v>
      </c>
      <c r="C19" s="2138">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4"/>
      <c r="M19" s="2938"/>
      <c r="N19" s="2938"/>
      <c r="O19" s="2996"/>
      <c r="P19" s="3531"/>
      <c r="Q19" s="1534" t="str">
        <f>B19</f>
        <v>办公集聚程度</v>
      </c>
      <c r="R19" s="713" t="s">
        <v>17</v>
      </c>
      <c r="S19" s="714">
        <f>F19</f>
        <v>100</v>
      </c>
      <c r="T19" s="713" t="s">
        <v>17</v>
      </c>
      <c r="U19" s="714">
        <f>H19</f>
        <v>100</v>
      </c>
      <c r="V19" s="713" t="s">
        <v>17</v>
      </c>
      <c r="W19" s="714">
        <f>J19</f>
        <v>100</v>
      </c>
      <c r="X19" s="1537"/>
      <c r="Y19" s="3531"/>
      <c r="Z19" s="1538" t="str">
        <f>Q19</f>
        <v>办公集聚程度</v>
      </c>
      <c r="AA19" s="1535">
        <f t="shared" si="3"/>
        <v>1</v>
      </c>
      <c r="AB19" s="1535">
        <f t="shared" si="4"/>
        <v>1</v>
      </c>
      <c r="AC19" s="1535">
        <f t="shared" si="5"/>
        <v>1</v>
      </c>
    </row>
    <row r="20" spans="1:29" ht="15" hidden="1">
      <c r="A20" s="386"/>
      <c r="B20" s="414"/>
      <c r="C20" s="405"/>
      <c r="D20" s="406"/>
      <c r="E20" s="2081"/>
      <c r="F20" s="406"/>
      <c r="G20" s="2081"/>
      <c r="H20" s="406"/>
      <c r="I20" s="2080"/>
      <c r="J20" s="406"/>
      <c r="K20" s="627"/>
      <c r="L20" s="2944"/>
      <c r="M20" s="2938"/>
      <c r="N20" s="2938"/>
      <c r="O20" s="2996"/>
      <c r="P20" s="3531"/>
      <c r="Q20" s="1534"/>
      <c r="R20" s="713"/>
      <c r="S20" s="714"/>
      <c r="T20" s="713"/>
      <c r="U20" s="714"/>
      <c r="V20" s="713"/>
      <c r="W20" s="714"/>
      <c r="X20" s="1537"/>
      <c r="Y20" s="3531"/>
      <c r="Z20" s="1538"/>
      <c r="AA20" s="1535">
        <v>1</v>
      </c>
      <c r="AB20" s="1535">
        <v>1</v>
      </c>
      <c r="AC20" s="1535">
        <v>1</v>
      </c>
    </row>
    <row r="21" spans="1:29" ht="15">
      <c r="A21" s="386"/>
      <c r="B21" s="409" t="s">
        <v>2529</v>
      </c>
      <c r="C21" s="2083" t="str">
        <f>估价对象房地状况!C18</f>
        <v>一般</v>
      </c>
      <c r="D21" s="408">
        <v>100</v>
      </c>
      <c r="E21" s="410"/>
      <c r="F21" s="413">
        <f>SUMIF(94:94,E22,95:95)-SUMIF(94:94,C22,95:95)+100</f>
        <v>102</v>
      </c>
      <c r="G21" s="410"/>
      <c r="H21" s="408">
        <f>SUMIF(94:94,G22,95:95)-SUMIF(94:94,C22,95:95)+100</f>
        <v>100</v>
      </c>
      <c r="I21" s="412"/>
      <c r="J21" s="408">
        <f>SUMIF(94:94,I22,95:95)-SUMIF(94:94,C22,95:95)+100</f>
        <v>100</v>
      </c>
      <c r="K21" s="628">
        <v>2</v>
      </c>
      <c r="L21" s="2944"/>
      <c r="M21" s="2938"/>
      <c r="N21" s="2938"/>
      <c r="O21" s="2996"/>
      <c r="P21" s="3531"/>
      <c r="Q21" s="1534" t="str">
        <f>B21</f>
        <v>交通便捷度</v>
      </c>
      <c r="R21" s="713" t="s">
        <v>17</v>
      </c>
      <c r="S21" s="714">
        <f>F21</f>
        <v>102</v>
      </c>
      <c r="T21" s="713" t="s">
        <v>17</v>
      </c>
      <c r="U21" s="714">
        <f>H21</f>
        <v>100</v>
      </c>
      <c r="V21" s="713" t="s">
        <v>17</v>
      </c>
      <c r="W21" s="714">
        <f>J21</f>
        <v>100</v>
      </c>
      <c r="X21" s="1537"/>
      <c r="Y21" s="3531"/>
      <c r="Z21" s="1538" t="str">
        <f>Q21</f>
        <v>交通便捷度</v>
      </c>
      <c r="AA21" s="1535">
        <f t="shared" si="3"/>
        <v>0.98039215686274506</v>
      </c>
      <c r="AB21" s="1535">
        <f t="shared" si="4"/>
        <v>1</v>
      </c>
      <c r="AC21" s="1535">
        <f t="shared" si="5"/>
        <v>1</v>
      </c>
    </row>
    <row r="22" spans="1:29" ht="15">
      <c r="A22" s="386"/>
      <c r="B22" s="1292"/>
      <c r="C22" s="405" t="s">
        <v>4350</v>
      </c>
      <c r="D22" s="408"/>
      <c r="E22" s="2081" t="s">
        <v>4351</v>
      </c>
      <c r="F22" s="406"/>
      <c r="G22" s="2081" t="s">
        <v>4350</v>
      </c>
      <c r="H22" s="406"/>
      <c r="I22" s="2080" t="s">
        <v>4350</v>
      </c>
      <c r="J22" s="406"/>
      <c r="K22" s="627"/>
      <c r="L22" s="2944"/>
      <c r="M22" s="2938"/>
      <c r="N22" s="2938"/>
      <c r="O22" s="2996"/>
      <c r="P22" s="3531"/>
      <c r="Q22" s="1534"/>
      <c r="R22" s="713"/>
      <c r="S22" s="714"/>
      <c r="T22" s="713"/>
      <c r="U22" s="714"/>
      <c r="V22" s="713"/>
      <c r="W22" s="714"/>
      <c r="X22" s="1537"/>
      <c r="Y22" s="3531"/>
      <c r="Z22" s="1538"/>
      <c r="AA22" s="1535">
        <v>1</v>
      </c>
      <c r="AB22" s="1535">
        <v>1</v>
      </c>
      <c r="AC22" s="1535">
        <v>1</v>
      </c>
    </row>
    <row r="23" spans="1:29" ht="15">
      <c r="A23" s="363"/>
      <c r="B23" s="409" t="s">
        <v>2568</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4"/>
      <c r="M23" s="2938"/>
      <c r="N23" s="2938"/>
      <c r="O23" s="2996"/>
      <c r="P23" s="3531"/>
      <c r="Q23" s="1534" t="str">
        <f t="shared" ref="Q23:Q37" si="8">B23</f>
        <v>区域土地利用方向</v>
      </c>
      <c r="R23" s="713" t="s">
        <v>17</v>
      </c>
      <c r="S23" s="714">
        <f>F23</f>
        <v>100</v>
      </c>
      <c r="T23" s="713" t="s">
        <v>17</v>
      </c>
      <c r="U23" s="714">
        <f>H23</f>
        <v>100</v>
      </c>
      <c r="V23" s="713" t="s">
        <v>17</v>
      </c>
      <c r="W23" s="714">
        <f>J23</f>
        <v>100</v>
      </c>
      <c r="X23" s="1537"/>
      <c r="Y23" s="3531"/>
      <c r="Z23" s="1538" t="str">
        <f>Q23</f>
        <v>区域土地利用方向</v>
      </c>
      <c r="AA23" s="1535">
        <f t="shared" si="3"/>
        <v>1</v>
      </c>
      <c r="AB23" s="1535">
        <f t="shared" si="4"/>
        <v>1</v>
      </c>
      <c r="AC23" s="1535">
        <f t="shared" si="5"/>
        <v>1</v>
      </c>
    </row>
    <row r="24" spans="1:29" ht="15">
      <c r="A24" s="363"/>
      <c r="B24" s="414"/>
      <c r="C24" s="572" t="s">
        <v>4351</v>
      </c>
      <c r="D24" s="406"/>
      <c r="E24" s="2081" t="s">
        <v>4351</v>
      </c>
      <c r="F24" s="406"/>
      <c r="G24" s="2080" t="s">
        <v>4351</v>
      </c>
      <c r="H24" s="406"/>
      <c r="I24" s="2080" t="s">
        <v>4351</v>
      </c>
      <c r="J24" s="406"/>
      <c r="K24" s="750"/>
      <c r="L24" s="2944"/>
      <c r="M24" s="2938"/>
      <c r="N24" s="2938"/>
      <c r="O24" s="2996"/>
      <c r="P24" s="3531"/>
      <c r="Q24" s="1534"/>
      <c r="R24" s="713"/>
      <c r="S24" s="714"/>
      <c r="T24" s="713"/>
      <c r="U24" s="714"/>
      <c r="V24" s="713"/>
      <c r="W24" s="714"/>
      <c r="X24" s="1537"/>
      <c r="Y24" s="3531"/>
      <c r="Z24" s="1538"/>
      <c r="AA24" s="1535"/>
      <c r="AB24" s="1535"/>
      <c r="AC24" s="1535"/>
    </row>
    <row r="25" spans="1:29" ht="27">
      <c r="A25" s="363"/>
      <c r="B25" s="1292" t="s">
        <v>2569</v>
      </c>
      <c r="C25" s="2138" t="str">
        <f>估价对象房地状况!C20</f>
        <v>一般</v>
      </c>
      <c r="D25" s="408">
        <v>100</v>
      </c>
      <c r="E25" s="410"/>
      <c r="F25" s="408">
        <f>SUMIF(98:98,E26,99:99)-SUMIF(98:98,C26,99:99)+100</f>
        <v>100</v>
      </c>
      <c r="G25" s="410"/>
      <c r="H25" s="408">
        <f>SUMIF(98:98,G26,99:99)-SUMIF(98:98,C26,99:99)+100</f>
        <v>100</v>
      </c>
      <c r="I25" s="412"/>
      <c r="J25" s="408">
        <f>SUMIF(98:98,I26,99:99)-SUMIF(98:98,C26,99:99)+100</f>
        <v>100</v>
      </c>
      <c r="K25" s="628">
        <v>2</v>
      </c>
      <c r="L25" s="2944"/>
      <c r="M25" s="2938"/>
      <c r="N25" s="2938"/>
      <c r="O25" s="2996"/>
      <c r="P25" s="3531"/>
      <c r="Q25" s="1534" t="str">
        <f t="shared" si="8"/>
        <v>自然及人文环境状况</v>
      </c>
      <c r="R25" s="713" t="s">
        <v>17</v>
      </c>
      <c r="S25" s="714">
        <f>F25</f>
        <v>100</v>
      </c>
      <c r="T25" s="713" t="s">
        <v>17</v>
      </c>
      <c r="U25" s="714">
        <f>H25</f>
        <v>100</v>
      </c>
      <c r="V25" s="713" t="s">
        <v>17</v>
      </c>
      <c r="W25" s="714">
        <f>J25</f>
        <v>100</v>
      </c>
      <c r="X25" s="1537"/>
      <c r="Y25" s="3531"/>
      <c r="Z25" s="1538" t="str">
        <f>Q25</f>
        <v>自然及人文环境状况</v>
      </c>
      <c r="AA25" s="1535">
        <f t="shared" si="3"/>
        <v>1</v>
      </c>
      <c r="AB25" s="1535">
        <f t="shared" si="4"/>
        <v>1</v>
      </c>
      <c r="AC25" s="1535">
        <f t="shared" si="5"/>
        <v>1</v>
      </c>
    </row>
    <row r="26" spans="1:29" ht="15">
      <c r="A26" s="363"/>
      <c r="B26" s="414"/>
      <c r="C26" s="405" t="s">
        <v>4350</v>
      </c>
      <c r="D26" s="406"/>
      <c r="E26" s="2087" t="s">
        <v>4350</v>
      </c>
      <c r="F26" s="406"/>
      <c r="G26" s="2087" t="s">
        <v>4350</v>
      </c>
      <c r="H26" s="406"/>
      <c r="I26" s="405" t="s">
        <v>4350</v>
      </c>
      <c r="J26" s="406"/>
      <c r="K26" s="627"/>
      <c r="L26" s="2944"/>
      <c r="M26" s="2938"/>
      <c r="N26" s="2938"/>
      <c r="O26" s="2996"/>
      <c r="P26" s="3531"/>
      <c r="Q26" s="1534"/>
      <c r="R26" s="713"/>
      <c r="S26" s="714"/>
      <c r="T26" s="713"/>
      <c r="U26" s="714"/>
      <c r="V26" s="713"/>
      <c r="W26" s="714"/>
      <c r="X26" s="1537"/>
      <c r="Y26" s="3531"/>
      <c r="Z26" s="1538"/>
      <c r="AA26" s="1535">
        <v>1</v>
      </c>
      <c r="AB26" s="1535">
        <v>1</v>
      </c>
      <c r="AC26" s="1535">
        <v>1</v>
      </c>
    </row>
    <row r="27" spans="1:29" s="112" customFormat="1" ht="15">
      <c r="A27" s="604"/>
      <c r="B27" s="1292" t="s">
        <v>2474</v>
      </c>
      <c r="C27" s="2083" t="str">
        <f>估价对象房地状况!C21</f>
        <v>一般</v>
      </c>
      <c r="D27" s="408">
        <v>100</v>
      </c>
      <c r="E27" s="410"/>
      <c r="F27" s="408">
        <f>SUMIF(100:100,E28,101:101)-SUMIF(100:100,C28,101:101)+100</f>
        <v>102</v>
      </c>
      <c r="G27" s="410"/>
      <c r="H27" s="408">
        <f>SUMIF(100:100,G28,101:101)-SUMIF(100:100,C28,101:101)+100</f>
        <v>102</v>
      </c>
      <c r="I27" s="412"/>
      <c r="J27" s="408">
        <f>SUMIF(100:100,I28,101:101)-SUMIF(100:100,C28,101:101)+100</f>
        <v>102</v>
      </c>
      <c r="K27" s="628">
        <v>2</v>
      </c>
      <c r="L27" s="2939"/>
      <c r="M27" s="2940"/>
      <c r="N27" s="2940"/>
      <c r="O27" s="2994"/>
      <c r="P27" s="3531"/>
      <c r="Q27" s="1525" t="str">
        <f t="shared" si="8"/>
        <v>公共配套设施</v>
      </c>
      <c r="R27" s="709" t="s">
        <v>17</v>
      </c>
      <c r="S27" s="710">
        <f>F27</f>
        <v>102</v>
      </c>
      <c r="T27" s="709" t="s">
        <v>17</v>
      </c>
      <c r="U27" s="710">
        <f>H27</f>
        <v>102</v>
      </c>
      <c r="V27" s="709" t="s">
        <v>17</v>
      </c>
      <c r="W27" s="710">
        <f>J27</f>
        <v>102</v>
      </c>
      <c r="X27" s="711"/>
      <c r="Y27" s="3531"/>
      <c r="Z27" s="54" t="str">
        <f>Q27</f>
        <v>公共配套设施</v>
      </c>
      <c r="AA27" s="1535">
        <f>D27/F27</f>
        <v>0.98039215686274506</v>
      </c>
      <c r="AB27" s="1535">
        <f>D27/H27</f>
        <v>0.98039215686274506</v>
      </c>
      <c r="AC27" s="1535">
        <f>D27/J27</f>
        <v>0.98039215686274506</v>
      </c>
    </row>
    <row r="28" spans="1:29" s="112" customFormat="1" ht="15">
      <c r="A28" s="604"/>
      <c r="B28" s="414"/>
      <c r="C28" s="2161" t="s">
        <v>4350</v>
      </c>
      <c r="D28" s="406"/>
      <c r="E28" s="2087" t="s">
        <v>4351</v>
      </c>
      <c r="F28" s="406"/>
      <c r="G28" s="2087" t="s">
        <v>4351</v>
      </c>
      <c r="H28" s="406"/>
      <c r="I28" s="405" t="s">
        <v>4351</v>
      </c>
      <c r="J28" s="406"/>
      <c r="K28" s="627"/>
      <c r="L28" s="2939"/>
      <c r="M28" s="2940"/>
      <c r="N28" s="2940"/>
      <c r="O28" s="2994"/>
      <c r="P28" s="3531"/>
      <c r="Q28" s="1525"/>
      <c r="R28" s="709"/>
      <c r="S28" s="710"/>
      <c r="T28" s="709"/>
      <c r="U28" s="710"/>
      <c r="V28" s="709"/>
      <c r="W28" s="710"/>
      <c r="X28" s="711"/>
      <c r="Y28" s="3531"/>
      <c r="Z28" s="54"/>
      <c r="AA28" s="1535">
        <v>1</v>
      </c>
      <c r="AB28" s="1535">
        <v>1</v>
      </c>
      <c r="AC28" s="1535">
        <v>1</v>
      </c>
    </row>
    <row r="29" spans="1:29" s="112" customFormat="1" ht="15">
      <c r="A29" s="604"/>
      <c r="B29" s="1292" t="s">
        <v>2475</v>
      </c>
      <c r="C29" s="2083"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9"/>
      <c r="M29" s="2940"/>
      <c r="N29" s="2940"/>
      <c r="O29" s="2994"/>
      <c r="P29" s="3531"/>
      <c r="Q29" s="1525" t="str">
        <f t="shared" ref="Q29" si="9">B29</f>
        <v>基础设施水平</v>
      </c>
      <c r="R29" s="709" t="s">
        <v>17</v>
      </c>
      <c r="S29" s="710">
        <f>F29</f>
        <v>100</v>
      </c>
      <c r="T29" s="709" t="s">
        <v>17</v>
      </c>
      <c r="U29" s="710">
        <f>H29</f>
        <v>100</v>
      </c>
      <c r="V29" s="709" t="s">
        <v>17</v>
      </c>
      <c r="W29" s="710">
        <f>J29</f>
        <v>100</v>
      </c>
      <c r="X29" s="711"/>
      <c r="Y29" s="3531"/>
      <c r="Z29" s="54" t="str">
        <f>Q29</f>
        <v>基础设施水平</v>
      </c>
      <c r="AA29" s="1535">
        <f>D29/F29</f>
        <v>1</v>
      </c>
      <c r="AB29" s="1535">
        <f>D29/H29</f>
        <v>1</v>
      </c>
      <c r="AC29" s="1535">
        <f>D29/J29</f>
        <v>1</v>
      </c>
    </row>
    <row r="30" spans="1:29" s="112" customFormat="1" ht="15">
      <c r="A30" s="604"/>
      <c r="B30" s="414"/>
      <c r="C30" s="2161" t="s">
        <v>4316</v>
      </c>
      <c r="D30" s="406"/>
      <c r="E30" s="2162" t="s">
        <v>4316</v>
      </c>
      <c r="F30" s="406"/>
      <c r="G30" s="2162" t="s">
        <v>4316</v>
      </c>
      <c r="H30" s="406"/>
      <c r="I30" s="2162" t="s">
        <v>4316</v>
      </c>
      <c r="J30" s="406"/>
      <c r="K30" s="627"/>
      <c r="L30" s="2939"/>
      <c r="M30" s="2940"/>
      <c r="N30" s="2940"/>
      <c r="O30" s="2994"/>
      <c r="P30" s="3531"/>
      <c r="Q30" s="1525"/>
      <c r="R30" s="709"/>
      <c r="S30" s="710"/>
      <c r="T30" s="709"/>
      <c r="U30" s="710"/>
      <c r="V30" s="709"/>
      <c r="W30" s="710"/>
      <c r="X30" s="711"/>
      <c r="Y30" s="3531"/>
      <c r="Z30" s="54"/>
      <c r="AA30" s="1535">
        <v>1</v>
      </c>
      <c r="AB30" s="1535">
        <v>1</v>
      </c>
      <c r="AC30" s="1535">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4"/>
      <c r="M31" s="2938"/>
      <c r="N31" s="2938"/>
      <c r="O31" s="2996"/>
      <c r="P31" s="3531"/>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531"/>
      <c r="Z31" s="1538" t="str">
        <f t="shared" ref="Z31:Z45" si="13">Q31</f>
        <v>临街状况</v>
      </c>
      <c r="AA31" s="1535">
        <f t="shared" si="3"/>
        <v>1</v>
      </c>
      <c r="AB31" s="1535">
        <f t="shared" si="4"/>
        <v>1</v>
      </c>
      <c r="AC31" s="1535">
        <f t="shared" si="5"/>
        <v>1</v>
      </c>
    </row>
    <row r="32" spans="1:29" ht="27">
      <c r="A32" s="386"/>
      <c r="B32" s="1292" t="s">
        <v>2511</v>
      </c>
      <c r="C32" s="412"/>
      <c r="D32" s="408">
        <v>100</v>
      </c>
      <c r="E32" s="410"/>
      <c r="F32" s="408">
        <f>SUMIF(106:106,E33,107:107)-SUMIF(106:106,C33,107:107)+100</f>
        <v>102</v>
      </c>
      <c r="G32" s="410"/>
      <c r="H32" s="408">
        <f>SUMIF(106:106,G33,107:107)-SUMIF(106:106,C33,107:107)+100</f>
        <v>100</v>
      </c>
      <c r="I32" s="412"/>
      <c r="J32" s="408">
        <f>SUMIF(106:106,I33,107:107)-SUMIF(106:106,C33,107:107)+100</f>
        <v>100</v>
      </c>
      <c r="K32" s="628">
        <v>2</v>
      </c>
      <c r="L32" s="2944"/>
      <c r="M32" s="2938"/>
      <c r="N32" s="2938"/>
      <c r="O32" s="2996"/>
      <c r="P32" s="3531"/>
      <c r="Q32" s="1534" t="str">
        <f t="shared" si="8"/>
        <v>毗邻道路的类型与等级</v>
      </c>
      <c r="R32" s="713" t="s">
        <v>17</v>
      </c>
      <c r="S32" s="714">
        <f t="shared" si="10"/>
        <v>102</v>
      </c>
      <c r="T32" s="713" t="s">
        <v>17</v>
      </c>
      <c r="U32" s="714">
        <f t="shared" si="11"/>
        <v>100</v>
      </c>
      <c r="V32" s="713" t="s">
        <v>17</v>
      </c>
      <c r="W32" s="714">
        <f t="shared" si="12"/>
        <v>100</v>
      </c>
      <c r="X32" s="1537"/>
      <c r="Y32" s="3531"/>
      <c r="Z32" s="1538" t="str">
        <f t="shared" si="13"/>
        <v>毗邻道路的类型与等级</v>
      </c>
      <c r="AA32" s="1535">
        <f t="shared" si="3"/>
        <v>0.98039215686274506</v>
      </c>
      <c r="AB32" s="1535">
        <f t="shared" si="4"/>
        <v>1</v>
      </c>
      <c r="AC32" s="1535">
        <f t="shared" si="5"/>
        <v>1</v>
      </c>
    </row>
    <row r="33" spans="1:29" ht="15">
      <c r="A33" s="386"/>
      <c r="B33" s="414"/>
      <c r="C33" s="405" t="s">
        <v>4328</v>
      </c>
      <c r="D33" s="406"/>
      <c r="E33" s="2087" t="s">
        <v>4326</v>
      </c>
      <c r="F33" s="406"/>
      <c r="G33" s="2087" t="s">
        <v>4328</v>
      </c>
      <c r="H33" s="406"/>
      <c r="I33" s="405" t="s">
        <v>4328</v>
      </c>
      <c r="J33" s="406"/>
      <c r="K33" s="569"/>
      <c r="L33" s="2944"/>
      <c r="M33" s="2938"/>
      <c r="N33" s="2938"/>
      <c r="O33" s="2996"/>
      <c r="P33" s="3531"/>
      <c r="Q33" s="1534"/>
      <c r="R33" s="713"/>
      <c r="S33" s="714"/>
      <c r="T33" s="713"/>
      <c r="U33" s="714"/>
      <c r="V33" s="713"/>
      <c r="W33" s="714"/>
      <c r="X33" s="1537"/>
      <c r="Y33" s="3531"/>
      <c r="Z33" s="1538"/>
      <c r="AA33" s="1535">
        <v>1</v>
      </c>
      <c r="AB33" s="1535">
        <v>1</v>
      </c>
      <c r="AC33" s="1535">
        <v>1</v>
      </c>
    </row>
    <row r="34" spans="1:29" ht="15">
      <c r="A34" s="386"/>
      <c r="B34" s="380" t="s">
        <v>2570</v>
      </c>
      <c r="C34" s="572" t="s">
        <v>528</v>
      </c>
      <c r="D34" s="393">
        <v>100</v>
      </c>
      <c r="E34" s="589" t="s">
        <v>526</v>
      </c>
      <c r="F34" s="393">
        <f>SUMIF(108:108,E34,109:109)-SUMIF(108:108,C34,109:109)+100</f>
        <v>102</v>
      </c>
      <c r="G34" s="589" t="s">
        <v>526</v>
      </c>
      <c r="H34" s="393">
        <f>SUMIF(108:108,G34,109:109)-SUMIF(108:108,C34,109:109)+100</f>
        <v>102</v>
      </c>
      <c r="I34" s="572" t="s">
        <v>526</v>
      </c>
      <c r="J34" s="393">
        <f>SUMIF(108:108,I34,109:109)-SUMIF(108:108,C34,109:109)+100</f>
        <v>102</v>
      </c>
      <c r="K34" s="568">
        <v>2</v>
      </c>
      <c r="L34" s="2944"/>
      <c r="M34" s="2938"/>
      <c r="N34" s="2938"/>
      <c r="O34" s="2996"/>
      <c r="P34" s="3531"/>
      <c r="Q34" s="1534" t="str">
        <f t="shared" si="8"/>
        <v>土地级别</v>
      </c>
      <c r="R34" s="713" t="s">
        <v>17</v>
      </c>
      <c r="S34" s="714">
        <f t="shared" si="10"/>
        <v>102</v>
      </c>
      <c r="T34" s="713" t="s">
        <v>17</v>
      </c>
      <c r="U34" s="714">
        <f t="shared" si="11"/>
        <v>102</v>
      </c>
      <c r="V34" s="713" t="s">
        <v>17</v>
      </c>
      <c r="W34" s="714">
        <f t="shared" si="12"/>
        <v>102</v>
      </c>
      <c r="X34" s="1537"/>
      <c r="Y34" s="3531"/>
      <c r="Z34" s="1538" t="str">
        <f t="shared" si="13"/>
        <v>土地级别</v>
      </c>
      <c r="AA34" s="1535">
        <f t="shared" si="3"/>
        <v>0.98039215686274506</v>
      </c>
      <c r="AB34" s="1535">
        <f t="shared" si="4"/>
        <v>0.98039215686274506</v>
      </c>
      <c r="AC34" s="1535">
        <f t="shared" si="5"/>
        <v>0.98039215686274506</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4"/>
      <c r="M35" s="2938"/>
      <c r="N35" s="2938"/>
      <c r="O35" s="2996"/>
      <c r="P35" s="3531"/>
      <c r="Q35" s="1534">
        <f t="shared" si="8"/>
        <v>111</v>
      </c>
      <c r="R35" s="713" t="s">
        <v>17</v>
      </c>
      <c r="S35" s="714">
        <f t="shared" si="10"/>
        <v>100</v>
      </c>
      <c r="T35" s="713" t="s">
        <v>17</v>
      </c>
      <c r="U35" s="714">
        <f t="shared" si="11"/>
        <v>100</v>
      </c>
      <c r="V35" s="713" t="s">
        <v>17</v>
      </c>
      <c r="W35" s="714">
        <f t="shared" si="12"/>
        <v>100</v>
      </c>
      <c r="X35" s="1537"/>
      <c r="Y35" s="3531"/>
      <c r="Z35" s="1538">
        <f t="shared" si="13"/>
        <v>111</v>
      </c>
      <c r="AA35" s="1535">
        <f t="shared" si="3"/>
        <v>1</v>
      </c>
      <c r="AB35" s="1535">
        <f t="shared" si="4"/>
        <v>1</v>
      </c>
      <c r="AC35" s="1535">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4"/>
      <c r="M36" s="2938"/>
      <c r="N36" s="2938"/>
      <c r="O36" s="2996"/>
      <c r="P36" s="3532" t="s">
        <v>2385</v>
      </c>
      <c r="Q36" s="1534">
        <f t="shared" si="8"/>
        <v>111</v>
      </c>
      <c r="R36" s="713" t="s">
        <v>17</v>
      </c>
      <c r="S36" s="714">
        <f t="shared" si="10"/>
        <v>100</v>
      </c>
      <c r="T36" s="713" t="s">
        <v>17</v>
      </c>
      <c r="U36" s="714">
        <f t="shared" si="11"/>
        <v>100</v>
      </c>
      <c r="V36" s="713" t="s">
        <v>17</v>
      </c>
      <c r="W36" s="714">
        <f t="shared" si="12"/>
        <v>100</v>
      </c>
      <c r="X36" s="1537"/>
      <c r="Y36" s="3533" t="s">
        <v>2385</v>
      </c>
      <c r="Z36" s="1538">
        <f t="shared" si="13"/>
        <v>111</v>
      </c>
      <c r="AA36" s="1535">
        <f t="shared" si="3"/>
        <v>1</v>
      </c>
      <c r="AB36" s="1535">
        <f t="shared" si="4"/>
        <v>1</v>
      </c>
      <c r="AC36" s="1535">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3"/>
      <c r="M37" s="2945"/>
      <c r="N37" s="2945"/>
      <c r="O37" s="2997"/>
      <c r="P37" s="3533"/>
      <c r="Q37" s="1534">
        <f t="shared" si="8"/>
        <v>111</v>
      </c>
      <c r="R37" s="716" t="s">
        <v>17</v>
      </c>
      <c r="S37" s="717">
        <f t="shared" si="10"/>
        <v>100</v>
      </c>
      <c r="T37" s="716" t="s">
        <v>17</v>
      </c>
      <c r="U37" s="717">
        <f t="shared" si="11"/>
        <v>100</v>
      </c>
      <c r="V37" s="716" t="s">
        <v>17</v>
      </c>
      <c r="W37" s="717">
        <f t="shared" si="12"/>
        <v>100</v>
      </c>
      <c r="X37" s="718"/>
      <c r="Y37" s="3533"/>
      <c r="Z37" s="719">
        <f t="shared" si="13"/>
        <v>111</v>
      </c>
      <c r="AA37" s="1535">
        <f t="shared" si="3"/>
        <v>1</v>
      </c>
      <c r="AB37" s="1535">
        <f t="shared" si="4"/>
        <v>1</v>
      </c>
      <c r="AC37" s="1535">
        <f t="shared" si="5"/>
        <v>1</v>
      </c>
    </row>
    <row r="38" spans="1:29" ht="15">
      <c r="A38" s="430" t="s">
        <v>2383</v>
      </c>
      <c r="B38" s="414" t="s">
        <v>2571</v>
      </c>
      <c r="C38" s="634">
        <v>91043.21</v>
      </c>
      <c r="D38" s="425">
        <v>100</v>
      </c>
      <c r="E38" s="634">
        <f>土地案例!D2</f>
        <v>105143.73</v>
      </c>
      <c r="F38" s="425">
        <f>LOOKUP(E38,117:117,118:118)-LOOKUP(C38,117:117,118:118)+100</f>
        <v>100</v>
      </c>
      <c r="G38" s="634">
        <f>土地案例!D19</f>
        <v>36365.370000000003</v>
      </c>
      <c r="H38" s="425">
        <f>LOOKUP(G38,117:117,118:118)-LOOKUP(C38,117:117,118:118)+100</f>
        <v>94</v>
      </c>
      <c r="I38" s="486">
        <f>土地案例!D17</f>
        <v>66475.23</v>
      </c>
      <c r="J38" s="425">
        <f>LOOKUP(I38,117:117,118:118)-LOOKUP(C38,117:117,118:118)+100</f>
        <v>98</v>
      </c>
      <c r="K38" s="569"/>
      <c r="L38" s="2944"/>
      <c r="M38" s="2938"/>
      <c r="N38" s="2938"/>
      <c r="O38" s="2996"/>
      <c r="P38" s="3533"/>
      <c r="Q38" s="1534" t="str">
        <f>B38</f>
        <v>宗地面积</v>
      </c>
      <c r="R38" s="713" t="s">
        <v>17</v>
      </c>
      <c r="S38" s="714">
        <f t="shared" si="10"/>
        <v>100</v>
      </c>
      <c r="T38" s="713" t="s">
        <v>17</v>
      </c>
      <c r="U38" s="714">
        <f t="shared" si="11"/>
        <v>94</v>
      </c>
      <c r="V38" s="713" t="s">
        <v>17</v>
      </c>
      <c r="W38" s="714">
        <f t="shared" si="12"/>
        <v>98</v>
      </c>
      <c r="X38" s="1537"/>
      <c r="Y38" s="3533"/>
      <c r="Z38" s="1538" t="str">
        <f t="shared" si="13"/>
        <v>宗地面积</v>
      </c>
      <c r="AA38" s="1535">
        <f t="shared" si="3"/>
        <v>1</v>
      </c>
      <c r="AB38" s="1535">
        <f t="shared" si="4"/>
        <v>1.0638297872340425</v>
      </c>
      <c r="AC38" s="1535">
        <f t="shared" si="5"/>
        <v>1.0204081632653061</v>
      </c>
    </row>
    <row r="39" spans="1:29" ht="15">
      <c r="A39" s="430"/>
      <c r="B39" s="380" t="s">
        <v>2572</v>
      </c>
      <c r="C39" s="2089" t="s">
        <v>4311</v>
      </c>
      <c r="D39" s="393">
        <v>100</v>
      </c>
      <c r="E39" s="2089" t="s">
        <v>4311</v>
      </c>
      <c r="F39" s="393">
        <f>SUMIF(119:119,E39,120:120)-SUMIF(119:119,C39,120:120)+100</f>
        <v>100</v>
      </c>
      <c r="G39" s="2089" t="s">
        <v>4311</v>
      </c>
      <c r="H39" s="393">
        <f>SUMIF(119:119,G39,120:120)-SUMIF(119:119,C39,120:120)+100</f>
        <v>100</v>
      </c>
      <c r="I39" s="2089" t="s">
        <v>4311</v>
      </c>
      <c r="J39" s="393">
        <f>SUMIF(119:119,I39,120:120)-SUMIF(119:119,C39,120:120)+100</f>
        <v>100</v>
      </c>
      <c r="K39" s="568">
        <v>2</v>
      </c>
      <c r="L39" s="2944"/>
      <c r="M39" s="2938"/>
      <c r="N39" s="2938"/>
      <c r="O39" s="2996"/>
      <c r="P39" s="3533"/>
      <c r="Q39" s="1534" t="str">
        <f t="shared" ref="Q39:Q45" si="14">B39</f>
        <v>宗地形状</v>
      </c>
      <c r="R39" s="713" t="s">
        <v>17</v>
      </c>
      <c r="S39" s="714">
        <f t="shared" si="10"/>
        <v>100</v>
      </c>
      <c r="T39" s="713" t="s">
        <v>17</v>
      </c>
      <c r="U39" s="714">
        <f t="shared" si="11"/>
        <v>100</v>
      </c>
      <c r="V39" s="713" t="s">
        <v>17</v>
      </c>
      <c r="W39" s="714">
        <f t="shared" si="12"/>
        <v>100</v>
      </c>
      <c r="X39" s="1537"/>
      <c r="Y39" s="3533"/>
      <c r="Z39" s="1538" t="str">
        <f t="shared" si="13"/>
        <v>宗地形状</v>
      </c>
      <c r="AA39" s="1535">
        <f t="shared" si="3"/>
        <v>1</v>
      </c>
      <c r="AB39" s="1535">
        <f t="shared" si="4"/>
        <v>1</v>
      </c>
      <c r="AC39" s="1535">
        <f t="shared" si="5"/>
        <v>1</v>
      </c>
    </row>
    <row r="40" spans="1:29" ht="15">
      <c r="A40" s="430"/>
      <c r="B40" s="380" t="s">
        <v>2573</v>
      </c>
      <c r="C40" s="2089"/>
      <c r="D40" s="393">
        <v>100</v>
      </c>
      <c r="E40" s="2089"/>
      <c r="F40" s="393">
        <f>SUMIF(121:121,E40,122:122)-SUMIF(121:121,C40,122:122)+100</f>
        <v>100</v>
      </c>
      <c r="G40" s="2089"/>
      <c r="H40" s="393">
        <f>SUMIF(121:121,G40,122:122)-SUMIF(121:121,C40,122:122)+100</f>
        <v>100</v>
      </c>
      <c r="I40" s="2089"/>
      <c r="J40" s="393">
        <f>SUMIF(121:121,I40,122:122)-SUMIF(121:121,C40,122:122)+100</f>
        <v>100</v>
      </c>
      <c r="K40" s="568"/>
      <c r="L40" s="2944"/>
      <c r="M40" s="2938"/>
      <c r="N40" s="2938"/>
      <c r="O40" s="2996"/>
      <c r="P40" s="3533"/>
      <c r="Q40" s="1534" t="str">
        <f t="shared" si="14"/>
        <v>临街宽度及深度</v>
      </c>
      <c r="R40" s="713" t="s">
        <v>17</v>
      </c>
      <c r="S40" s="714">
        <f t="shared" si="10"/>
        <v>100</v>
      </c>
      <c r="T40" s="713" t="s">
        <v>17</v>
      </c>
      <c r="U40" s="714">
        <f t="shared" si="11"/>
        <v>100</v>
      </c>
      <c r="V40" s="713" t="s">
        <v>17</v>
      </c>
      <c r="W40" s="714">
        <f t="shared" si="12"/>
        <v>100</v>
      </c>
      <c r="X40" s="1537"/>
      <c r="Y40" s="3533"/>
      <c r="Z40" s="1538" t="str">
        <f t="shared" si="13"/>
        <v>临街宽度及深度</v>
      </c>
      <c r="AA40" s="1535">
        <f t="shared" si="3"/>
        <v>1</v>
      </c>
      <c r="AB40" s="1535">
        <f t="shared" si="4"/>
        <v>1</v>
      </c>
      <c r="AC40" s="1535">
        <f t="shared" si="5"/>
        <v>1</v>
      </c>
    </row>
    <row r="41" spans="1:29" s="112" customFormat="1" ht="15">
      <c r="A41" s="431"/>
      <c r="B41" s="380" t="s">
        <v>2574</v>
      </c>
      <c r="C41" s="2163" t="s">
        <v>4316</v>
      </c>
      <c r="D41" s="131">
        <v>100</v>
      </c>
      <c r="E41" s="2163" t="s">
        <v>4319</v>
      </c>
      <c r="F41" s="393">
        <f>SUMIF(123:123,E41,124:124)-SUMIF(123:123,C41,124:124)+100</f>
        <v>99</v>
      </c>
      <c r="G41" s="2163" t="s">
        <v>4372</v>
      </c>
      <c r="H41" s="393">
        <f>SUMIF(123:123,G41,124:124)-SUMIF(123:123,C41,124:124)+100</f>
        <v>97.5</v>
      </c>
      <c r="I41" s="2163" t="s">
        <v>4322</v>
      </c>
      <c r="J41" s="393">
        <f>SUMIF(123:123,I41,124:124)-SUMIF(123:123,C41,124:124)+100</f>
        <v>98</v>
      </c>
      <c r="K41" s="568">
        <v>0.5</v>
      </c>
      <c r="L41" s="2939"/>
      <c r="M41" s="2940"/>
      <c r="N41" s="2940"/>
      <c r="O41" s="2994"/>
      <c r="P41" s="3533"/>
      <c r="Q41" s="1534" t="str">
        <f t="shared" si="14"/>
        <v>宗地开发程度</v>
      </c>
      <c r="R41" s="709" t="s">
        <v>17</v>
      </c>
      <c r="S41" s="710">
        <f t="shared" si="10"/>
        <v>99</v>
      </c>
      <c r="T41" s="709" t="s">
        <v>17</v>
      </c>
      <c r="U41" s="710">
        <f t="shared" si="11"/>
        <v>97.5</v>
      </c>
      <c r="V41" s="709" t="s">
        <v>17</v>
      </c>
      <c r="W41" s="710">
        <f t="shared" si="12"/>
        <v>98</v>
      </c>
      <c r="X41" s="711"/>
      <c r="Y41" s="3533"/>
      <c r="Z41" s="54" t="str">
        <f t="shared" si="13"/>
        <v>宗地开发程度</v>
      </c>
      <c r="AA41" s="712">
        <f t="shared" si="3"/>
        <v>1.0101010101010102</v>
      </c>
      <c r="AB41" s="712">
        <f t="shared" si="4"/>
        <v>1.0256410256410255</v>
      </c>
      <c r="AC41" s="712">
        <f t="shared" si="5"/>
        <v>1.0204081632653061</v>
      </c>
    </row>
    <row r="42" spans="1:29" ht="15">
      <c r="A42" s="430"/>
      <c r="B42" s="380" t="s">
        <v>2575</v>
      </c>
      <c r="C42" s="2089"/>
      <c r="D42" s="393">
        <v>100</v>
      </c>
      <c r="E42" s="2089"/>
      <c r="F42" s="393">
        <f>SUMIF(125:125,E42,126:126)-SUMIF(125:125,C42,126:126)+100</f>
        <v>100</v>
      </c>
      <c r="G42" s="2089"/>
      <c r="H42" s="393">
        <f>SUMIF(125:125,G42,126:126)-SUMIF(125:125,C42,126:126)+100</f>
        <v>100</v>
      </c>
      <c r="I42" s="2089"/>
      <c r="J42" s="393">
        <f>SUMIF(125:125,I42,126:126)-SUMIF(125:125,C42,126:126)+100</f>
        <v>100</v>
      </c>
      <c r="K42" s="568"/>
      <c r="L42" s="2944"/>
      <c r="M42" s="2938"/>
      <c r="N42" s="2938"/>
      <c r="O42" s="2996"/>
      <c r="P42" s="3533" t="s">
        <v>2385</v>
      </c>
      <c r="Q42" s="1534" t="str">
        <f t="shared" si="14"/>
        <v>工程地质条件</v>
      </c>
      <c r="R42" s="713" t="s">
        <v>17</v>
      </c>
      <c r="S42" s="714">
        <f t="shared" si="10"/>
        <v>100</v>
      </c>
      <c r="T42" s="713" t="s">
        <v>17</v>
      </c>
      <c r="U42" s="714">
        <f t="shared" si="11"/>
        <v>100</v>
      </c>
      <c r="V42" s="713" t="s">
        <v>17</v>
      </c>
      <c r="W42" s="714">
        <f t="shared" si="12"/>
        <v>100</v>
      </c>
      <c r="X42" s="1537"/>
      <c r="Y42" s="3533" t="s">
        <v>2385</v>
      </c>
      <c r="Z42" s="1538" t="str">
        <f t="shared" si="13"/>
        <v>工程地质条件</v>
      </c>
      <c r="AA42" s="1535">
        <f t="shared" si="3"/>
        <v>1</v>
      </c>
      <c r="AB42" s="1535">
        <f t="shared" si="4"/>
        <v>1</v>
      </c>
      <c r="AC42" s="1535">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4"/>
      <c r="M43" s="2938"/>
      <c r="N43" s="2938"/>
      <c r="O43" s="2996"/>
      <c r="P43" s="3533"/>
      <c r="Q43" s="1534">
        <f t="shared" si="14"/>
        <v>111</v>
      </c>
      <c r="R43" s="713" t="s">
        <v>17</v>
      </c>
      <c r="S43" s="714">
        <f t="shared" si="10"/>
        <v>100</v>
      </c>
      <c r="T43" s="713" t="s">
        <v>17</v>
      </c>
      <c r="U43" s="714">
        <f t="shared" si="11"/>
        <v>100</v>
      </c>
      <c r="V43" s="713" t="s">
        <v>17</v>
      </c>
      <c r="W43" s="714">
        <f t="shared" si="12"/>
        <v>100</v>
      </c>
      <c r="X43" s="1537"/>
      <c r="Y43" s="3533"/>
      <c r="Z43" s="1538">
        <f t="shared" si="13"/>
        <v>111</v>
      </c>
      <c r="AA43" s="1535">
        <f t="shared" si="3"/>
        <v>1</v>
      </c>
      <c r="AB43" s="1535">
        <f t="shared" si="4"/>
        <v>1</v>
      </c>
      <c r="AC43" s="1535">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4"/>
      <c r="M44" s="2938"/>
      <c r="N44" s="2938"/>
      <c r="O44" s="2996"/>
      <c r="P44" s="3533"/>
      <c r="Q44" s="1534">
        <f t="shared" si="14"/>
        <v>111</v>
      </c>
      <c r="R44" s="713" t="s">
        <v>17</v>
      </c>
      <c r="S44" s="714">
        <f t="shared" si="10"/>
        <v>100</v>
      </c>
      <c r="T44" s="713" t="s">
        <v>17</v>
      </c>
      <c r="U44" s="714">
        <f t="shared" si="11"/>
        <v>100</v>
      </c>
      <c r="V44" s="713" t="s">
        <v>17</v>
      </c>
      <c r="W44" s="714">
        <f t="shared" si="12"/>
        <v>100</v>
      </c>
      <c r="X44" s="1537"/>
      <c r="Y44" s="3533"/>
      <c r="Z44" s="1538">
        <f t="shared" si="13"/>
        <v>111</v>
      </c>
      <c r="AA44" s="1535">
        <f t="shared" si="3"/>
        <v>1</v>
      </c>
      <c r="AB44" s="1535">
        <f t="shared" si="4"/>
        <v>1</v>
      </c>
      <c r="AC44" s="1535">
        <f t="shared" si="5"/>
        <v>1</v>
      </c>
    </row>
    <row r="45" spans="1:29" s="429" customFormat="1" ht="15.75"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3"/>
      <c r="M45" s="2945"/>
      <c r="N45" s="2945"/>
      <c r="O45" s="2997"/>
      <c r="P45" s="3533"/>
      <c r="Q45" s="1534">
        <f t="shared" si="14"/>
        <v>111</v>
      </c>
      <c r="R45" s="716" t="s">
        <v>17</v>
      </c>
      <c r="S45" s="717">
        <f t="shared" si="10"/>
        <v>100</v>
      </c>
      <c r="T45" s="716" t="s">
        <v>17</v>
      </c>
      <c r="U45" s="717">
        <f t="shared" si="11"/>
        <v>100</v>
      </c>
      <c r="V45" s="716" t="s">
        <v>17</v>
      </c>
      <c r="W45" s="717">
        <f t="shared" si="12"/>
        <v>100</v>
      </c>
      <c r="X45" s="718"/>
      <c r="Y45" s="3533"/>
      <c r="Z45" s="719">
        <f t="shared" si="13"/>
        <v>111</v>
      </c>
      <c r="AA45" s="1535">
        <f t="shared" si="3"/>
        <v>1</v>
      </c>
      <c r="AB45" s="1535">
        <f t="shared" si="4"/>
        <v>1</v>
      </c>
      <c r="AC45" s="1535">
        <f t="shared" si="5"/>
        <v>1</v>
      </c>
    </row>
    <row r="46" spans="1:29" ht="15">
      <c r="A46" s="437" t="s">
        <v>2540</v>
      </c>
      <c r="B46" s="2165" t="s">
        <v>2576</v>
      </c>
      <c r="C46" s="637" t="s">
        <v>1</v>
      </c>
      <c r="D46" s="439"/>
      <c r="E46" s="440">
        <f>土地案例!U2</f>
        <v>35653</v>
      </c>
      <c r="F46" s="441"/>
      <c r="G46" s="442">
        <f>土地案例!O19</f>
        <v>39720</v>
      </c>
      <c r="H46" s="443"/>
      <c r="I46" s="440">
        <f>土地案例!O17</f>
        <v>33847</v>
      </c>
      <c r="J46" s="443"/>
      <c r="K46" s="722"/>
      <c r="L46" s="2946"/>
      <c r="M46" s="2947"/>
      <c r="N46" s="2938"/>
      <c r="O46" s="2947"/>
      <c r="P46" s="3515" t="str">
        <f>A46</f>
        <v>成交单价</v>
      </c>
      <c r="Q46" s="3515"/>
      <c r="R46" s="3528">
        <f>E46</f>
        <v>35653</v>
      </c>
      <c r="S46" s="3528"/>
      <c r="T46" s="3528">
        <f>G46</f>
        <v>39720</v>
      </c>
      <c r="U46" s="3528"/>
      <c r="V46" s="3528">
        <f>I46</f>
        <v>33847</v>
      </c>
      <c r="W46" s="3528"/>
      <c r="X46" s="698"/>
      <c r="Y46" s="720"/>
      <c r="Z46" s="698"/>
      <c r="AA46" s="698"/>
      <c r="AB46" s="698"/>
      <c r="AC46" s="698"/>
    </row>
    <row r="47" spans="1:29" ht="15.75" thickBot="1">
      <c r="A47" s="444" t="s">
        <v>2489</v>
      </c>
      <c r="B47" s="638"/>
      <c r="C47" s="447">
        <f>R48</f>
        <v>37212</v>
      </c>
      <c r="D47" s="2535" t="s">
        <v>2880</v>
      </c>
      <c r="E47" s="447">
        <f>R47</f>
        <v>36939</v>
      </c>
      <c r="F47" s="2536"/>
      <c r="G47" s="446">
        <f>T47</f>
        <v>40290</v>
      </c>
      <c r="H47" s="2536"/>
      <c r="I47" s="447">
        <f>V47</f>
        <v>34406</v>
      </c>
      <c r="J47" s="2536"/>
      <c r="K47" s="2538">
        <f>F47+H47+J47</f>
        <v>0</v>
      </c>
      <c r="L47" s="2946"/>
      <c r="M47" s="2947"/>
      <c r="N47" s="2947"/>
      <c r="O47" s="2947"/>
      <c r="P47" s="3515" t="str">
        <f>A47</f>
        <v>比较价值（元/平方米）</v>
      </c>
      <c r="Q47" s="3515"/>
      <c r="R47" s="3534">
        <f>ROUND(PRODUCT(R46,AA7:AA45),0)</f>
        <v>36939</v>
      </c>
      <c r="S47" s="3534"/>
      <c r="T47" s="3534">
        <f>ROUND(PRODUCT(T46,AB7:AB45),0)</f>
        <v>40290</v>
      </c>
      <c r="U47" s="3534"/>
      <c r="V47" s="3534">
        <f>ROUND(PRODUCT(V46,AC7:AC45),0)</f>
        <v>34406</v>
      </c>
      <c r="W47" s="3534"/>
      <c r="X47" s="698"/>
      <c r="Y47" s="698"/>
      <c r="Z47" s="698"/>
      <c r="AA47" s="698"/>
      <c r="AB47" s="698"/>
      <c r="AC47" s="698"/>
    </row>
    <row r="48" spans="1:29" ht="15.75" thickBot="1">
      <c r="A48" s="448" t="s">
        <v>2577</v>
      </c>
      <c r="B48" s="449"/>
      <c r="C48" s="450">
        <f>R48</f>
        <v>37212</v>
      </c>
      <c r="D48" s="450"/>
      <c r="E48" s="450"/>
      <c r="F48" s="450"/>
      <c r="G48" s="450"/>
      <c r="H48" s="450"/>
      <c r="I48" s="450"/>
      <c r="J48" s="450"/>
      <c r="K48" s="723"/>
      <c r="L48" s="2946"/>
      <c r="M48" s="2947"/>
      <c r="N48" s="2947"/>
      <c r="O48" s="2947"/>
      <c r="P48" s="3535" t="str">
        <f>A48</f>
        <v>估价对象XX用房的比较价值（楼面单价，元/平方米）</v>
      </c>
      <c r="Q48" s="3536"/>
      <c r="R48" s="3537">
        <f>ROUND(IF(D47="简单平均",AVERAGE(R47:W47),R47*F47+T47*H47+V47*J47),0)</f>
        <v>37212</v>
      </c>
      <c r="S48" s="3537"/>
      <c r="T48" s="3537"/>
      <c r="U48" s="3537"/>
      <c r="V48" s="3537"/>
      <c r="W48" s="3537"/>
      <c r="X48" s="698"/>
      <c r="Y48" s="698"/>
      <c r="Z48" s="698"/>
      <c r="AA48" s="698"/>
      <c r="AB48" s="698"/>
      <c r="AC48" s="698"/>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3" t="s">
        <v>2491</v>
      </c>
      <c r="D51" s="454"/>
      <c r="E51" s="455">
        <f>IF(E46&lt;E47,E47/E46-1,E46/E47-1)</f>
        <v>3.6069895941435393E-2</v>
      </c>
      <c r="F51" s="456" t="str">
        <f>IF(OR(E51&gt;=0.3,E51&lt;=-0.3),"超过30%","")</f>
        <v/>
      </c>
      <c r="G51" s="455">
        <f>IF(G46&lt;G47,G47/G46-1,G46/G47-1)</f>
        <v>1.4350453172205402E-2</v>
      </c>
      <c r="H51" s="456" t="str">
        <f>IF(OR(G51&gt;=0.3,G51&lt;=-0.3),"超过30%","")</f>
        <v/>
      </c>
      <c r="I51" s="455">
        <f>IF(I46&lt;I47,I47/I46-1,I46/I47-1)</f>
        <v>1.6515496203503899E-2</v>
      </c>
      <c r="J51" s="456"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3" t="s">
        <v>2492</v>
      </c>
      <c r="D52" s="457"/>
      <c r="E52" s="455">
        <f>IF(E47&lt;G47,G47/E47-1,E47/G47-1)</f>
        <v>9.0717128238447131E-2</v>
      </c>
      <c r="F52" s="456" t="str">
        <f>IF(OR(E52&gt;=0.2,E52&lt;=-0.2),"超过20%","")</f>
        <v/>
      </c>
      <c r="G52" s="455">
        <f>IF(G47&lt;I47,I47/G47-1,G47/I47-1)</f>
        <v>0.17101668313666218</v>
      </c>
      <c r="H52" s="456" t="str">
        <f>IF(OR(G52&gt;=0.2,G52&lt;=-0.2),"超过20%","")</f>
        <v/>
      </c>
      <c r="I52" s="455">
        <f>IF(I47&lt;E47,E47/I47-1,I47/E47-1)</f>
        <v>7.3620880079055873E-2</v>
      </c>
      <c r="J52" s="456"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58" customFormat="1" ht="13.5" customHeight="1">
      <c r="A53" s="2950"/>
      <c r="B53" s="2950"/>
      <c r="C53" s="453" t="s">
        <v>2493</v>
      </c>
      <c r="D53" s="457"/>
      <c r="E53" s="455">
        <f>IF(E46&lt;G46,G46/E46-1,E46/G46-1)</f>
        <v>0.11407174711805457</v>
      </c>
      <c r="F53" s="456" t="str">
        <f>IF(OR(E53&gt;=0.3,E53&lt;=-0.3),"超过30%","")</f>
        <v/>
      </c>
      <c r="G53" s="455">
        <f>IF(G46&lt;I46,I46/G46-1,G46/I46-1)</f>
        <v>0.17351611664253852</v>
      </c>
      <c r="H53" s="456" t="str">
        <f>IF(OR(G53&gt;=0.3,G53&lt;=-0.3),"超过30%","")</f>
        <v/>
      </c>
      <c r="I53" s="455">
        <f>IF(I46&lt;E46,E46/I46-1,I46/E46-1)</f>
        <v>5.3357756965166869E-2</v>
      </c>
      <c r="J53" s="456"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58" customFormat="1" ht="15" thickBot="1">
      <c r="A54" s="2950"/>
      <c r="B54" s="2953"/>
      <c r="C54" s="701"/>
      <c r="D54" s="699"/>
      <c r="E54" s="699"/>
      <c r="F54" s="699"/>
      <c r="G54" s="699"/>
      <c r="H54" s="699"/>
      <c r="I54" s="699"/>
      <c r="J54" s="699"/>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39" t="s">
        <v>2578</v>
      </c>
      <c r="B55" s="640" t="s">
        <v>2579</v>
      </c>
      <c r="C55" s="2166" t="s">
        <v>2580</v>
      </c>
      <c r="D55" s="2167" t="s">
        <v>2581</v>
      </c>
      <c r="E55" s="641" t="s">
        <v>2582</v>
      </c>
      <c r="F55" s="1020" t="s">
        <v>2583</v>
      </c>
      <c r="G55" s="3516" t="s">
        <v>2584</v>
      </c>
      <c r="H55" s="3538"/>
      <c r="I55" s="139" t="s">
        <v>2585</v>
      </c>
      <c r="J55" s="2168">
        <f>项目基本情况!F35</f>
        <v>0</v>
      </c>
      <c r="K55" s="2169" t="s">
        <v>2586</v>
      </c>
      <c r="L55" s="2948"/>
      <c r="M55" s="2947"/>
      <c r="N55" s="2947"/>
      <c r="O55" s="2947"/>
      <c r="P55" s="2947"/>
      <c r="Q55" s="2947"/>
      <c r="R55" s="2947"/>
      <c r="S55" s="2947"/>
      <c r="T55" s="2947"/>
      <c r="U55" s="2947"/>
      <c r="V55" s="2947"/>
      <c r="W55" s="2947"/>
      <c r="X55" s="2947"/>
      <c r="Y55" s="2947"/>
      <c r="Z55" s="2947"/>
      <c r="AA55" s="2947"/>
      <c r="AB55" s="2947"/>
      <c r="AC55" s="2947"/>
    </row>
    <row r="56" spans="1:29" s="647" customFormat="1">
      <c r="A56" s="643" t="s">
        <v>2587</v>
      </c>
      <c r="B56" s="644">
        <f>C48</f>
        <v>37212</v>
      </c>
      <c r="C56" s="645">
        <v>1</v>
      </c>
      <c r="D56" s="1074">
        <v>1</v>
      </c>
      <c r="E56" s="645">
        <f>'数据-汇总表'!E8+'数据-汇总表'!E9</f>
        <v>15708.62</v>
      </c>
      <c r="F56" s="1016">
        <f t="shared" ref="F56:F65" si="15">ROUND(B56*E56/10000,0)</f>
        <v>58455</v>
      </c>
      <c r="G56" s="3539"/>
      <c r="H56" s="3515"/>
      <c r="I56" s="1021">
        <v>1</v>
      </c>
      <c r="J56" s="1024">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7" customFormat="1">
      <c r="A57" s="648" t="s">
        <v>2588</v>
      </c>
      <c r="B57" s="223">
        <f>ROUND($C$48*C57*D57,0)</f>
        <v>5582</v>
      </c>
      <c r="C57" s="175">
        <f t="shared" ref="C57:C65" si="16">IF($C$55="北京市系数",I57,J57)</f>
        <v>0.6</v>
      </c>
      <c r="D57" s="1075">
        <v>0.25</v>
      </c>
      <c r="E57" s="649"/>
      <c r="F57" s="1016">
        <f t="shared" si="15"/>
        <v>0</v>
      </c>
      <c r="G57" s="3540" t="s">
        <v>2589</v>
      </c>
      <c r="H57" s="1017" t="str">
        <f>项目基本情况!B37</f>
        <v>八级</v>
      </c>
      <c r="I57" s="1021">
        <f>SUMIF(修正!A45:A56,H57,修正!B45:B56)</f>
        <v>0.6</v>
      </c>
      <c r="J57" s="1025"/>
      <c r="K57" s="2947"/>
      <c r="L57" s="3004"/>
      <c r="M57" s="3004"/>
      <c r="N57" s="3004"/>
      <c r="O57" s="3004"/>
      <c r="P57" s="3004"/>
      <c r="Q57" s="3004"/>
      <c r="R57" s="3004"/>
      <c r="S57" s="3004"/>
      <c r="T57" s="3004"/>
      <c r="U57" s="3004"/>
      <c r="V57" s="3004"/>
      <c r="W57" s="3004"/>
      <c r="X57" s="3004"/>
      <c r="Y57" s="3004"/>
      <c r="Z57" s="3004"/>
      <c r="AA57" s="3004"/>
      <c r="AB57" s="3004"/>
      <c r="AC57" s="3004"/>
    </row>
    <row r="58" spans="1:29" s="647" customFormat="1">
      <c r="A58" s="648" t="s">
        <v>2590</v>
      </c>
      <c r="B58" s="223">
        <f t="shared" ref="B58:B65" si="17">ROUND($C$48*C58*D58,0)</f>
        <v>2791</v>
      </c>
      <c r="C58" s="175">
        <f t="shared" si="16"/>
        <v>0.3</v>
      </c>
      <c r="D58" s="1075">
        <v>0.25</v>
      </c>
      <c r="E58" s="649"/>
      <c r="F58" s="1016">
        <f t="shared" si="15"/>
        <v>0</v>
      </c>
      <c r="G58" s="3540"/>
      <c r="H58" s="1017" t="str">
        <f>项目基本情况!B37</f>
        <v>八级</v>
      </c>
      <c r="I58" s="1021">
        <f>SUMIF(修正!A45:A56,H58,修正!C45:C56)</f>
        <v>0.3</v>
      </c>
      <c r="J58" s="1025"/>
      <c r="K58" s="2950"/>
      <c r="L58" s="3004"/>
      <c r="M58" s="3004"/>
      <c r="N58" s="3004"/>
      <c r="O58" s="3004"/>
      <c r="P58" s="3004"/>
      <c r="Q58" s="3004"/>
      <c r="R58" s="3004"/>
      <c r="S58" s="3004"/>
      <c r="T58" s="3004"/>
      <c r="U58" s="3004"/>
      <c r="V58" s="3004"/>
      <c r="W58" s="3004"/>
      <c r="X58" s="3004"/>
      <c r="Y58" s="3004"/>
      <c r="Z58" s="3004"/>
      <c r="AA58" s="3004"/>
      <c r="AB58" s="3004"/>
      <c r="AC58" s="3004"/>
    </row>
    <row r="59" spans="1:29" s="647" customFormat="1">
      <c r="A59" s="648" t="s">
        <v>2591</v>
      </c>
      <c r="B59" s="223">
        <f t="shared" si="17"/>
        <v>1861</v>
      </c>
      <c r="C59" s="175">
        <f t="shared" si="16"/>
        <v>0.2</v>
      </c>
      <c r="D59" s="1075">
        <v>0.25</v>
      </c>
      <c r="E59" s="649"/>
      <c r="F59" s="1016">
        <f t="shared" si="15"/>
        <v>0</v>
      </c>
      <c r="G59" s="3540"/>
      <c r="H59" s="1017" t="str">
        <f>项目基本情况!B37</f>
        <v>八级</v>
      </c>
      <c r="I59" s="1021">
        <f>SUMIF(修正!A45:A56,H59,修正!D45:D56)</f>
        <v>0.2</v>
      </c>
      <c r="J59" s="1025"/>
      <c r="K59" s="2947"/>
      <c r="L59" s="3004"/>
      <c r="M59" s="3004"/>
      <c r="N59" s="3004"/>
      <c r="O59" s="3004"/>
      <c r="P59" s="3004"/>
      <c r="Q59" s="3004"/>
      <c r="R59" s="3004"/>
      <c r="S59" s="3004"/>
      <c r="T59" s="3004"/>
      <c r="U59" s="3004"/>
      <c r="V59" s="3004"/>
      <c r="W59" s="3004"/>
      <c r="X59" s="3004"/>
      <c r="Y59" s="3004"/>
      <c r="Z59" s="3004"/>
      <c r="AA59" s="3004"/>
      <c r="AB59" s="3004"/>
      <c r="AC59" s="3004"/>
    </row>
    <row r="60" spans="1:29" s="647" customFormat="1">
      <c r="A60" s="648" t="s">
        <v>2592</v>
      </c>
      <c r="B60" s="223">
        <f t="shared" si="17"/>
        <v>1861</v>
      </c>
      <c r="C60" s="175">
        <f t="shared" si="16"/>
        <v>0.2</v>
      </c>
      <c r="D60" s="1075">
        <v>0.25</v>
      </c>
      <c r="E60" s="649"/>
      <c r="F60" s="1016">
        <f t="shared" si="15"/>
        <v>0</v>
      </c>
      <c r="G60" s="3540"/>
      <c r="H60" s="1017" t="str">
        <f>项目基本情况!B37</f>
        <v>八级</v>
      </c>
      <c r="I60" s="1021">
        <f>SUMIF(修正!A45:A56,H60,修正!E45:E56)</f>
        <v>0.2</v>
      </c>
      <c r="J60" s="1025"/>
      <c r="K60" s="2950"/>
      <c r="L60" s="3004"/>
      <c r="M60" s="3004"/>
      <c r="N60" s="3004"/>
      <c r="O60" s="3004"/>
      <c r="P60" s="3004"/>
      <c r="Q60" s="3004"/>
      <c r="R60" s="3004"/>
      <c r="S60" s="3004"/>
      <c r="T60" s="3004"/>
      <c r="U60" s="3004"/>
      <c r="V60" s="3004"/>
      <c r="W60" s="3004"/>
      <c r="X60" s="3004"/>
      <c r="Y60" s="3004"/>
      <c r="Z60" s="3004"/>
      <c r="AA60" s="3004"/>
      <c r="AB60" s="3004"/>
      <c r="AC60" s="3004"/>
    </row>
    <row r="61" spans="1:29" s="647" customFormat="1">
      <c r="A61" s="648" t="s">
        <v>2593</v>
      </c>
      <c r="B61" s="223">
        <f t="shared" si="17"/>
        <v>0</v>
      </c>
      <c r="C61" s="175">
        <f t="shared" si="16"/>
        <v>0</v>
      </c>
      <c r="D61" s="1075">
        <v>0.25</v>
      </c>
      <c r="E61" s="222">
        <f>'数据-汇总表'!E11</f>
        <v>0</v>
      </c>
      <c r="F61" s="1016">
        <f t="shared" si="15"/>
        <v>0</v>
      </c>
      <c r="G61" s="2170" t="s">
        <v>2594</v>
      </c>
      <c r="H61" s="1017">
        <f>项目基本情况!C37</f>
        <v>0</v>
      </c>
      <c r="I61" s="1021">
        <f>SUMIF(修正!A45:A56,H61,修正!F45:F56)</f>
        <v>0</v>
      </c>
      <c r="J61" s="1025"/>
      <c r="K61" s="2947"/>
      <c r="L61" s="3004"/>
      <c r="M61" s="3004"/>
      <c r="N61" s="3004"/>
      <c r="O61" s="3004"/>
      <c r="P61" s="3004"/>
      <c r="Q61" s="3004"/>
      <c r="R61" s="3004"/>
      <c r="S61" s="3004"/>
      <c r="T61" s="3004"/>
      <c r="U61" s="3004"/>
      <c r="V61" s="3004"/>
      <c r="W61" s="3004"/>
      <c r="X61" s="3004"/>
      <c r="Y61" s="3004"/>
      <c r="Z61" s="3004"/>
      <c r="AA61" s="3004"/>
      <c r="AB61" s="3004"/>
      <c r="AC61" s="3004"/>
    </row>
    <row r="62" spans="1:29" s="647" customFormat="1">
      <c r="A62" s="648" t="s">
        <v>2595</v>
      </c>
      <c r="B62" s="223">
        <f t="shared" si="17"/>
        <v>1861</v>
      </c>
      <c r="C62" s="175">
        <f t="shared" si="16"/>
        <v>0.2</v>
      </c>
      <c r="D62" s="3154">
        <v>0.25</v>
      </c>
      <c r="E62" s="222">
        <f>'数据-汇总表'!E12</f>
        <v>19826.719999999998</v>
      </c>
      <c r="F62" s="1016">
        <f t="shared" si="15"/>
        <v>3690</v>
      </c>
      <c r="G62" s="1022" t="s">
        <v>3061</v>
      </c>
      <c r="H62" s="1017" t="str">
        <f>IF(G62="商业",项目基本情况!B37,IF(G62="办公",项目基本情况!C37,IF(G62="住宅",项目基本情况!D37,项目基本情况!E37)))</f>
        <v>八级</v>
      </c>
      <c r="I62" s="1021">
        <f>SUMIF(修正!A45:A56,H62,修正!G45:G56)</f>
        <v>0.2</v>
      </c>
      <c r="J62" s="1025"/>
      <c r="K62" s="2950"/>
      <c r="L62" s="3004"/>
      <c r="M62" s="3004"/>
      <c r="N62" s="3004"/>
      <c r="O62" s="3004"/>
      <c r="P62" s="3004"/>
      <c r="Q62" s="3004"/>
      <c r="R62" s="3004"/>
      <c r="S62" s="3004"/>
      <c r="T62" s="3004"/>
      <c r="U62" s="3004"/>
      <c r="V62" s="3004"/>
      <c r="W62" s="3004"/>
      <c r="X62" s="3004"/>
      <c r="Y62" s="3004"/>
      <c r="Z62" s="3004"/>
      <c r="AA62" s="3004"/>
      <c r="AB62" s="3004"/>
      <c r="AC62" s="3004"/>
    </row>
    <row r="63" spans="1:29" s="647" customFormat="1">
      <c r="A63" s="648" t="s">
        <v>2597</v>
      </c>
      <c r="B63" s="223">
        <f t="shared" si="17"/>
        <v>1395</v>
      </c>
      <c r="C63" s="175">
        <f t="shared" si="16"/>
        <v>0.15</v>
      </c>
      <c r="D63" s="3154">
        <v>0.25</v>
      </c>
      <c r="E63" s="222">
        <f>'数据-汇总表'!E13</f>
        <v>10771.04</v>
      </c>
      <c r="F63" s="1016">
        <f t="shared" si="15"/>
        <v>1503</v>
      </c>
      <c r="G63" s="1022" t="s">
        <v>2598</v>
      </c>
      <c r="H63" s="1017" t="str">
        <f>IF(G63="商业",项目基本情况!B37,IF(G63="办公",项目基本情况!C37,IF(G63="住宅",项目基本情况!D37,项目基本情况!E37)))</f>
        <v>八级</v>
      </c>
      <c r="I63" s="1021">
        <f>SUMIF(修正!A45:A56,H63,修正!H45:H56)</f>
        <v>0.15</v>
      </c>
      <c r="J63" s="1025"/>
      <c r="K63" s="2947"/>
      <c r="L63" s="3004"/>
      <c r="M63" s="3004"/>
      <c r="N63" s="3004"/>
      <c r="O63" s="3004"/>
      <c r="P63" s="3004"/>
      <c r="Q63" s="3004"/>
      <c r="R63" s="3004"/>
      <c r="S63" s="3004"/>
      <c r="T63" s="3004"/>
      <c r="U63" s="3004"/>
      <c r="V63" s="3004"/>
      <c r="W63" s="3004"/>
      <c r="X63" s="3004"/>
      <c r="Y63" s="3004"/>
      <c r="Z63" s="3004"/>
      <c r="AA63" s="3004"/>
      <c r="AB63" s="3004"/>
      <c r="AC63" s="3004"/>
    </row>
    <row r="64" spans="1:29" s="647" customFormat="1">
      <c r="A64" s="648" t="s">
        <v>2599</v>
      </c>
      <c r="B64" s="223">
        <f t="shared" si="17"/>
        <v>1395</v>
      </c>
      <c r="C64" s="175">
        <f t="shared" si="16"/>
        <v>0.15</v>
      </c>
      <c r="D64" s="1075">
        <v>0.25</v>
      </c>
      <c r="E64" s="222">
        <f>'数据-汇总表'!E14</f>
        <v>0</v>
      </c>
      <c r="F64" s="1016">
        <f t="shared" si="15"/>
        <v>0</v>
      </c>
      <c r="G64" s="2170" t="s">
        <v>2589</v>
      </c>
      <c r="H64" s="1017" t="str">
        <f>项目基本情况!B37</f>
        <v>八级</v>
      </c>
      <c r="I64" s="1021">
        <f>SUMIF(修正!A45:A56,H64,修正!H45:H56)</f>
        <v>0.15</v>
      </c>
      <c r="J64" s="1025"/>
      <c r="K64" s="2950"/>
      <c r="L64" s="3004"/>
      <c r="M64" s="3004"/>
      <c r="N64" s="3004"/>
      <c r="O64" s="3004"/>
      <c r="P64" s="3004"/>
      <c r="Q64" s="3004"/>
      <c r="R64" s="3004"/>
      <c r="S64" s="3004"/>
      <c r="T64" s="3004"/>
      <c r="U64" s="3004"/>
      <c r="V64" s="3004"/>
      <c r="W64" s="3004"/>
      <c r="X64" s="3004"/>
      <c r="Y64" s="3004"/>
      <c r="Z64" s="3004"/>
      <c r="AA64" s="3004"/>
      <c r="AB64" s="3004"/>
      <c r="AC64" s="3004"/>
    </row>
    <row r="65" spans="1:29" s="647" customFormat="1" ht="15" thickBot="1">
      <c r="A65" s="648" t="s">
        <v>2600</v>
      </c>
      <c r="B65" s="223">
        <f t="shared" si="17"/>
        <v>0</v>
      </c>
      <c r="C65" s="175">
        <f t="shared" si="16"/>
        <v>0</v>
      </c>
      <c r="D65" s="1075">
        <v>0.25</v>
      </c>
      <c r="E65" s="222">
        <f>'数据-汇总表'!E15</f>
        <v>0</v>
      </c>
      <c r="F65" s="1016">
        <f t="shared" si="15"/>
        <v>0</v>
      </c>
      <c r="G65" s="2171" t="s">
        <v>2594</v>
      </c>
      <c r="H65" s="1027">
        <f>项目基本情况!C37</f>
        <v>0</v>
      </c>
      <c r="I65" s="1023">
        <f>SUMIF(修正!A45:A56,H65,修正!H45:H56)</f>
        <v>0</v>
      </c>
      <c r="J65" s="1026"/>
      <c r="K65" s="2947"/>
      <c r="L65" s="3004"/>
      <c r="M65" s="3004"/>
      <c r="N65" s="3004"/>
      <c r="O65" s="3004"/>
      <c r="P65" s="3004"/>
      <c r="Q65" s="3004"/>
      <c r="R65" s="3004"/>
      <c r="S65" s="3004"/>
      <c r="T65" s="3004"/>
      <c r="U65" s="3004"/>
      <c r="V65" s="3004"/>
      <c r="W65" s="3004"/>
      <c r="X65" s="3004"/>
      <c r="Y65" s="3004"/>
      <c r="Z65" s="3004"/>
      <c r="AA65" s="3004"/>
      <c r="AB65" s="3004"/>
      <c r="AC65" s="3004"/>
    </row>
    <row r="66" spans="1:29" s="647" customFormat="1" ht="13.5" thickBot="1">
      <c r="A66" s="650" t="s">
        <v>2601</v>
      </c>
      <c r="B66" s="651" t="s">
        <v>28</v>
      </c>
      <c r="C66" s="651" t="s">
        <v>29</v>
      </c>
      <c r="D66" s="651" t="s">
        <v>997</v>
      </c>
      <c r="E66" s="651">
        <f>IF(B46="楼面地价",SUM(E56:E65),'数据-汇总表'!D3)</f>
        <v>46306.38</v>
      </c>
      <c r="F66" s="652">
        <f>IF(B46="楼面地价",SUM(F56:F65),ROUND(C48*E66/10000,0))</f>
        <v>63648</v>
      </c>
      <c r="G66" s="725"/>
      <c r="H66" s="725"/>
      <c r="I66" s="725"/>
      <c r="J66" s="725"/>
      <c r="K66" s="3005"/>
      <c r="L66" s="3232">
        <f>E62+E63</f>
        <v>30597.759999999998</v>
      </c>
      <c r="M66" s="3004"/>
      <c r="N66" s="3004"/>
      <c r="O66" s="3004"/>
      <c r="P66" s="3004"/>
      <c r="Q66" s="3004"/>
      <c r="R66" s="3004"/>
      <c r="S66" s="3004"/>
      <c r="T66" s="3004"/>
      <c r="U66" s="3004"/>
      <c r="V66" s="3004"/>
      <c r="W66" s="3004"/>
      <c r="X66" s="3004"/>
      <c r="Y66" s="3004"/>
      <c r="Z66" s="3004"/>
      <c r="AA66" s="3004"/>
      <c r="AB66" s="3004"/>
      <c r="AC66" s="3004"/>
    </row>
    <row r="67" spans="1:29">
      <c r="A67" s="698"/>
      <c r="B67" s="700"/>
      <c r="C67" s="701"/>
      <c r="D67" s="698"/>
      <c r="E67" s="698"/>
      <c r="F67" s="698"/>
      <c r="G67" s="698"/>
      <c r="H67" s="698"/>
      <c r="I67" s="698"/>
      <c r="J67" s="1057"/>
      <c r="K67" s="1018"/>
      <c r="L67" s="1019"/>
      <c r="M67" s="1057"/>
      <c r="N67" s="1057"/>
      <c r="O67" s="1057"/>
      <c r="P67" s="2947"/>
      <c r="Q67" s="2947"/>
      <c r="R67" s="2947"/>
      <c r="S67" s="2947"/>
      <c r="T67" s="2947"/>
      <c r="U67" s="2947"/>
      <c r="V67" s="2947"/>
      <c r="W67" s="2947"/>
      <c r="X67" s="2947"/>
      <c r="Y67" s="2947"/>
      <c r="Z67" s="2947"/>
      <c r="AA67" s="2947"/>
      <c r="AB67" s="2947"/>
      <c r="AC67" s="2947"/>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47"/>
      <c r="Q68" s="2947"/>
      <c r="R68" s="2947"/>
      <c r="S68" s="2947"/>
      <c r="T68" s="2947"/>
      <c r="U68" s="2947"/>
      <c r="V68" s="2947"/>
      <c r="W68" s="2947"/>
      <c r="X68" s="2947"/>
      <c r="Y68" s="2947"/>
      <c r="Z68" s="2947"/>
      <c r="AA68" s="2947"/>
      <c r="AB68" s="2947"/>
      <c r="AC68" s="2947"/>
    </row>
    <row r="69" spans="1:29" ht="21.75" thickBot="1">
      <c r="A69" s="702" t="s">
        <v>2494</v>
      </c>
      <c r="B69" s="698"/>
      <c r="C69" s="703"/>
      <c r="D69" s="703"/>
      <c r="E69" s="703"/>
      <c r="F69" s="704"/>
      <c r="G69" s="704"/>
      <c r="H69" s="703"/>
      <c r="I69" s="703"/>
      <c r="J69" s="1070"/>
      <c r="K69" s="1071"/>
      <c r="L69" s="1072"/>
      <c r="M69" s="1070"/>
      <c r="N69" s="2991"/>
      <c r="O69" s="2991"/>
      <c r="P69" s="2991"/>
      <c r="Q69" s="2961"/>
      <c r="R69" s="2947"/>
      <c r="S69" s="2947"/>
      <c r="T69" s="2947"/>
      <c r="U69" s="2947"/>
      <c r="V69" s="2947"/>
      <c r="W69" s="2947"/>
      <c r="X69" s="2947"/>
      <c r="Y69" s="2947"/>
      <c r="Z69" s="2947"/>
      <c r="AA69" s="2947"/>
      <c r="AB69" s="2947"/>
      <c r="AC69" s="2947"/>
    </row>
    <row r="70" spans="1:29" s="464" customFormat="1" ht="15">
      <c r="A70" s="2172" t="s">
        <v>2602</v>
      </c>
      <c r="B70" s="1268"/>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2998" t="s">
        <v>4552</v>
      </c>
      <c r="Q70" s="2963" t="s">
        <v>4553</v>
      </c>
      <c r="R70" s="2963"/>
      <c r="S70" s="2963"/>
      <c r="T70" s="2963"/>
      <c r="U70" s="2963"/>
      <c r="V70" s="2963"/>
      <c r="W70" s="2963"/>
      <c r="X70" s="2963"/>
      <c r="Y70" s="2963"/>
      <c r="Z70" s="2963"/>
      <c r="AA70" s="2963"/>
      <c r="AB70" s="2963"/>
      <c r="AC70" s="2963"/>
    </row>
    <row r="71" spans="1:29" s="112" customFormat="1" ht="30" customHeight="1">
      <c r="A71" s="2173" t="s">
        <v>2603</v>
      </c>
      <c r="B71" s="293" t="str">
        <f>"北京市平均增长率"&amp;TEXT(SUMIF(基准地价修正!N21:N25,A71,基准地价修正!P21:P25),"0.00%")</f>
        <v>北京市平均增长率0.00%</v>
      </c>
      <c r="C71" s="559">
        <v>100</v>
      </c>
      <c r="D71" s="551">
        <v>100</v>
      </c>
      <c r="E71" s="551">
        <v>100</v>
      </c>
      <c r="F71" s="551">
        <v>100</v>
      </c>
      <c r="G71" s="551">
        <v>100</v>
      </c>
      <c r="H71" s="551">
        <v>100</v>
      </c>
      <c r="I71" s="551">
        <v>100</v>
      </c>
      <c r="J71" s="551">
        <v>100</v>
      </c>
      <c r="K71" s="551">
        <f t="shared" ref="K71:N71" si="20">J71-$C$72</f>
        <v>99.5</v>
      </c>
      <c r="L71" s="551">
        <f t="shared" si="20"/>
        <v>99</v>
      </c>
      <c r="M71" s="551">
        <f t="shared" si="20"/>
        <v>98.5</v>
      </c>
      <c r="N71" s="551">
        <f t="shared" si="20"/>
        <v>98</v>
      </c>
      <c r="O71" s="551">
        <f>N71-$C$72</f>
        <v>97.5</v>
      </c>
      <c r="P71" s="3233">
        <f t="shared" ref="P71" si="21">O71-$C$72</f>
        <v>97</v>
      </c>
      <c r="Q71" s="3233">
        <f>P71-$C$72</f>
        <v>96.5</v>
      </c>
      <c r="R71" s="2882"/>
      <c r="S71" s="2882"/>
      <c r="T71" s="2882"/>
      <c r="U71" s="2882"/>
      <c r="V71" s="2882"/>
      <c r="W71" s="2882"/>
      <c r="X71" s="2882"/>
      <c r="Y71" s="2882"/>
      <c r="Z71" s="2882"/>
      <c r="AA71" s="2882"/>
      <c r="AB71" s="2882"/>
      <c r="AC71" s="2882"/>
    </row>
    <row r="72" spans="1:29" s="112" customFormat="1" ht="15.75" thickBot="1">
      <c r="A72" s="471" t="s">
        <v>2405</v>
      </c>
      <c r="B72" s="472"/>
      <c r="C72" s="473">
        <v>0.5</v>
      </c>
      <c r="D72" s="474"/>
      <c r="E72" s="474"/>
      <c r="F72" s="474"/>
      <c r="G72" s="474"/>
      <c r="H72" s="474"/>
      <c r="I72" s="474"/>
      <c r="J72" s="474"/>
      <c r="K72" s="474"/>
      <c r="L72" s="474"/>
      <c r="M72" s="475"/>
      <c r="N72" s="474"/>
      <c r="O72" s="1073"/>
      <c r="P72" s="2961"/>
      <c r="Q72" s="2961"/>
      <c r="R72" s="2882"/>
      <c r="S72" s="2882"/>
      <c r="T72" s="2882"/>
      <c r="U72" s="2882"/>
      <c r="V72" s="2882"/>
      <c r="W72" s="2882"/>
      <c r="X72" s="2882"/>
      <c r="Y72" s="2882"/>
      <c r="Z72" s="2882"/>
      <c r="AA72" s="2882"/>
      <c r="AB72" s="2882"/>
      <c r="AC72" s="2882"/>
    </row>
    <row r="73" spans="1:29" s="112" customFormat="1" ht="15">
      <c r="A73" s="477" t="s">
        <v>2370</v>
      </c>
      <c r="B73" s="466"/>
      <c r="C73" s="478" t="s">
        <v>2472</v>
      </c>
      <c r="D73" s="479"/>
      <c r="E73" s="479"/>
      <c r="F73" s="479"/>
      <c r="G73" s="479"/>
      <c r="H73" s="479"/>
      <c r="I73" s="479"/>
      <c r="J73" s="479"/>
      <c r="K73" s="479"/>
      <c r="L73" s="480"/>
      <c r="M73" s="481"/>
      <c r="N73" s="2974"/>
      <c r="O73" s="2974"/>
      <c r="P73" s="2999"/>
      <c r="Q73" s="2961"/>
      <c r="R73" s="2882"/>
      <c r="S73" s="2882"/>
      <c r="T73" s="2882"/>
      <c r="U73" s="2882"/>
      <c r="V73" s="2882"/>
      <c r="W73" s="2882"/>
      <c r="X73" s="2882"/>
      <c r="Y73" s="2882"/>
      <c r="Z73" s="2882"/>
      <c r="AA73" s="2882"/>
      <c r="AB73" s="2882"/>
      <c r="AC73" s="2882"/>
    </row>
    <row r="74" spans="1:29" s="112" customFormat="1" ht="15.75" thickBot="1">
      <c r="A74" s="477"/>
      <c r="B74" s="466"/>
      <c r="C74" s="594">
        <v>100</v>
      </c>
      <c r="D74" s="468"/>
      <c r="E74" s="468"/>
      <c r="F74" s="468"/>
      <c r="G74" s="468"/>
      <c r="H74" s="468"/>
      <c r="I74" s="468"/>
      <c r="J74" s="468"/>
      <c r="K74" s="468"/>
      <c r="L74" s="468"/>
      <c r="M74" s="470"/>
      <c r="N74" s="2974"/>
      <c r="O74" s="2974"/>
      <c r="P74" s="2961"/>
      <c r="Q74" s="2961"/>
      <c r="R74" s="2882"/>
      <c r="S74" s="2882"/>
      <c r="T74" s="2882"/>
      <c r="U74" s="2882"/>
      <c r="V74" s="2882"/>
      <c r="W74" s="2882"/>
      <c r="X74" s="2882"/>
      <c r="Y74" s="2882"/>
      <c r="Z74" s="2882"/>
      <c r="AA74" s="2882"/>
      <c r="AB74" s="2882"/>
      <c r="AC74" s="2882"/>
    </row>
    <row r="75" spans="1:29">
      <c r="A75" s="483" t="s">
        <v>2408</v>
      </c>
      <c r="B75" s="484" t="s">
        <v>2374</v>
      </c>
      <c r="C75" s="3141" t="s">
        <v>4335</v>
      </c>
      <c r="D75" s="3141" t="s">
        <v>4336</v>
      </c>
      <c r="E75" s="486"/>
      <c r="F75" s="486"/>
      <c r="G75" s="486"/>
      <c r="H75" s="486"/>
      <c r="I75" s="486"/>
      <c r="J75" s="486"/>
      <c r="K75" s="487"/>
      <c r="L75" s="488"/>
      <c r="M75" s="489"/>
      <c r="N75" s="2975"/>
      <c r="O75" s="2975"/>
      <c r="P75" s="3000"/>
      <c r="Q75" s="2961"/>
      <c r="R75" s="2947"/>
      <c r="S75" s="2947"/>
      <c r="T75" s="2947"/>
      <c r="U75" s="2947"/>
      <c r="V75" s="2947"/>
      <c r="W75" s="2947"/>
      <c r="X75" s="2947"/>
      <c r="Y75" s="2947"/>
      <c r="Z75" s="2947"/>
      <c r="AA75" s="2947"/>
      <c r="AB75" s="2947"/>
      <c r="AC75" s="2947"/>
    </row>
    <row r="76" spans="1:29" ht="15.75" thickBot="1">
      <c r="A76" s="490"/>
      <c r="B76" s="491"/>
      <c r="C76" s="492">
        <v>100</v>
      </c>
      <c r="D76" s="492">
        <v>98</v>
      </c>
      <c r="E76" s="492"/>
      <c r="F76" s="492"/>
      <c r="G76" s="492"/>
      <c r="H76" s="492"/>
      <c r="I76" s="492"/>
      <c r="J76" s="492"/>
      <c r="K76" s="492"/>
      <c r="L76" s="492"/>
      <c r="M76" s="493"/>
      <c r="N76" s="2976"/>
      <c r="O76" s="2976"/>
      <c r="P76" s="3000"/>
      <c r="Q76" s="2961"/>
      <c r="R76" s="2947"/>
      <c r="S76" s="2947"/>
      <c r="T76" s="2947"/>
      <c r="U76" s="2947"/>
      <c r="V76" s="2947"/>
      <c r="W76" s="2947"/>
      <c r="X76" s="2947"/>
      <c r="Y76" s="2947"/>
      <c r="Z76" s="2947"/>
      <c r="AA76" s="2947"/>
      <c r="AB76" s="2947"/>
      <c r="AC76" s="2947"/>
    </row>
    <row r="77" spans="1:29" ht="27.75" thickTop="1">
      <c r="A77" s="490"/>
      <c r="B77" s="494" t="s">
        <v>2377</v>
      </c>
      <c r="C77" s="495"/>
      <c r="D77" s="495"/>
      <c r="E77" s="495"/>
      <c r="F77" s="495"/>
      <c r="G77" s="495"/>
      <c r="H77" s="495"/>
      <c r="I77" s="495"/>
      <c r="J77" s="495"/>
      <c r="K77" s="496"/>
      <c r="L77" s="497"/>
      <c r="M77" s="498"/>
      <c r="N77" s="2975"/>
      <c r="O77" s="2975"/>
      <c r="P77" s="3000"/>
      <c r="Q77" s="2961"/>
      <c r="R77" s="2947"/>
      <c r="S77" s="2947"/>
      <c r="T77" s="2947"/>
      <c r="U77" s="2947"/>
      <c r="V77" s="2947"/>
      <c r="W77" s="2947"/>
      <c r="X77" s="2947"/>
      <c r="Y77" s="2947"/>
      <c r="Z77" s="2947"/>
      <c r="AA77" s="2947"/>
      <c r="AB77" s="2947"/>
      <c r="AC77" s="2947"/>
    </row>
    <row r="78" spans="1:29" ht="15.75" thickBot="1">
      <c r="A78" s="490"/>
      <c r="B78" s="499"/>
      <c r="C78" s="500"/>
      <c r="D78" s="500"/>
      <c r="E78" s="500"/>
      <c r="F78" s="500"/>
      <c r="G78" s="500"/>
      <c r="H78" s="500"/>
      <c r="I78" s="500"/>
      <c r="J78" s="500"/>
      <c r="K78" s="500"/>
      <c r="L78" s="500"/>
      <c r="M78" s="501"/>
      <c r="N78" s="2976"/>
      <c r="O78" s="2976"/>
      <c r="P78" s="3000"/>
      <c r="Q78" s="2961"/>
      <c r="R78" s="2947"/>
      <c r="S78" s="2947"/>
      <c r="T78" s="2947"/>
      <c r="U78" s="2947"/>
      <c r="V78" s="2947"/>
      <c r="W78" s="2947"/>
      <c r="X78" s="2947"/>
      <c r="Y78" s="2947"/>
      <c r="Z78" s="2947"/>
      <c r="AA78" s="2947"/>
      <c r="AB78" s="2947"/>
      <c r="AC78" s="2947"/>
    </row>
    <row r="79" spans="1:29" ht="15.75" thickTop="1">
      <c r="A79" s="490"/>
      <c r="B79" s="502" t="s">
        <v>2378</v>
      </c>
      <c r="C79" s="503" t="str">
        <f>C80&amp;"（含）"&amp;"-"&amp;D80</f>
        <v>0（含）-0.5</v>
      </c>
      <c r="D79" s="503" t="str">
        <f t="shared" ref="D79:L79" si="22">D80&amp;"（含）"&amp;"-"&amp;E80</f>
        <v>0.5（含）-1</v>
      </c>
      <c r="E79" s="503" t="str">
        <f t="shared" si="22"/>
        <v>1（含）-1.5</v>
      </c>
      <c r="F79" s="503" t="str">
        <f t="shared" si="22"/>
        <v>1.5（含）-2</v>
      </c>
      <c r="G79" s="503" t="str">
        <f t="shared" si="22"/>
        <v>2（含）-2.5</v>
      </c>
      <c r="H79" s="503" t="str">
        <f t="shared" si="22"/>
        <v>2.5（含）-3</v>
      </c>
      <c r="I79" s="503" t="str">
        <f t="shared" si="22"/>
        <v>3（含）-</v>
      </c>
      <c r="J79" s="503" t="str">
        <f t="shared" si="22"/>
        <v>（含）-</v>
      </c>
      <c r="K79" s="503" t="str">
        <f t="shared" si="22"/>
        <v>（含）-</v>
      </c>
      <c r="L79" s="503" t="str">
        <f t="shared" si="22"/>
        <v>（含）-</v>
      </c>
      <c r="M79" s="406"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0"/>
      <c r="B80" s="504"/>
      <c r="C80" s="505">
        <v>0</v>
      </c>
      <c r="D80" s="505">
        <v>0.5</v>
      </c>
      <c r="E80" s="505">
        <v>1</v>
      </c>
      <c r="F80" s="505">
        <v>1.5</v>
      </c>
      <c r="G80" s="505">
        <v>2</v>
      </c>
      <c r="H80" s="505">
        <v>2.5</v>
      </c>
      <c r="I80" s="505">
        <v>3</v>
      </c>
      <c r="J80" s="505"/>
      <c r="K80" s="506"/>
      <c r="L80" s="507"/>
      <c r="M80" s="508"/>
      <c r="N80" s="2975"/>
      <c r="O80" s="2975"/>
      <c r="P80" s="3000"/>
      <c r="Q80" s="2961"/>
      <c r="R80" s="2947"/>
      <c r="S80" s="2947"/>
      <c r="T80" s="2947"/>
      <c r="U80" s="2947"/>
      <c r="V80" s="2947"/>
      <c r="W80" s="2947"/>
      <c r="X80" s="2947"/>
      <c r="Y80" s="2947"/>
      <c r="Z80" s="2947"/>
      <c r="AA80" s="2947"/>
      <c r="AB80" s="2947"/>
      <c r="AC80" s="2947"/>
    </row>
    <row r="81" spans="1:29" ht="15.75" thickBot="1">
      <c r="A81" s="490"/>
      <c r="B81" s="491"/>
      <c r="C81" s="500">
        <v>100</v>
      </c>
      <c r="D81" s="500">
        <f t="shared" ref="D81:M81" si="23">IF($B$46="单位面积地价",C81+$K11,C81-$K11)</f>
        <v>95</v>
      </c>
      <c r="E81" s="500">
        <f t="shared" si="23"/>
        <v>90</v>
      </c>
      <c r="F81" s="500">
        <f t="shared" si="23"/>
        <v>85</v>
      </c>
      <c r="G81" s="500">
        <f t="shared" si="23"/>
        <v>80</v>
      </c>
      <c r="H81" s="500">
        <f t="shared" si="23"/>
        <v>75</v>
      </c>
      <c r="I81" s="500">
        <f t="shared" si="23"/>
        <v>70</v>
      </c>
      <c r="J81" s="500">
        <f t="shared" si="23"/>
        <v>65</v>
      </c>
      <c r="K81" s="500">
        <f t="shared" si="23"/>
        <v>60</v>
      </c>
      <c r="L81" s="500">
        <f t="shared" si="23"/>
        <v>55</v>
      </c>
      <c r="M81" s="500">
        <f t="shared" si="23"/>
        <v>50</v>
      </c>
      <c r="N81" s="2976"/>
      <c r="O81" s="2976"/>
      <c r="P81" s="3000"/>
      <c r="Q81" s="2961"/>
      <c r="R81" s="2947"/>
      <c r="S81" s="2947"/>
      <c r="T81" s="2947"/>
      <c r="U81" s="2947"/>
      <c r="V81" s="2947"/>
      <c r="W81" s="2947"/>
      <c r="X81" s="2947"/>
      <c r="Y81" s="2947"/>
      <c r="Z81" s="2947"/>
      <c r="AA81" s="2947"/>
      <c r="AB81" s="2947"/>
      <c r="AC81" s="2947"/>
    </row>
    <row r="82" spans="1:29" s="429" customFormat="1" ht="15.75" thickTop="1">
      <c r="A82" s="509"/>
      <c r="B82" s="494" t="str">
        <f>B12</f>
        <v>配建</v>
      </c>
      <c r="C82" s="3140" t="s">
        <v>4337</v>
      </c>
      <c r="D82" s="3140" t="s">
        <v>4338</v>
      </c>
      <c r="E82" s="510"/>
      <c r="F82" s="510"/>
      <c r="G82" s="510"/>
      <c r="H82" s="511"/>
      <c r="I82" s="511"/>
      <c r="J82" s="511"/>
      <c r="K82" s="511"/>
      <c r="L82" s="512"/>
      <c r="M82" s="513"/>
      <c r="N82" s="2977"/>
      <c r="O82" s="2977"/>
      <c r="P82" s="3001"/>
      <c r="Q82" s="2968"/>
      <c r="R82" s="2969"/>
      <c r="S82" s="2969"/>
      <c r="T82" s="2969"/>
      <c r="U82" s="2969"/>
      <c r="V82" s="2969"/>
      <c r="W82" s="2969"/>
      <c r="X82" s="2969"/>
      <c r="Y82" s="2969"/>
      <c r="Z82" s="2969"/>
      <c r="AA82" s="2969"/>
      <c r="AB82" s="2969"/>
      <c r="AC82" s="2969"/>
    </row>
    <row r="83" spans="1:29" s="429" customFormat="1" ht="15.75" thickBot="1">
      <c r="A83" s="509"/>
      <c r="B83" s="499"/>
      <c r="C83" s="516">
        <v>100</v>
      </c>
      <c r="D83" s="492">
        <v>97</v>
      </c>
      <c r="E83" s="492"/>
      <c r="F83" s="492"/>
      <c r="G83" s="492"/>
      <c r="H83" s="492"/>
      <c r="I83" s="492"/>
      <c r="J83" s="492"/>
      <c r="K83" s="492"/>
      <c r="L83" s="492"/>
      <c r="M83" s="493"/>
      <c r="N83" s="2976"/>
      <c r="O83" s="2976"/>
      <c r="P83" s="3001"/>
      <c r="Q83" s="2968"/>
      <c r="R83" s="2969"/>
      <c r="S83" s="2969"/>
      <c r="T83" s="2969"/>
      <c r="U83" s="2969"/>
      <c r="V83" s="2969"/>
      <c r="W83" s="2969"/>
      <c r="X83" s="2969"/>
      <c r="Y83" s="2969"/>
      <c r="Z83" s="2969"/>
      <c r="AA83" s="2969"/>
      <c r="AB83" s="2969"/>
      <c r="AC83" s="2969"/>
    </row>
    <row r="84" spans="1:29" s="429" customFormat="1" ht="29.25" thickTop="1">
      <c r="A84" s="509"/>
      <c r="B84" s="494" t="str">
        <f>B13</f>
        <v>自持</v>
      </c>
      <c r="C84" s="510">
        <v>0</v>
      </c>
      <c r="D84" s="510" t="s">
        <v>4339</v>
      </c>
      <c r="E84" s="510" t="s">
        <v>4340</v>
      </c>
      <c r="F84" s="510" t="s">
        <v>4341</v>
      </c>
      <c r="G84" s="510" t="s">
        <v>4347</v>
      </c>
      <c r="H84" s="511"/>
      <c r="I84" s="511"/>
      <c r="J84" s="511"/>
      <c r="K84" s="511"/>
      <c r="L84" s="512"/>
      <c r="M84" s="513"/>
      <c r="N84" s="2977"/>
      <c r="O84" s="2977"/>
      <c r="P84" s="2945"/>
      <c r="Q84" s="2971"/>
      <c r="R84" s="2969"/>
      <c r="S84" s="2969"/>
      <c r="T84" s="2969"/>
      <c r="U84" s="2969"/>
      <c r="V84" s="2969"/>
      <c r="W84" s="2969"/>
      <c r="X84" s="2969"/>
      <c r="Y84" s="2969"/>
      <c r="Z84" s="2969"/>
      <c r="AA84" s="2969"/>
      <c r="AB84" s="2969"/>
      <c r="AC84" s="2969"/>
    </row>
    <row r="85" spans="1:29" s="429" customFormat="1" ht="15.75" thickBot="1">
      <c r="A85" s="509"/>
      <c r="B85" s="499"/>
      <c r="C85" s="516">
        <v>100</v>
      </c>
      <c r="D85" s="516">
        <v>98</v>
      </c>
      <c r="E85" s="516">
        <v>96</v>
      </c>
      <c r="F85" s="516">
        <v>94</v>
      </c>
      <c r="G85" s="516">
        <v>92</v>
      </c>
      <c r="H85" s="518"/>
      <c r="I85" s="518"/>
      <c r="J85" s="518"/>
      <c r="K85" s="518"/>
      <c r="L85" s="518"/>
      <c r="M85" s="519"/>
      <c r="N85" s="2977"/>
      <c r="O85" s="2977"/>
      <c r="P85" s="3001"/>
      <c r="Q85" s="2968"/>
      <c r="R85" s="2969"/>
      <c r="S85" s="2969"/>
      <c r="T85" s="2969"/>
      <c r="U85" s="2969"/>
      <c r="V85" s="2969"/>
      <c r="W85" s="2969"/>
      <c r="X85" s="2969"/>
      <c r="Y85" s="2969"/>
      <c r="Z85" s="2969"/>
      <c r="AA85" s="2969"/>
      <c r="AB85" s="2969"/>
      <c r="AC85" s="2969"/>
    </row>
    <row r="86" spans="1:29" s="429" customFormat="1" ht="15.75" thickTop="1">
      <c r="A86" s="509"/>
      <c r="B86" s="502" t="str">
        <f>B14</f>
        <v>限价区间</v>
      </c>
      <c r="C86" s="479" t="s">
        <v>4342</v>
      </c>
      <c r="D86" s="479" t="s">
        <v>4343</v>
      </c>
      <c r="E86" s="479" t="s">
        <v>4344</v>
      </c>
      <c r="F86" s="479"/>
      <c r="G86" s="479"/>
      <c r="H86" s="520"/>
      <c r="I86" s="520"/>
      <c r="J86" s="520"/>
      <c r="K86" s="520"/>
      <c r="L86" s="521"/>
      <c r="M86" s="522"/>
      <c r="N86" s="2977"/>
      <c r="O86" s="2977"/>
      <c r="P86" s="3006"/>
      <c r="Q86" s="2968"/>
      <c r="R86" s="2969"/>
      <c r="S86" s="2969"/>
      <c r="T86" s="2969"/>
      <c r="U86" s="2969"/>
      <c r="V86" s="2969"/>
      <c r="W86" s="2969"/>
      <c r="X86" s="2969"/>
      <c r="Y86" s="2969"/>
      <c r="Z86" s="2969"/>
      <c r="AA86" s="2969"/>
      <c r="AB86" s="2969"/>
      <c r="AC86" s="2969"/>
    </row>
    <row r="87" spans="1:29" s="429" customFormat="1" ht="15.75" thickBot="1">
      <c r="A87" s="524"/>
      <c r="B87" s="525"/>
      <c r="C87" s="526">
        <v>100</v>
      </c>
      <c r="D87" s="526">
        <v>97</v>
      </c>
      <c r="E87" s="526">
        <v>94</v>
      </c>
      <c r="F87" s="526"/>
      <c r="G87" s="526"/>
      <c r="H87" s="527"/>
      <c r="I87" s="527"/>
      <c r="J87" s="527"/>
      <c r="K87" s="527"/>
      <c r="L87" s="527"/>
      <c r="M87" s="528"/>
      <c r="N87" s="2977"/>
      <c r="O87" s="2977"/>
      <c r="P87" s="3001"/>
      <c r="Q87" s="2968"/>
      <c r="R87" s="2969"/>
      <c r="S87" s="2969"/>
      <c r="T87" s="2969"/>
      <c r="U87" s="2969"/>
      <c r="V87" s="2969"/>
      <c r="W87" s="2969"/>
      <c r="X87" s="2969"/>
      <c r="Y87" s="2969"/>
      <c r="Z87" s="2969"/>
      <c r="AA87" s="2969"/>
      <c r="AB87" s="2969"/>
      <c r="AC87" s="2969"/>
    </row>
    <row r="88" spans="1:29">
      <c r="A88" s="483" t="s">
        <v>2379</v>
      </c>
      <c r="B88" s="484" t="s">
        <v>2416</v>
      </c>
      <c r="C88" s="529" t="s">
        <v>2417</v>
      </c>
      <c r="D88" s="529" t="s">
        <v>2418</v>
      </c>
      <c r="E88" s="529" t="s">
        <v>2419</v>
      </c>
      <c r="F88" s="529" t="s">
        <v>2420</v>
      </c>
      <c r="G88" s="529" t="s">
        <v>2421</v>
      </c>
      <c r="H88" s="485"/>
      <c r="I88" s="485"/>
      <c r="J88" s="485"/>
      <c r="K88" s="530"/>
      <c r="L88" s="531"/>
      <c r="M88" s="532"/>
      <c r="N88" s="2975"/>
      <c r="O88" s="2975"/>
      <c r="P88" s="3002"/>
      <c r="Q88" s="2961"/>
      <c r="R88" s="2947"/>
      <c r="S88" s="2947"/>
      <c r="T88" s="2947"/>
      <c r="U88" s="2947"/>
      <c r="V88" s="2947"/>
      <c r="W88" s="2947"/>
      <c r="X88" s="2947"/>
      <c r="Y88" s="2947"/>
      <c r="Z88" s="2947"/>
      <c r="AA88" s="2947"/>
      <c r="AB88" s="2947"/>
      <c r="AC88" s="2947"/>
    </row>
    <row r="89" spans="1:29" ht="15.75" thickBot="1">
      <c r="A89" s="490"/>
      <c r="B89" s="499"/>
      <c r="C89" s="500">
        <v>100</v>
      </c>
      <c r="D89" s="500">
        <f>C89-$K15</f>
        <v>95</v>
      </c>
      <c r="E89" s="500">
        <f>D89-$K15</f>
        <v>90</v>
      </c>
      <c r="F89" s="500">
        <f>E89-$K15</f>
        <v>85</v>
      </c>
      <c r="G89" s="500">
        <f>F89-$K15</f>
        <v>80</v>
      </c>
      <c r="H89" s="500"/>
      <c r="I89" s="500"/>
      <c r="J89" s="500"/>
      <c r="K89" s="500"/>
      <c r="L89" s="500"/>
      <c r="M89" s="501"/>
      <c r="N89" s="2976"/>
      <c r="O89" s="2976"/>
      <c r="P89" s="3000"/>
      <c r="Q89" s="2961"/>
      <c r="R89" s="2947"/>
      <c r="S89" s="2947"/>
      <c r="T89" s="2947"/>
      <c r="U89" s="2947"/>
      <c r="V89" s="2947"/>
      <c r="W89" s="2947"/>
      <c r="X89" s="2947"/>
      <c r="Y89" s="2947"/>
      <c r="Z89" s="2947"/>
      <c r="AA89" s="2947"/>
      <c r="AB89" s="2947"/>
      <c r="AC89" s="2947"/>
    </row>
    <row r="90" spans="1:29" ht="15.75" thickTop="1">
      <c r="A90" s="490"/>
      <c r="B90" s="494" t="s">
        <v>2604</v>
      </c>
      <c r="C90" s="534" t="s">
        <v>2417</v>
      </c>
      <c r="D90" s="534" t="s">
        <v>2418</v>
      </c>
      <c r="E90" s="534" t="s">
        <v>2419</v>
      </c>
      <c r="F90" s="534" t="s">
        <v>2420</v>
      </c>
      <c r="G90" s="534" t="s">
        <v>2421</v>
      </c>
      <c r="H90" s="495"/>
      <c r="I90" s="495"/>
      <c r="J90" s="495"/>
      <c r="K90" s="496"/>
      <c r="L90" s="497"/>
      <c r="M90" s="498"/>
      <c r="N90" s="2975"/>
      <c r="O90" s="2975"/>
      <c r="P90" s="3000"/>
      <c r="Q90" s="2961"/>
      <c r="R90" s="2947"/>
      <c r="S90" s="2947"/>
      <c r="T90" s="2947"/>
      <c r="U90" s="2947"/>
      <c r="V90" s="2947"/>
      <c r="W90" s="2947"/>
      <c r="X90" s="2947"/>
      <c r="Y90" s="2947"/>
      <c r="Z90" s="2947"/>
      <c r="AA90" s="2947"/>
      <c r="AB90" s="2947"/>
      <c r="AC90" s="294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6"/>
      <c r="O91" s="2976"/>
      <c r="P91" s="3000"/>
      <c r="Q91" s="2961"/>
      <c r="R91" s="2947"/>
      <c r="S91" s="2947"/>
      <c r="T91" s="2947"/>
      <c r="U91" s="2947"/>
      <c r="V91" s="2947"/>
      <c r="W91" s="2947"/>
      <c r="X91" s="2947"/>
      <c r="Y91" s="2947"/>
      <c r="Z91" s="2947"/>
      <c r="AA91" s="2947"/>
      <c r="AB91" s="2947"/>
      <c r="AC91" s="2947"/>
    </row>
    <row r="92" spans="1:29" ht="15.75" thickTop="1">
      <c r="A92" s="490"/>
      <c r="B92" s="494" t="s">
        <v>2517</v>
      </c>
      <c r="C92" s="534" t="s">
        <v>2417</v>
      </c>
      <c r="D92" s="534" t="s">
        <v>2418</v>
      </c>
      <c r="E92" s="534" t="s">
        <v>2419</v>
      </c>
      <c r="F92" s="534" t="s">
        <v>2420</v>
      </c>
      <c r="G92" s="534" t="s">
        <v>2421</v>
      </c>
      <c r="H92" s="495"/>
      <c r="I92" s="495"/>
      <c r="J92" s="495"/>
      <c r="K92" s="496"/>
      <c r="L92" s="497"/>
      <c r="M92" s="498"/>
      <c r="N92" s="2975"/>
      <c r="O92" s="2975"/>
      <c r="P92" s="3000"/>
      <c r="Q92" s="2961"/>
      <c r="R92" s="2947"/>
      <c r="S92" s="2947"/>
      <c r="T92" s="2947"/>
      <c r="U92" s="2947"/>
      <c r="V92" s="2947"/>
      <c r="W92" s="2947"/>
      <c r="X92" s="2947"/>
      <c r="Y92" s="2947"/>
      <c r="Z92" s="2947"/>
      <c r="AA92" s="2947"/>
      <c r="AB92" s="2947"/>
      <c r="AC92" s="2947"/>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6"/>
      <c r="O93" s="2976"/>
      <c r="P93" s="3000"/>
      <c r="Q93" s="2961"/>
      <c r="R93" s="2947"/>
      <c r="S93" s="2947"/>
      <c r="T93" s="2947"/>
      <c r="U93" s="2947"/>
      <c r="V93" s="2947"/>
      <c r="W93" s="2947"/>
      <c r="X93" s="2947"/>
      <c r="Y93" s="2947"/>
      <c r="Z93" s="2947"/>
      <c r="AA93" s="2947"/>
      <c r="AB93" s="2947"/>
      <c r="AC93" s="2947"/>
    </row>
    <row r="94" spans="1:29" ht="15.75" thickTop="1">
      <c r="A94" s="490"/>
      <c r="B94" s="494" t="s">
        <v>2422</v>
      </c>
      <c r="C94" s="534" t="s">
        <v>2417</v>
      </c>
      <c r="D94" s="534" t="s">
        <v>2418</v>
      </c>
      <c r="E94" s="534" t="s">
        <v>2419</v>
      </c>
      <c r="F94" s="534" t="s">
        <v>2420</v>
      </c>
      <c r="G94" s="534" t="s">
        <v>2421</v>
      </c>
      <c r="H94" s="495"/>
      <c r="I94" s="495"/>
      <c r="J94" s="495"/>
      <c r="K94" s="496"/>
      <c r="L94" s="497"/>
      <c r="M94" s="498"/>
      <c r="N94" s="2975"/>
      <c r="O94" s="2975"/>
      <c r="P94" s="3000"/>
      <c r="Q94" s="2961"/>
      <c r="R94" s="2947"/>
      <c r="S94" s="2947"/>
      <c r="T94" s="2947"/>
      <c r="U94" s="2947"/>
      <c r="V94" s="2947"/>
      <c r="W94" s="2947"/>
      <c r="X94" s="2947"/>
      <c r="Y94" s="2947"/>
      <c r="Z94" s="2947"/>
      <c r="AA94" s="2947"/>
      <c r="AB94" s="2947"/>
      <c r="AC94" s="2947"/>
    </row>
    <row r="95" spans="1:29" ht="15.75" thickBot="1">
      <c r="A95" s="490"/>
      <c r="B95" s="499"/>
      <c r="C95" s="500">
        <v>100</v>
      </c>
      <c r="D95" s="500">
        <f>C95-$K21</f>
        <v>98</v>
      </c>
      <c r="E95" s="500">
        <f>D95-$K21</f>
        <v>96</v>
      </c>
      <c r="F95" s="500">
        <f>E95-$K21</f>
        <v>94</v>
      </c>
      <c r="G95" s="500">
        <f>F95-$K21</f>
        <v>92</v>
      </c>
      <c r="H95" s="500"/>
      <c r="I95" s="500"/>
      <c r="J95" s="500"/>
      <c r="K95" s="500"/>
      <c r="L95" s="500"/>
      <c r="M95" s="501"/>
      <c r="N95" s="2976"/>
      <c r="O95" s="2976"/>
      <c r="P95" s="3000"/>
      <c r="Q95" s="2961"/>
      <c r="R95" s="2947"/>
      <c r="S95" s="2947"/>
      <c r="T95" s="2947"/>
      <c r="U95" s="2947"/>
      <c r="V95" s="2947"/>
      <c r="W95" s="2947"/>
      <c r="X95" s="2947"/>
      <c r="Y95" s="2947"/>
      <c r="Z95" s="2947"/>
      <c r="AA95" s="2947"/>
      <c r="AB95" s="2947"/>
      <c r="AC95" s="2947"/>
    </row>
    <row r="96" spans="1:29" s="112" customFormat="1" ht="15.75" thickTop="1">
      <c r="A96" s="535"/>
      <c r="B96" s="494" t="s">
        <v>2605</v>
      </c>
      <c r="C96" s="534" t="s">
        <v>2417</v>
      </c>
      <c r="D96" s="534" t="s">
        <v>2418</v>
      </c>
      <c r="E96" s="534" t="s">
        <v>2419</v>
      </c>
      <c r="F96" s="534" t="s">
        <v>2420</v>
      </c>
      <c r="G96" s="534" t="s">
        <v>2421</v>
      </c>
      <c r="H96" s="534"/>
      <c r="I96" s="534"/>
      <c r="J96" s="534"/>
      <c r="K96" s="534"/>
      <c r="L96" s="653"/>
      <c r="M96" s="577"/>
      <c r="N96" s="2974"/>
      <c r="O96" s="2974"/>
      <c r="P96" s="3000"/>
      <c r="Q96" s="2961"/>
      <c r="R96" s="2882"/>
      <c r="S96" s="2882"/>
      <c r="T96" s="2882"/>
      <c r="U96" s="2882"/>
      <c r="V96" s="2882"/>
      <c r="W96" s="2882"/>
      <c r="X96" s="2882"/>
      <c r="Y96" s="2882"/>
      <c r="Z96" s="2882"/>
      <c r="AA96" s="2882"/>
      <c r="AB96" s="2882"/>
      <c r="AC96" s="2882"/>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76"/>
      <c r="O97" s="2976"/>
      <c r="P97" s="3000"/>
      <c r="Q97" s="2961"/>
      <c r="R97" s="2882"/>
      <c r="S97" s="2882"/>
      <c r="T97" s="2882"/>
      <c r="U97" s="2882"/>
      <c r="V97" s="2882"/>
      <c r="W97" s="2882"/>
      <c r="X97" s="2882"/>
      <c r="Y97" s="2882"/>
      <c r="Z97" s="2882"/>
      <c r="AA97" s="2882"/>
      <c r="AB97" s="2882"/>
      <c r="AC97" s="2882"/>
    </row>
    <row r="98" spans="1:29" s="112" customFormat="1" ht="27.75" thickTop="1">
      <c r="A98" s="535"/>
      <c r="B98" s="494" t="s">
        <v>2606</v>
      </c>
      <c r="C98" s="529" t="s">
        <v>2417</v>
      </c>
      <c r="D98" s="529" t="s">
        <v>2418</v>
      </c>
      <c r="E98" s="529" t="s">
        <v>2419</v>
      </c>
      <c r="F98" s="529" t="s">
        <v>2420</v>
      </c>
      <c r="G98" s="529" t="s">
        <v>2421</v>
      </c>
      <c r="H98" s="534"/>
      <c r="I98" s="534"/>
      <c r="J98" s="534"/>
      <c r="K98" s="534"/>
      <c r="L98" s="534"/>
      <c r="M98" s="577"/>
      <c r="N98" s="2974"/>
      <c r="O98" s="2974"/>
      <c r="P98" s="3000"/>
      <c r="Q98" s="2961"/>
      <c r="R98" s="2882"/>
      <c r="S98" s="2882"/>
      <c r="T98" s="2882"/>
      <c r="U98" s="2882"/>
      <c r="V98" s="2882"/>
      <c r="W98" s="2882"/>
      <c r="X98" s="2882"/>
      <c r="Y98" s="2882"/>
      <c r="Z98" s="2882"/>
      <c r="AA98" s="2882"/>
      <c r="AB98" s="2882"/>
      <c r="AC98" s="2882"/>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76"/>
      <c r="O99" s="2976"/>
      <c r="P99" s="3000"/>
      <c r="Q99" s="2961"/>
      <c r="R99" s="2882"/>
      <c r="S99" s="2882"/>
      <c r="T99" s="2882"/>
      <c r="U99" s="2882"/>
      <c r="V99" s="2882"/>
      <c r="W99" s="2882"/>
      <c r="X99" s="2882"/>
      <c r="Y99" s="2882"/>
      <c r="Z99" s="2882"/>
      <c r="AA99" s="2882"/>
      <c r="AB99" s="2882"/>
      <c r="AC99" s="2882"/>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77"/>
      <c r="O100" s="2977"/>
      <c r="P100" s="3001"/>
      <c r="Q100" s="2968"/>
      <c r="R100" s="2969"/>
      <c r="S100" s="2969"/>
      <c r="T100" s="2969"/>
      <c r="U100" s="2969"/>
      <c r="V100" s="2969"/>
      <c r="W100" s="2969"/>
      <c r="X100" s="2969"/>
      <c r="Y100" s="2969"/>
      <c r="Z100" s="2969"/>
      <c r="AA100" s="2969"/>
      <c r="AB100" s="2969"/>
      <c r="AC100" s="2969"/>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7"/>
      <c r="O101" s="2977"/>
      <c r="P101" s="3001"/>
      <c r="Q101" s="2968"/>
      <c r="R101" s="2969"/>
      <c r="S101" s="2969"/>
      <c r="T101" s="2969"/>
      <c r="U101" s="2969"/>
      <c r="V101" s="2969"/>
      <c r="W101" s="2969"/>
      <c r="X101" s="2969"/>
      <c r="Y101" s="2969"/>
      <c r="Z101" s="2969"/>
      <c r="AA101" s="2969"/>
      <c r="AB101" s="2969"/>
      <c r="AC101" s="2969"/>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3"/>
      <c r="N102" s="2977"/>
      <c r="O102" s="2977"/>
      <c r="P102" s="3001"/>
      <c r="Q102" s="2968"/>
      <c r="R102" s="2969"/>
      <c r="S102" s="2969"/>
      <c r="T102" s="2969"/>
      <c r="U102" s="2969"/>
      <c r="V102" s="2969"/>
      <c r="W102" s="2969"/>
      <c r="X102" s="2969"/>
      <c r="Y102" s="2969"/>
      <c r="Z102" s="2969"/>
      <c r="AA102" s="2969"/>
      <c r="AB102" s="2969"/>
      <c r="AC102" s="296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93"/>
      <c r="N103" s="2977"/>
      <c r="O103" s="2977"/>
      <c r="P103" s="3001"/>
      <c r="Q103" s="2968"/>
      <c r="R103" s="2969"/>
      <c r="S103" s="2969"/>
      <c r="T103" s="2969"/>
      <c r="U103" s="2969"/>
      <c r="V103" s="2969"/>
      <c r="W103" s="2969"/>
      <c r="X103" s="2969"/>
      <c r="Y103" s="2969"/>
      <c r="Z103" s="2969"/>
      <c r="AA103" s="2969"/>
      <c r="AB103" s="2969"/>
      <c r="AC103" s="2969"/>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75"/>
      <c r="O104" s="2975"/>
      <c r="P104" s="3000"/>
      <c r="Q104" s="2961"/>
      <c r="R104" s="2947"/>
      <c r="S104" s="2947"/>
      <c r="T104" s="2947"/>
      <c r="U104" s="2947"/>
      <c r="V104" s="2947"/>
      <c r="W104" s="2947"/>
      <c r="X104" s="2947"/>
      <c r="Y104" s="2947"/>
      <c r="Z104" s="2947"/>
      <c r="AA104" s="2947"/>
      <c r="AB104" s="2947"/>
      <c r="AC104" s="2947"/>
    </row>
    <row r="105" spans="1:29" ht="15.75" thickBot="1">
      <c r="A105" s="490"/>
      <c r="B105" s="499"/>
      <c r="C105" s="500">
        <v>100</v>
      </c>
      <c r="D105" s="500">
        <f>C105-$K31</f>
        <v>100</v>
      </c>
      <c r="E105" s="500">
        <f t="shared" ref="E105:M105" si="24">D105-$K31</f>
        <v>100</v>
      </c>
      <c r="F105" s="500">
        <f t="shared" si="24"/>
        <v>100</v>
      </c>
      <c r="G105" s="500">
        <f t="shared" si="24"/>
        <v>100</v>
      </c>
      <c r="H105" s="500">
        <f t="shared" si="24"/>
        <v>100</v>
      </c>
      <c r="I105" s="500">
        <f t="shared" si="24"/>
        <v>100</v>
      </c>
      <c r="J105" s="500">
        <f t="shared" si="24"/>
        <v>100</v>
      </c>
      <c r="K105" s="500">
        <f t="shared" si="24"/>
        <v>100</v>
      </c>
      <c r="L105" s="500">
        <f t="shared" si="24"/>
        <v>100</v>
      </c>
      <c r="M105" s="500">
        <f t="shared" si="24"/>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0"/>
      <c r="B106" s="494" t="s">
        <v>2511</v>
      </c>
      <c r="C106" s="3140" t="s">
        <v>4324</v>
      </c>
      <c r="D106" s="3140" t="s">
        <v>4325</v>
      </c>
      <c r="E106" s="3140" t="s">
        <v>4327</v>
      </c>
      <c r="F106" s="3140" t="s">
        <v>4329</v>
      </c>
      <c r="G106" s="510"/>
      <c r="H106" s="539"/>
      <c r="I106" s="539"/>
      <c r="J106" s="539"/>
      <c r="K106" s="540"/>
      <c r="L106" s="541"/>
      <c r="M106" s="542"/>
      <c r="N106" s="2975"/>
      <c r="O106" s="2975"/>
      <c r="P106" s="3000"/>
      <c r="Q106" s="2961"/>
      <c r="R106" s="2947"/>
      <c r="S106" s="2947"/>
      <c r="T106" s="2947"/>
      <c r="U106" s="2947"/>
      <c r="V106" s="2947"/>
      <c r="W106" s="2947"/>
      <c r="X106" s="2947"/>
      <c r="Y106" s="2947"/>
      <c r="Z106" s="2947"/>
      <c r="AA106" s="2947"/>
      <c r="AB106" s="2947"/>
      <c r="AC106" s="2947"/>
    </row>
    <row r="107" spans="1:29" ht="15.75" thickBot="1">
      <c r="A107" s="490"/>
      <c r="B107" s="499"/>
      <c r="C107" s="500">
        <v>100</v>
      </c>
      <c r="D107" s="500">
        <f>C107-$K32</f>
        <v>98</v>
      </c>
      <c r="E107" s="500">
        <f t="shared" ref="E107:M107" si="25">D107-$K32</f>
        <v>96</v>
      </c>
      <c r="F107" s="500">
        <f t="shared" si="25"/>
        <v>94</v>
      </c>
      <c r="G107" s="500">
        <f t="shared" si="25"/>
        <v>92</v>
      </c>
      <c r="H107" s="500">
        <f t="shared" si="25"/>
        <v>90</v>
      </c>
      <c r="I107" s="500">
        <f t="shared" si="25"/>
        <v>88</v>
      </c>
      <c r="J107" s="500">
        <f t="shared" si="25"/>
        <v>86</v>
      </c>
      <c r="K107" s="500">
        <f t="shared" si="25"/>
        <v>84</v>
      </c>
      <c r="L107" s="500">
        <f t="shared" si="25"/>
        <v>82</v>
      </c>
      <c r="M107" s="500">
        <f t="shared" si="25"/>
        <v>80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0"/>
      <c r="B108" s="494" t="s">
        <v>2570</v>
      </c>
      <c r="C108" s="3139" t="s">
        <v>4330</v>
      </c>
      <c r="D108" s="3139" t="s">
        <v>4331</v>
      </c>
      <c r="E108" s="3139" t="s">
        <v>4332</v>
      </c>
      <c r="F108" s="3139" t="s">
        <v>4333</v>
      </c>
      <c r="G108" s="3139" t="s">
        <v>4334</v>
      </c>
      <c r="H108" s="539"/>
      <c r="I108" s="539"/>
      <c r="J108" s="539"/>
      <c r="K108" s="540"/>
      <c r="L108" s="541"/>
      <c r="M108" s="542"/>
      <c r="N108" s="2975"/>
      <c r="O108" s="2975"/>
      <c r="P108" s="3000"/>
      <c r="Q108" s="2961"/>
      <c r="R108" s="2947"/>
      <c r="S108" s="2947"/>
      <c r="T108" s="2947"/>
      <c r="U108" s="2947"/>
      <c r="V108" s="2947"/>
      <c r="W108" s="2947"/>
      <c r="X108" s="2947"/>
      <c r="Y108" s="2947"/>
      <c r="Z108" s="2947"/>
      <c r="AA108" s="2947"/>
      <c r="AB108" s="2947"/>
      <c r="AC108" s="2947"/>
    </row>
    <row r="109" spans="1:29" ht="15.75" thickBot="1">
      <c r="A109" s="490"/>
      <c r="B109" s="499"/>
      <c r="C109" s="500">
        <v>100</v>
      </c>
      <c r="D109" s="500">
        <f>C109-$K34</f>
        <v>98</v>
      </c>
      <c r="E109" s="500">
        <f t="shared" ref="E109:M109" si="26">D109-$K34</f>
        <v>96</v>
      </c>
      <c r="F109" s="500">
        <f t="shared" si="26"/>
        <v>94</v>
      </c>
      <c r="G109" s="500">
        <f t="shared" si="26"/>
        <v>92</v>
      </c>
      <c r="H109" s="500">
        <f t="shared" si="26"/>
        <v>90</v>
      </c>
      <c r="I109" s="500">
        <f t="shared" si="26"/>
        <v>88</v>
      </c>
      <c r="J109" s="500">
        <f t="shared" si="26"/>
        <v>86</v>
      </c>
      <c r="K109" s="500">
        <f t="shared" si="26"/>
        <v>84</v>
      </c>
      <c r="L109" s="500">
        <f t="shared" si="26"/>
        <v>82</v>
      </c>
      <c r="M109" s="500">
        <f t="shared" si="26"/>
        <v>80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0"/>
      <c r="B110" s="502">
        <f>B35</f>
        <v>111</v>
      </c>
      <c r="C110" s="510"/>
      <c r="D110" s="510"/>
      <c r="E110" s="510"/>
      <c r="F110" s="510"/>
      <c r="G110" s="543"/>
      <c r="H110" s="543"/>
      <c r="I110" s="543"/>
      <c r="J110" s="543"/>
      <c r="K110" s="544"/>
      <c r="L110" s="545"/>
      <c r="M110" s="546"/>
      <c r="N110" s="2975"/>
      <c r="O110" s="2975"/>
      <c r="P110" s="3000"/>
      <c r="Q110" s="2961"/>
      <c r="R110" s="2947"/>
      <c r="S110" s="2947"/>
      <c r="T110" s="2947"/>
      <c r="U110" s="2947"/>
      <c r="V110" s="2947"/>
      <c r="W110" s="2947"/>
      <c r="X110" s="2947"/>
      <c r="Y110" s="2947"/>
      <c r="Z110" s="2947"/>
      <c r="AA110" s="2947"/>
      <c r="AB110" s="2947"/>
      <c r="AC110" s="2947"/>
    </row>
    <row r="111" spans="1:29" ht="15.75" thickBot="1">
      <c r="A111" s="490"/>
      <c r="B111" s="525"/>
      <c r="C111" s="516"/>
      <c r="D111" s="516"/>
      <c r="E111" s="516"/>
      <c r="F111" s="516"/>
      <c r="G111" s="547"/>
      <c r="H111" s="547"/>
      <c r="I111" s="547"/>
      <c r="J111" s="547"/>
      <c r="K111" s="547"/>
      <c r="L111" s="547"/>
      <c r="M111" s="548"/>
      <c r="N111" s="2976"/>
      <c r="O111" s="2976"/>
      <c r="P111" s="3000"/>
      <c r="Q111" s="2961"/>
      <c r="R111" s="2947"/>
      <c r="S111" s="2947"/>
      <c r="T111" s="2947"/>
      <c r="U111" s="2947"/>
      <c r="V111" s="2947"/>
      <c r="W111" s="2947"/>
      <c r="X111" s="2947"/>
      <c r="Y111" s="2947"/>
      <c r="Z111" s="2947"/>
      <c r="AA111" s="2947"/>
      <c r="AB111" s="2947"/>
      <c r="AC111" s="2947"/>
    </row>
    <row r="112" spans="1:29" ht="15" thickTop="1">
      <c r="A112" s="630"/>
      <c r="B112" s="494">
        <f>B36</f>
        <v>111</v>
      </c>
      <c r="C112" s="479"/>
      <c r="D112" s="479"/>
      <c r="E112" s="479"/>
      <c r="F112" s="479"/>
      <c r="G112" s="539"/>
      <c r="H112" s="539"/>
      <c r="I112" s="539"/>
      <c r="J112" s="539"/>
      <c r="K112" s="540"/>
      <c r="L112" s="541"/>
      <c r="M112" s="542"/>
      <c r="N112" s="2975"/>
      <c r="O112" s="2975"/>
      <c r="P112" s="3000"/>
      <c r="Q112" s="2961"/>
      <c r="R112" s="2947"/>
      <c r="S112" s="2947"/>
      <c r="T112" s="2947"/>
      <c r="U112" s="2947"/>
      <c r="V112" s="2947"/>
      <c r="W112" s="2947"/>
      <c r="X112" s="2947"/>
      <c r="Y112" s="2947"/>
      <c r="Z112" s="2947"/>
      <c r="AA112" s="2947"/>
      <c r="AB112" s="2947"/>
      <c r="AC112" s="2947"/>
    </row>
    <row r="113" spans="1:29" ht="15.75" thickBot="1">
      <c r="A113" s="490"/>
      <c r="B113" s="499"/>
      <c r="C113" s="526"/>
      <c r="D113" s="526"/>
      <c r="E113" s="526"/>
      <c r="F113" s="526"/>
      <c r="G113" s="492"/>
      <c r="H113" s="492"/>
      <c r="I113" s="492"/>
      <c r="J113" s="492"/>
      <c r="K113" s="492"/>
      <c r="L113" s="492"/>
      <c r="M113" s="493"/>
      <c r="N113" s="2976"/>
      <c r="O113" s="2976"/>
      <c r="P113" s="3000"/>
      <c r="Q113" s="2961"/>
      <c r="R113" s="2947"/>
      <c r="S113" s="2947"/>
      <c r="T113" s="2947"/>
      <c r="U113" s="2947"/>
      <c r="V113" s="2947"/>
      <c r="W113" s="2947"/>
      <c r="X113" s="2947"/>
      <c r="Y113" s="2947"/>
      <c r="Z113" s="2947"/>
      <c r="AA113" s="2947"/>
      <c r="AB113" s="2947"/>
      <c r="AC113" s="2947"/>
    </row>
    <row r="114" spans="1:29" s="429" customFormat="1" ht="15" thickTop="1">
      <c r="A114" s="549"/>
      <c r="B114" s="550">
        <f>B37</f>
        <v>111</v>
      </c>
      <c r="C114" s="551"/>
      <c r="D114" s="551"/>
      <c r="E114" s="551"/>
      <c r="F114" s="551"/>
      <c r="G114" s="551"/>
      <c r="H114" s="551"/>
      <c r="I114" s="551"/>
      <c r="J114" s="552"/>
      <c r="K114" s="552"/>
      <c r="L114" s="553"/>
      <c r="M114" s="554"/>
      <c r="N114" s="2977"/>
      <c r="O114" s="2977"/>
      <c r="P114" s="3001"/>
      <c r="Q114" s="2968"/>
      <c r="R114" s="2969"/>
      <c r="S114" s="2969"/>
      <c r="T114" s="2969"/>
      <c r="U114" s="2969"/>
      <c r="V114" s="2969"/>
      <c r="W114" s="2969"/>
      <c r="X114" s="2969"/>
      <c r="Y114" s="2969"/>
      <c r="Z114" s="2969"/>
      <c r="AA114" s="2969"/>
      <c r="AB114" s="2969"/>
      <c r="AC114" s="2969"/>
    </row>
    <row r="115" spans="1:29" s="429" customFormat="1" ht="15.75" thickBot="1">
      <c r="A115" s="509"/>
      <c r="B115" s="502"/>
      <c r="C115" s="468"/>
      <c r="D115" s="632"/>
      <c r="E115" s="632"/>
      <c r="F115" s="632"/>
      <c r="G115" s="632"/>
      <c r="H115" s="632"/>
      <c r="I115" s="632"/>
      <c r="J115" s="632"/>
      <c r="K115" s="632"/>
      <c r="L115" s="632"/>
      <c r="M115" s="654"/>
      <c r="N115" s="2976"/>
      <c r="O115" s="2976"/>
      <c r="P115" s="3001"/>
      <c r="Q115" s="2968"/>
      <c r="R115" s="2969"/>
      <c r="S115" s="2969"/>
      <c r="T115" s="2969"/>
      <c r="U115" s="2969"/>
      <c r="V115" s="2969"/>
      <c r="W115" s="2969"/>
      <c r="X115" s="2969"/>
      <c r="Y115" s="2969"/>
      <c r="Z115" s="2969"/>
      <c r="AA115" s="2969"/>
      <c r="AB115" s="2969"/>
      <c r="AC115" s="2969"/>
    </row>
    <row r="116" spans="1:29" ht="28.5">
      <c r="A116" s="483" t="s">
        <v>2383</v>
      </c>
      <c r="B116" s="484" t="s">
        <v>2611</v>
      </c>
      <c r="C116" s="485" t="str">
        <f>C117&amp;"(含)"&amp;"-"&amp;D117</f>
        <v>0(含)-20000</v>
      </c>
      <c r="D116" s="485" t="str">
        <f t="shared" ref="D116:M116" si="27">D117&amp;"(含)"&amp;"-"&amp;E117</f>
        <v>20000(含)-40000</v>
      </c>
      <c r="E116" s="485" t="str">
        <f t="shared" si="27"/>
        <v>40000(含)-60000</v>
      </c>
      <c r="F116" s="485" t="str">
        <f t="shared" si="27"/>
        <v>60000(含)-80000</v>
      </c>
      <c r="G116" s="485" t="str">
        <f t="shared" si="27"/>
        <v>80000(含)-</v>
      </c>
      <c r="H116" s="485" t="str">
        <f t="shared" si="27"/>
        <v>(含)-</v>
      </c>
      <c r="I116" s="485" t="str">
        <f t="shared" si="27"/>
        <v>(含)-</v>
      </c>
      <c r="J116" s="485" t="str">
        <f t="shared" si="27"/>
        <v>(含)-</v>
      </c>
      <c r="K116" s="485" t="str">
        <f t="shared" si="27"/>
        <v>(含)-</v>
      </c>
      <c r="L116" s="485" t="str">
        <f t="shared" si="27"/>
        <v>(含)-</v>
      </c>
      <c r="M116" s="485" t="str">
        <f t="shared" si="27"/>
        <v>(含)-</v>
      </c>
      <c r="N116" s="2975"/>
      <c r="O116" s="2975"/>
      <c r="P116" s="3000"/>
      <c r="Q116" s="2961"/>
      <c r="R116" s="2947"/>
      <c r="S116" s="2947"/>
      <c r="T116" s="2947"/>
      <c r="U116" s="2947"/>
      <c r="V116" s="2947"/>
      <c r="W116" s="2947"/>
      <c r="X116" s="2947"/>
      <c r="Y116" s="2947"/>
      <c r="Z116" s="2947"/>
      <c r="AA116" s="2947"/>
      <c r="AB116" s="2947"/>
      <c r="AC116" s="2947"/>
    </row>
    <row r="117" spans="1:29" ht="15">
      <c r="A117" s="490"/>
      <c r="B117" s="502"/>
      <c r="C117" s="551">
        <v>0</v>
      </c>
      <c r="D117" s="551">
        <v>20000</v>
      </c>
      <c r="E117" s="551">
        <v>40000</v>
      </c>
      <c r="F117" s="551">
        <v>60000</v>
      </c>
      <c r="G117" s="551">
        <v>80000</v>
      </c>
      <c r="H117" s="551"/>
      <c r="I117" s="551"/>
      <c r="J117" s="552"/>
      <c r="K117" s="552"/>
      <c r="L117" s="553"/>
      <c r="M117" s="554"/>
      <c r="N117" s="2975"/>
      <c r="O117" s="2975"/>
      <c r="P117" s="3000"/>
      <c r="Q117" s="2961"/>
      <c r="R117" s="2947"/>
      <c r="S117" s="2947"/>
      <c r="T117" s="2947"/>
      <c r="U117" s="2947"/>
      <c r="V117" s="2947"/>
      <c r="W117" s="2947"/>
      <c r="X117" s="2947"/>
      <c r="Y117" s="2947"/>
      <c r="Z117" s="2947"/>
      <c r="AA117" s="2947"/>
      <c r="AB117" s="2947"/>
      <c r="AC117" s="2947"/>
    </row>
    <row r="118" spans="1:29" ht="15.75" thickBot="1">
      <c r="A118" s="490"/>
      <c r="B118" s="499"/>
      <c r="C118" s="526">
        <v>100</v>
      </c>
      <c r="D118" s="547">
        <v>102</v>
      </c>
      <c r="E118" s="547">
        <v>104</v>
      </c>
      <c r="F118" s="547">
        <v>106</v>
      </c>
      <c r="G118" s="547">
        <v>108</v>
      </c>
      <c r="H118" s="547"/>
      <c r="I118" s="547"/>
      <c r="J118" s="547"/>
      <c r="K118" s="547"/>
      <c r="L118" s="547"/>
      <c r="M118" s="548"/>
      <c r="N118" s="2976"/>
      <c r="O118" s="2976"/>
      <c r="P118" s="3000"/>
      <c r="Q118" s="2961"/>
      <c r="R118" s="2947"/>
      <c r="S118" s="2947"/>
      <c r="T118" s="2947"/>
      <c r="U118" s="2947"/>
      <c r="V118" s="2947"/>
      <c r="W118" s="2947"/>
      <c r="X118" s="2947"/>
      <c r="Y118" s="2947"/>
      <c r="Z118" s="2947"/>
      <c r="AA118" s="2947"/>
      <c r="AB118" s="2947"/>
      <c r="AC118" s="2947"/>
    </row>
    <row r="119" spans="1:29" ht="15" thickTop="1">
      <c r="A119" s="555"/>
      <c r="B119" s="494" t="s">
        <v>2612</v>
      </c>
      <c r="C119" s="3139" t="s">
        <v>4312</v>
      </c>
      <c r="D119" s="3139" t="s">
        <v>4313</v>
      </c>
      <c r="E119" s="3139" t="s">
        <v>4314</v>
      </c>
      <c r="F119" s="3139" t="s">
        <v>4315</v>
      </c>
      <c r="G119" s="539"/>
      <c r="H119" s="539"/>
      <c r="I119" s="539"/>
      <c r="J119" s="539"/>
      <c r="K119" s="540"/>
      <c r="L119" s="541"/>
      <c r="M119" s="542"/>
      <c r="N119" s="2975"/>
      <c r="O119" s="2975"/>
      <c r="P119" s="3000"/>
      <c r="Q119" s="2961"/>
      <c r="R119" s="2947"/>
      <c r="S119" s="2947"/>
      <c r="T119" s="2947"/>
      <c r="U119" s="2947"/>
      <c r="V119" s="2947"/>
      <c r="W119" s="2947"/>
      <c r="X119" s="2947"/>
      <c r="Y119" s="2947"/>
      <c r="Z119" s="2947"/>
      <c r="AA119" s="2947"/>
      <c r="AB119" s="2947"/>
      <c r="AC119" s="2947"/>
    </row>
    <row r="120" spans="1:29" ht="15.75" thickBot="1">
      <c r="A120" s="490"/>
      <c r="B120" s="499"/>
      <c r="C120" s="500">
        <v>100</v>
      </c>
      <c r="D120" s="500">
        <f t="shared" ref="D120:M120" si="28">C120-$K39</f>
        <v>98</v>
      </c>
      <c r="E120" s="500">
        <f t="shared" si="28"/>
        <v>96</v>
      </c>
      <c r="F120" s="500">
        <f t="shared" si="28"/>
        <v>94</v>
      </c>
      <c r="G120" s="500">
        <f t="shared" si="28"/>
        <v>92</v>
      </c>
      <c r="H120" s="500">
        <f t="shared" si="28"/>
        <v>90</v>
      </c>
      <c r="I120" s="500">
        <f t="shared" si="28"/>
        <v>88</v>
      </c>
      <c r="J120" s="500">
        <f t="shared" si="28"/>
        <v>86</v>
      </c>
      <c r="K120" s="500">
        <f t="shared" si="28"/>
        <v>84</v>
      </c>
      <c r="L120" s="500">
        <f t="shared" si="28"/>
        <v>82</v>
      </c>
      <c r="M120" s="501">
        <f t="shared" si="28"/>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5"/>
      <c r="B121" s="494" t="s">
        <v>2613</v>
      </c>
      <c r="C121" s="510"/>
      <c r="D121" s="510"/>
      <c r="E121" s="510"/>
      <c r="F121" s="539"/>
      <c r="G121" s="539"/>
      <c r="H121" s="539"/>
      <c r="I121" s="539"/>
      <c r="J121" s="539"/>
      <c r="K121" s="540"/>
      <c r="L121" s="541"/>
      <c r="M121" s="542"/>
      <c r="N121" s="2975"/>
      <c r="O121" s="2975"/>
      <c r="P121" s="3000"/>
      <c r="Q121" s="2961"/>
      <c r="R121" s="2947"/>
      <c r="S121" s="2947"/>
      <c r="T121" s="2947"/>
      <c r="U121" s="2947"/>
      <c r="V121" s="2947"/>
      <c r="W121" s="2947"/>
      <c r="X121" s="2947"/>
      <c r="Y121" s="2947"/>
      <c r="Z121" s="2947"/>
      <c r="AA121" s="2947"/>
      <c r="AB121" s="2947"/>
      <c r="AC121" s="2947"/>
    </row>
    <row r="122" spans="1:29" ht="15.75" thickBot="1">
      <c r="A122" s="490"/>
      <c r="B122" s="499"/>
      <c r="C122" s="500">
        <v>100</v>
      </c>
      <c r="D122" s="500">
        <f t="shared" ref="D122:M122" si="29">C122-$K40</f>
        <v>100</v>
      </c>
      <c r="E122" s="500">
        <f t="shared" si="29"/>
        <v>100</v>
      </c>
      <c r="F122" s="500">
        <f t="shared" si="29"/>
        <v>100</v>
      </c>
      <c r="G122" s="500">
        <f t="shared" si="29"/>
        <v>100</v>
      </c>
      <c r="H122" s="500">
        <f t="shared" si="29"/>
        <v>100</v>
      </c>
      <c r="I122" s="500">
        <f t="shared" si="29"/>
        <v>100</v>
      </c>
      <c r="J122" s="500">
        <f t="shared" si="29"/>
        <v>100</v>
      </c>
      <c r="K122" s="500">
        <f t="shared" si="29"/>
        <v>100</v>
      </c>
      <c r="L122" s="500">
        <f t="shared" si="29"/>
        <v>100</v>
      </c>
      <c r="M122" s="501">
        <f t="shared" si="29"/>
        <v>100</v>
      </c>
      <c r="N122" s="2976"/>
      <c r="O122" s="2976"/>
      <c r="P122" s="3000"/>
      <c r="Q122" s="2961"/>
      <c r="R122" s="2947"/>
      <c r="S122" s="2947"/>
      <c r="T122" s="2947"/>
      <c r="U122" s="2947"/>
      <c r="V122" s="2947"/>
      <c r="W122" s="2947"/>
      <c r="X122" s="2947"/>
      <c r="Y122" s="2947"/>
      <c r="Z122" s="2947"/>
      <c r="AA122" s="2947"/>
      <c r="AB122" s="2947"/>
      <c r="AC122" s="2947"/>
    </row>
    <row r="123" spans="1:29" s="429" customFormat="1" ht="15" thickTop="1">
      <c r="A123" s="549"/>
      <c r="B123" s="494" t="s">
        <v>2614</v>
      </c>
      <c r="C123" s="3140" t="s">
        <v>4317</v>
      </c>
      <c r="D123" s="3140" t="s">
        <v>4318</v>
      </c>
      <c r="E123" s="3140" t="s">
        <v>4320</v>
      </c>
      <c r="F123" s="3140" t="s">
        <v>4321</v>
      </c>
      <c r="G123" s="3140" t="s">
        <v>4323</v>
      </c>
      <c r="H123" s="3139" t="s">
        <v>4373</v>
      </c>
      <c r="I123" s="539"/>
      <c r="J123" s="539"/>
      <c r="K123" s="540"/>
      <c r="L123" s="541"/>
      <c r="M123" s="542"/>
      <c r="N123" s="2977"/>
      <c r="O123" s="2977"/>
      <c r="P123" s="3001"/>
      <c r="Q123" s="2968"/>
      <c r="R123" s="2969"/>
      <c r="S123" s="2969"/>
      <c r="T123" s="2969"/>
      <c r="U123" s="2969"/>
      <c r="V123" s="2969"/>
      <c r="W123" s="2969"/>
      <c r="X123" s="2969"/>
      <c r="Y123" s="2969"/>
      <c r="Z123" s="2969"/>
      <c r="AA123" s="2969"/>
      <c r="AB123" s="2969"/>
      <c r="AC123" s="2969"/>
    </row>
    <row r="124" spans="1:29" s="429" customFormat="1" ht="15.75" thickBot="1">
      <c r="A124" s="509"/>
      <c r="B124" s="499"/>
      <c r="C124" s="500">
        <v>100</v>
      </c>
      <c r="D124" s="500">
        <f>C124-$K41</f>
        <v>99.5</v>
      </c>
      <c r="E124" s="500">
        <f t="shared" ref="E124:M124" si="30">D124-$K41</f>
        <v>99</v>
      </c>
      <c r="F124" s="500">
        <f t="shared" si="30"/>
        <v>98.5</v>
      </c>
      <c r="G124" s="500">
        <f t="shared" si="30"/>
        <v>98</v>
      </c>
      <c r="H124" s="500">
        <f t="shared" si="30"/>
        <v>97.5</v>
      </c>
      <c r="I124" s="500">
        <f t="shared" si="30"/>
        <v>97</v>
      </c>
      <c r="J124" s="500">
        <f t="shared" si="30"/>
        <v>96.5</v>
      </c>
      <c r="K124" s="500">
        <f t="shared" si="30"/>
        <v>96</v>
      </c>
      <c r="L124" s="500">
        <f t="shared" si="30"/>
        <v>95.5</v>
      </c>
      <c r="M124" s="501">
        <f t="shared" si="30"/>
        <v>95</v>
      </c>
      <c r="N124" s="2977"/>
      <c r="O124" s="2977"/>
      <c r="P124" s="3001"/>
      <c r="Q124" s="2968"/>
      <c r="R124" s="2969"/>
      <c r="S124" s="2969"/>
      <c r="T124" s="2969"/>
      <c r="U124" s="2969"/>
      <c r="V124" s="2969"/>
      <c r="W124" s="2969"/>
      <c r="X124" s="2969"/>
      <c r="Y124" s="2969"/>
      <c r="Z124" s="2969"/>
      <c r="AA124" s="2969"/>
      <c r="AB124" s="2969"/>
      <c r="AC124" s="2969"/>
    </row>
    <row r="125" spans="1:29" ht="15" thickTop="1">
      <c r="A125" s="555"/>
      <c r="B125" s="494" t="s">
        <v>2615</v>
      </c>
      <c r="C125" s="510"/>
      <c r="D125" s="510"/>
      <c r="E125" s="539"/>
      <c r="F125" s="539"/>
      <c r="G125" s="539"/>
      <c r="H125" s="539"/>
      <c r="I125" s="539"/>
      <c r="J125" s="539"/>
      <c r="K125" s="540"/>
      <c r="L125" s="541"/>
      <c r="M125" s="542"/>
      <c r="N125" s="2975"/>
      <c r="O125" s="2975"/>
      <c r="P125" s="3000"/>
      <c r="Q125" s="2961"/>
      <c r="R125" s="2947"/>
      <c r="S125" s="2947"/>
      <c r="T125" s="2947"/>
      <c r="U125" s="2947"/>
      <c r="V125" s="2947"/>
      <c r="W125" s="2947"/>
      <c r="X125" s="2947"/>
      <c r="Y125" s="2947"/>
      <c r="Z125" s="2947"/>
      <c r="AA125" s="2947"/>
      <c r="AB125" s="2947"/>
      <c r="AC125" s="2947"/>
    </row>
    <row r="126" spans="1:29" ht="15.75" thickBot="1">
      <c r="A126" s="490"/>
      <c r="B126" s="499"/>
      <c r="C126" s="500">
        <v>100</v>
      </c>
      <c r="D126" s="500">
        <f t="shared" ref="D126:M126" si="31">C126-$K42</f>
        <v>100</v>
      </c>
      <c r="E126" s="500">
        <f t="shared" si="31"/>
        <v>100</v>
      </c>
      <c r="F126" s="500">
        <f t="shared" si="31"/>
        <v>100</v>
      </c>
      <c r="G126" s="500">
        <f t="shared" si="31"/>
        <v>100</v>
      </c>
      <c r="H126" s="500">
        <f t="shared" si="31"/>
        <v>100</v>
      </c>
      <c r="I126" s="500">
        <f t="shared" si="31"/>
        <v>100</v>
      </c>
      <c r="J126" s="500">
        <f t="shared" si="31"/>
        <v>100</v>
      </c>
      <c r="K126" s="500">
        <f t="shared" si="31"/>
        <v>100</v>
      </c>
      <c r="L126" s="500">
        <f t="shared" si="31"/>
        <v>100</v>
      </c>
      <c r="M126" s="501">
        <f t="shared" si="31"/>
        <v>100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5"/>
      <c r="B127" s="494">
        <f>B43</f>
        <v>111</v>
      </c>
      <c r="C127" s="510"/>
      <c r="D127" s="510"/>
      <c r="E127" s="510"/>
      <c r="F127" s="510"/>
      <c r="G127" s="510"/>
      <c r="H127" s="539"/>
      <c r="I127" s="539"/>
      <c r="J127" s="539"/>
      <c r="K127" s="540"/>
      <c r="L127" s="541"/>
      <c r="M127" s="542"/>
      <c r="N127" s="2975"/>
      <c r="O127" s="2975"/>
      <c r="P127" s="3000"/>
      <c r="Q127" s="2961"/>
      <c r="R127" s="2947"/>
      <c r="S127" s="2947"/>
      <c r="T127" s="2947"/>
      <c r="U127" s="2947"/>
      <c r="V127" s="2947"/>
      <c r="W127" s="2947"/>
      <c r="X127" s="2947"/>
      <c r="Y127" s="2947"/>
      <c r="Z127" s="2947"/>
      <c r="AA127" s="2947"/>
      <c r="AB127" s="2947"/>
      <c r="AC127" s="2947"/>
    </row>
    <row r="128" spans="1:29" ht="15.75" thickBot="1">
      <c r="A128" s="490"/>
      <c r="B128" s="499"/>
      <c r="C128" s="516"/>
      <c r="D128" s="516"/>
      <c r="E128" s="516"/>
      <c r="F128" s="516"/>
      <c r="G128" s="492"/>
      <c r="H128" s="492"/>
      <c r="I128" s="492"/>
      <c r="J128" s="492"/>
      <c r="K128" s="492"/>
      <c r="L128" s="492"/>
      <c r="M128" s="493"/>
      <c r="N128" s="2976"/>
      <c r="O128" s="2976"/>
      <c r="P128" s="3000"/>
      <c r="Q128" s="2961"/>
      <c r="R128" s="2947"/>
      <c r="S128" s="2947"/>
      <c r="T128" s="2947"/>
      <c r="U128" s="2947"/>
      <c r="V128" s="2947"/>
      <c r="W128" s="2947"/>
      <c r="X128" s="2947"/>
      <c r="Y128" s="2947"/>
      <c r="Z128" s="2947"/>
      <c r="AA128" s="2947"/>
      <c r="AB128" s="2947"/>
      <c r="AC128" s="2947"/>
    </row>
    <row r="129" spans="1:29" ht="15" thickTop="1">
      <c r="A129" s="555"/>
      <c r="B129" s="494">
        <f>B44</f>
        <v>111</v>
      </c>
      <c r="C129" s="479"/>
      <c r="D129" s="479"/>
      <c r="E129" s="479"/>
      <c r="F129" s="479"/>
      <c r="G129" s="539"/>
      <c r="H129" s="539"/>
      <c r="I129" s="539"/>
      <c r="J129" s="539"/>
      <c r="K129" s="540"/>
      <c r="L129" s="541"/>
      <c r="M129" s="542"/>
      <c r="N129" s="2975"/>
      <c r="O129" s="2975"/>
      <c r="P129" s="3000"/>
      <c r="Q129" s="2961"/>
      <c r="R129" s="2947"/>
      <c r="S129" s="2947"/>
      <c r="T129" s="2947"/>
      <c r="U129" s="2947"/>
      <c r="V129" s="2947"/>
      <c r="W129" s="2947"/>
      <c r="X129" s="2947"/>
      <c r="Y129" s="2947"/>
      <c r="Z129" s="2947"/>
      <c r="AA129" s="2947"/>
      <c r="AB129" s="2947"/>
      <c r="AC129" s="2947"/>
    </row>
    <row r="130" spans="1:29" ht="15.75" thickBot="1">
      <c r="A130" s="490"/>
      <c r="B130" s="499"/>
      <c r="C130" s="526"/>
      <c r="D130" s="526"/>
      <c r="E130" s="526"/>
      <c r="F130" s="526"/>
      <c r="G130" s="492"/>
      <c r="H130" s="492"/>
      <c r="I130" s="492"/>
      <c r="J130" s="492"/>
      <c r="K130" s="492"/>
      <c r="L130" s="492"/>
      <c r="M130" s="493"/>
      <c r="N130" s="2976"/>
      <c r="O130" s="2976"/>
      <c r="P130" s="3000"/>
      <c r="Q130" s="2961"/>
      <c r="R130" s="2947"/>
      <c r="S130" s="2947"/>
      <c r="T130" s="2947"/>
      <c r="U130" s="2947"/>
      <c r="V130" s="2947"/>
      <c r="W130" s="2947"/>
      <c r="X130" s="2947"/>
      <c r="Y130" s="2947"/>
      <c r="Z130" s="2947"/>
      <c r="AA130" s="2947"/>
      <c r="AB130" s="2947"/>
      <c r="AC130" s="2947"/>
    </row>
    <row r="131" spans="1:29" s="429" customFormat="1" ht="15" thickTop="1">
      <c r="A131" s="549"/>
      <c r="B131" s="494">
        <f>B45</f>
        <v>111</v>
      </c>
      <c r="C131" s="479"/>
      <c r="D131" s="479"/>
      <c r="E131" s="479"/>
      <c r="F131" s="479"/>
      <c r="G131" s="511"/>
      <c r="H131" s="511"/>
      <c r="I131" s="511"/>
      <c r="J131" s="511"/>
      <c r="K131" s="511"/>
      <c r="L131" s="512"/>
      <c r="M131" s="513"/>
      <c r="N131" s="2977"/>
      <c r="O131" s="2977"/>
      <c r="P131" s="3001"/>
      <c r="Q131" s="2968"/>
      <c r="R131" s="2969"/>
      <c r="S131" s="2969"/>
      <c r="T131" s="2969"/>
      <c r="U131" s="2969"/>
      <c r="V131" s="2969"/>
      <c r="W131" s="2969"/>
      <c r="X131" s="2969"/>
      <c r="Y131" s="2969"/>
      <c r="Z131" s="2969"/>
      <c r="AA131" s="2969"/>
      <c r="AB131" s="2969"/>
      <c r="AC131" s="2969"/>
    </row>
    <row r="132" spans="1:29" s="429" customFormat="1" ht="15.75" thickBot="1">
      <c r="A132" s="524"/>
      <c r="B132" s="655"/>
      <c r="C132" s="526"/>
      <c r="D132" s="526"/>
      <c r="E132" s="526"/>
      <c r="F132" s="526"/>
      <c r="G132" s="547"/>
      <c r="H132" s="547"/>
      <c r="I132" s="547"/>
      <c r="J132" s="547"/>
      <c r="K132" s="547"/>
      <c r="L132" s="547"/>
      <c r="M132" s="548"/>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93" priority="18" stopIfTrue="1" operator="containsText" text="超过">
      <formula>NOT(ISERROR(SEARCH("超过",F51)))</formula>
    </cfRule>
  </conditionalFormatting>
  <conditionalFormatting sqref="J53">
    <cfRule type="containsText" dxfId="192" priority="17" stopIfTrue="1" operator="containsText" text="超过">
      <formula>NOT(ISERROR(SEARCH("超过",J53)))</formula>
    </cfRule>
  </conditionalFormatting>
  <conditionalFormatting sqref="H53">
    <cfRule type="containsText" dxfId="191" priority="16" stopIfTrue="1" operator="containsText" text="超过">
      <formula>NOT(ISERROR(SEARCH("超过",H53)))</formula>
    </cfRule>
  </conditionalFormatting>
  <conditionalFormatting sqref="F53">
    <cfRule type="containsText" dxfId="190" priority="15" stopIfTrue="1" operator="containsText" text="超过">
      <formula>NOT(ISERROR(SEARCH("超过",F53)))</formula>
    </cfRule>
  </conditionalFormatting>
  <conditionalFormatting sqref="F52 H52 J52">
    <cfRule type="containsText" dxfId="189" priority="14" stopIfTrue="1" operator="containsText" text="超过">
      <formula>NOT(ISERROR(SEARCH("超过",F52)))</formula>
    </cfRule>
  </conditionalFormatting>
  <conditionalFormatting sqref="E51">
    <cfRule type="expression" dxfId="188" priority="13" stopIfTrue="1">
      <formula>$F$51="超过30%"</formula>
    </cfRule>
  </conditionalFormatting>
  <conditionalFormatting sqref="G53">
    <cfRule type="expression" dxfId="187" priority="12" stopIfTrue="1">
      <formula>$H$53="超过30%"</formula>
    </cfRule>
  </conditionalFormatting>
  <conditionalFormatting sqref="E52">
    <cfRule type="expression" dxfId="186" priority="11" stopIfTrue="1">
      <formula>$F$52="超过20%"</formula>
    </cfRule>
  </conditionalFormatting>
  <conditionalFormatting sqref="E53">
    <cfRule type="expression" dxfId="185" priority="10" stopIfTrue="1">
      <formula>$F$53="超过30%"</formula>
    </cfRule>
  </conditionalFormatting>
  <conditionalFormatting sqref="G51">
    <cfRule type="expression" dxfId="184" priority="9" stopIfTrue="1">
      <formula>$H$53+$H$51="超过30%"</formula>
    </cfRule>
  </conditionalFormatting>
  <conditionalFormatting sqref="G52">
    <cfRule type="expression" dxfId="183" priority="8" stopIfTrue="1">
      <formula>$H$52="超过20%"</formula>
    </cfRule>
  </conditionalFormatting>
  <conditionalFormatting sqref="I51">
    <cfRule type="expression" dxfId="182" priority="7" stopIfTrue="1">
      <formula>$J$51="超过30%"</formula>
    </cfRule>
  </conditionalFormatting>
  <conditionalFormatting sqref="I52">
    <cfRule type="expression" dxfId="181" priority="6" stopIfTrue="1">
      <formula>$J$52="超过20%"</formula>
    </cfRule>
  </conditionalFormatting>
  <conditionalFormatting sqref="I53">
    <cfRule type="expression" dxfId="180" priority="5" stopIfTrue="1">
      <formula>$J$53="超过30%"</formula>
    </cfRule>
  </conditionalFormatting>
  <conditionalFormatting sqref="F47">
    <cfRule type="expression" dxfId="179" priority="4">
      <formula>$D$47="简单平均"</formula>
    </cfRule>
  </conditionalFormatting>
  <conditionalFormatting sqref="H47">
    <cfRule type="expression" dxfId="178" priority="3">
      <formula>$D$47="简单平均"</formula>
    </cfRule>
  </conditionalFormatting>
  <conditionalFormatting sqref="J47">
    <cfRule type="expression" dxfId="177" priority="2">
      <formula>$D$47="简单平均"</formula>
    </cfRule>
  </conditionalFormatting>
  <conditionalFormatting sqref="F7:F45 H7:H45 J7:J45">
    <cfRule type="cellIs" dxfId="176" priority="1" operator="notEqual">
      <formula>100</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2" xr:uid="{00000000-0002-0000-1C00-000013000000}">
      <formula1>"商业,办公,住宅,工业"</formula1>
    </dataValidation>
    <dataValidation type="list" allowBlank="1" showInputMessage="1" showErrorMessage="1" sqref="G63" xr:uid="{00000000-0002-0000-1C00-000014000000}">
      <formula1>"住宅,工业"</formula1>
    </dataValidation>
    <dataValidation type="list" allowBlank="1" showInputMessage="1" showErrorMessage="1" sqref="D57:D65" xr:uid="{00000000-0002-0000-1C00-000015000000}">
      <formula1>"25%,1"</formula1>
    </dataValidation>
    <dataValidation type="list" allowBlank="1" showInputMessage="1" showErrorMessage="1" sqref="C30 E30 G30 I30" xr:uid="{00000000-0002-0000-1C00-000016000000}">
      <formula1>基础设施水平</formula1>
    </dataValidation>
    <dataValidation type="list" allowBlank="1" showInputMessage="1" showErrorMessage="1" sqref="A71" xr:uid="{00000000-0002-0000-1C00-000017000000}">
      <formula1>"综合,商业,办公,住宅"</formula1>
    </dataValidation>
    <dataValidation type="list" allowBlank="1" showInputMessage="1" showErrorMessage="1" sqref="D47"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36">
      <c r="A4" s="1663" t="str">
        <f>"受贵公司委托，我公司对"&amp;项目基本情况!S1&amp;"进行了预评估。"</f>
        <v>受贵公司委托，我公司对北京市0331地块部分现房房地产抵押价值进行了预评估。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估价对象为北京市0331地块部分现房房地产，为所有。根据，估价对象（分摊）出让国有建设用地使用权面积为23188.07平方米，建筑面积为46306.38平方米。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估价对象为北京市0331地块部分现房房地产,属开发建设的，该项目尚在开发建设中。根据，估价对象（分摊）出让国有建设用地使用权面积为23188.07平方米，规划建筑面积为46306.38平方米。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0331地块部分现房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2021年10月26日（评估专业人员实地查勘之日）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26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本次评估采用的主估价方法为成本法和比较法。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131"/>
  <sheetViews>
    <sheetView topLeftCell="M1" workbookViewId="0">
      <selection activeCell="W19" sqref="W19"/>
    </sheetView>
  </sheetViews>
  <sheetFormatPr defaultRowHeight="13.5"/>
  <cols>
    <col min="1" max="1" width="66.25" style="3130" customWidth="1"/>
    <col min="2" max="2" width="6.25" style="3130" customWidth="1"/>
    <col min="3" max="5" width="13.875" style="3130" customWidth="1"/>
    <col min="6" max="6" width="28.125" style="3130" customWidth="1"/>
    <col min="7" max="7" width="10.875" style="3130" customWidth="1"/>
    <col min="8" max="8" width="7.875" style="3130" customWidth="1"/>
    <col min="9" max="9" width="22" style="3130" customWidth="1"/>
    <col min="10" max="10" width="7.875" style="3130" customWidth="1"/>
    <col min="11" max="12" width="11.625" style="3130" bestFit="1" customWidth="1"/>
    <col min="13" max="14" width="10.625" style="3130" customWidth="1"/>
    <col min="15" max="15" width="14.375" style="3130" customWidth="1"/>
    <col min="16" max="16" width="6.25" style="3130" customWidth="1"/>
    <col min="17" max="17" width="41.5" style="3130" customWidth="1"/>
    <col min="18" max="20" width="7.875" style="3130" customWidth="1"/>
    <col min="21" max="259" width="9" style="3130"/>
    <col min="260" max="260" width="122.875" style="3130" customWidth="1"/>
    <col min="261" max="261" width="6.25" style="3130" customWidth="1"/>
    <col min="262" max="264" width="13.875" style="3130" customWidth="1"/>
    <col min="265" max="265" width="66.375" style="3130" customWidth="1"/>
    <col min="266" max="266" width="7.875" style="3130" customWidth="1"/>
    <col min="267" max="267" width="67.375" style="3130" customWidth="1"/>
    <col min="268" max="268" width="7.875" style="3130" customWidth="1"/>
    <col min="269" max="270" width="9" style="3130"/>
    <col min="271" max="272" width="10.625" style="3130" customWidth="1"/>
    <col min="273" max="273" width="14.375" style="3130" customWidth="1"/>
    <col min="274" max="274" width="6.25" style="3130" customWidth="1"/>
    <col min="275" max="275" width="103.75" style="3130" customWidth="1"/>
    <col min="276" max="276" width="7.875" style="3130" customWidth="1"/>
    <col min="277" max="515" width="9" style="3130"/>
    <col min="516" max="516" width="122.875" style="3130" customWidth="1"/>
    <col min="517" max="517" width="6.25" style="3130" customWidth="1"/>
    <col min="518" max="520" width="13.875" style="3130" customWidth="1"/>
    <col min="521" max="521" width="66.375" style="3130" customWidth="1"/>
    <col min="522" max="522" width="7.875" style="3130" customWidth="1"/>
    <col min="523" max="523" width="67.375" style="3130" customWidth="1"/>
    <col min="524" max="524" width="7.875" style="3130" customWidth="1"/>
    <col min="525" max="526" width="9" style="3130"/>
    <col min="527" max="528" width="10.625" style="3130" customWidth="1"/>
    <col min="529" max="529" width="14.375" style="3130" customWidth="1"/>
    <col min="530" max="530" width="6.25" style="3130" customWidth="1"/>
    <col min="531" max="531" width="103.75" style="3130" customWidth="1"/>
    <col min="532" max="532" width="7.875" style="3130" customWidth="1"/>
    <col min="533" max="771" width="9" style="3130"/>
    <col min="772" max="772" width="122.875" style="3130" customWidth="1"/>
    <col min="773" max="773" width="6.25" style="3130" customWidth="1"/>
    <col min="774" max="776" width="13.875" style="3130" customWidth="1"/>
    <col min="777" max="777" width="66.375" style="3130" customWidth="1"/>
    <col min="778" max="778" width="7.875" style="3130" customWidth="1"/>
    <col min="779" max="779" width="67.375" style="3130" customWidth="1"/>
    <col min="780" max="780" width="7.875" style="3130" customWidth="1"/>
    <col min="781" max="782" width="9" style="3130"/>
    <col min="783" max="784" width="10.625" style="3130" customWidth="1"/>
    <col min="785" max="785" width="14.375" style="3130" customWidth="1"/>
    <col min="786" max="786" width="6.25" style="3130" customWidth="1"/>
    <col min="787" max="787" width="103.75" style="3130" customWidth="1"/>
    <col min="788" max="788" width="7.875" style="3130" customWidth="1"/>
    <col min="789" max="1027" width="9" style="3130"/>
    <col min="1028" max="1028" width="122.875" style="3130" customWidth="1"/>
    <col min="1029" max="1029" width="6.25" style="3130" customWidth="1"/>
    <col min="1030" max="1032" width="13.875" style="3130" customWidth="1"/>
    <col min="1033" max="1033" width="66.375" style="3130" customWidth="1"/>
    <col min="1034" max="1034" width="7.875" style="3130" customWidth="1"/>
    <col min="1035" max="1035" width="67.375" style="3130" customWidth="1"/>
    <col min="1036" max="1036" width="7.875" style="3130" customWidth="1"/>
    <col min="1037" max="1038" width="9" style="3130"/>
    <col min="1039" max="1040" width="10.625" style="3130" customWidth="1"/>
    <col min="1041" max="1041" width="14.375" style="3130" customWidth="1"/>
    <col min="1042" max="1042" width="6.25" style="3130" customWidth="1"/>
    <col min="1043" max="1043" width="103.75" style="3130" customWidth="1"/>
    <col min="1044" max="1044" width="7.875" style="3130" customWidth="1"/>
    <col min="1045" max="1283" width="9" style="3130"/>
    <col min="1284" max="1284" width="122.875" style="3130" customWidth="1"/>
    <col min="1285" max="1285" width="6.25" style="3130" customWidth="1"/>
    <col min="1286" max="1288" width="13.875" style="3130" customWidth="1"/>
    <col min="1289" max="1289" width="66.375" style="3130" customWidth="1"/>
    <col min="1290" max="1290" width="7.875" style="3130" customWidth="1"/>
    <col min="1291" max="1291" width="67.375" style="3130" customWidth="1"/>
    <col min="1292" max="1292" width="7.875" style="3130" customWidth="1"/>
    <col min="1293" max="1294" width="9" style="3130"/>
    <col min="1295" max="1296" width="10.625" style="3130" customWidth="1"/>
    <col min="1297" max="1297" width="14.375" style="3130" customWidth="1"/>
    <col min="1298" max="1298" width="6.25" style="3130" customWidth="1"/>
    <col min="1299" max="1299" width="103.75" style="3130" customWidth="1"/>
    <col min="1300" max="1300" width="7.875" style="3130" customWidth="1"/>
    <col min="1301" max="1539" width="9" style="3130"/>
    <col min="1540" max="1540" width="122.875" style="3130" customWidth="1"/>
    <col min="1541" max="1541" width="6.25" style="3130" customWidth="1"/>
    <col min="1542" max="1544" width="13.875" style="3130" customWidth="1"/>
    <col min="1545" max="1545" width="66.375" style="3130" customWidth="1"/>
    <col min="1546" max="1546" width="7.875" style="3130" customWidth="1"/>
    <col min="1547" max="1547" width="67.375" style="3130" customWidth="1"/>
    <col min="1548" max="1548" width="7.875" style="3130" customWidth="1"/>
    <col min="1549" max="1550" width="9" style="3130"/>
    <col min="1551" max="1552" width="10.625" style="3130" customWidth="1"/>
    <col min="1553" max="1553" width="14.375" style="3130" customWidth="1"/>
    <col min="1554" max="1554" width="6.25" style="3130" customWidth="1"/>
    <col min="1555" max="1555" width="103.75" style="3130" customWidth="1"/>
    <col min="1556" max="1556" width="7.875" style="3130" customWidth="1"/>
    <col min="1557" max="1795" width="9" style="3130"/>
    <col min="1796" max="1796" width="122.875" style="3130" customWidth="1"/>
    <col min="1797" max="1797" width="6.25" style="3130" customWidth="1"/>
    <col min="1798" max="1800" width="13.875" style="3130" customWidth="1"/>
    <col min="1801" max="1801" width="66.375" style="3130" customWidth="1"/>
    <col min="1802" max="1802" width="7.875" style="3130" customWidth="1"/>
    <col min="1803" max="1803" width="67.375" style="3130" customWidth="1"/>
    <col min="1804" max="1804" width="7.875" style="3130" customWidth="1"/>
    <col min="1805" max="1806" width="9" style="3130"/>
    <col min="1807" max="1808" width="10.625" style="3130" customWidth="1"/>
    <col min="1809" max="1809" width="14.375" style="3130" customWidth="1"/>
    <col min="1810" max="1810" width="6.25" style="3130" customWidth="1"/>
    <col min="1811" max="1811" width="103.75" style="3130" customWidth="1"/>
    <col min="1812" max="1812" width="7.875" style="3130" customWidth="1"/>
    <col min="1813" max="2051" width="9" style="3130"/>
    <col min="2052" max="2052" width="122.875" style="3130" customWidth="1"/>
    <col min="2053" max="2053" width="6.25" style="3130" customWidth="1"/>
    <col min="2054" max="2056" width="13.875" style="3130" customWidth="1"/>
    <col min="2057" max="2057" width="66.375" style="3130" customWidth="1"/>
    <col min="2058" max="2058" width="7.875" style="3130" customWidth="1"/>
    <col min="2059" max="2059" width="67.375" style="3130" customWidth="1"/>
    <col min="2060" max="2060" width="7.875" style="3130" customWidth="1"/>
    <col min="2061" max="2062" width="9" style="3130"/>
    <col min="2063" max="2064" width="10.625" style="3130" customWidth="1"/>
    <col min="2065" max="2065" width="14.375" style="3130" customWidth="1"/>
    <col min="2066" max="2066" width="6.25" style="3130" customWidth="1"/>
    <col min="2067" max="2067" width="103.75" style="3130" customWidth="1"/>
    <col min="2068" max="2068" width="7.875" style="3130" customWidth="1"/>
    <col min="2069" max="2307" width="9" style="3130"/>
    <col min="2308" max="2308" width="122.875" style="3130" customWidth="1"/>
    <col min="2309" max="2309" width="6.25" style="3130" customWidth="1"/>
    <col min="2310" max="2312" width="13.875" style="3130" customWidth="1"/>
    <col min="2313" max="2313" width="66.375" style="3130" customWidth="1"/>
    <col min="2314" max="2314" width="7.875" style="3130" customWidth="1"/>
    <col min="2315" max="2315" width="67.375" style="3130" customWidth="1"/>
    <col min="2316" max="2316" width="7.875" style="3130" customWidth="1"/>
    <col min="2317" max="2318" width="9" style="3130"/>
    <col min="2319" max="2320" width="10.625" style="3130" customWidth="1"/>
    <col min="2321" max="2321" width="14.375" style="3130" customWidth="1"/>
    <col min="2322" max="2322" width="6.25" style="3130" customWidth="1"/>
    <col min="2323" max="2323" width="103.75" style="3130" customWidth="1"/>
    <col min="2324" max="2324" width="7.875" style="3130" customWidth="1"/>
    <col min="2325" max="2563" width="9" style="3130"/>
    <col min="2564" max="2564" width="122.875" style="3130" customWidth="1"/>
    <col min="2565" max="2565" width="6.25" style="3130" customWidth="1"/>
    <col min="2566" max="2568" width="13.875" style="3130" customWidth="1"/>
    <col min="2569" max="2569" width="66.375" style="3130" customWidth="1"/>
    <col min="2570" max="2570" width="7.875" style="3130" customWidth="1"/>
    <col min="2571" max="2571" width="67.375" style="3130" customWidth="1"/>
    <col min="2572" max="2572" width="7.875" style="3130" customWidth="1"/>
    <col min="2573" max="2574" width="9" style="3130"/>
    <col min="2575" max="2576" width="10.625" style="3130" customWidth="1"/>
    <col min="2577" max="2577" width="14.375" style="3130" customWidth="1"/>
    <col min="2578" max="2578" width="6.25" style="3130" customWidth="1"/>
    <col min="2579" max="2579" width="103.75" style="3130" customWidth="1"/>
    <col min="2580" max="2580" width="7.875" style="3130" customWidth="1"/>
    <col min="2581" max="2819" width="9" style="3130"/>
    <col min="2820" max="2820" width="122.875" style="3130" customWidth="1"/>
    <col min="2821" max="2821" width="6.25" style="3130" customWidth="1"/>
    <col min="2822" max="2824" width="13.875" style="3130" customWidth="1"/>
    <col min="2825" max="2825" width="66.375" style="3130" customWidth="1"/>
    <col min="2826" max="2826" width="7.875" style="3130" customWidth="1"/>
    <col min="2827" max="2827" width="67.375" style="3130" customWidth="1"/>
    <col min="2828" max="2828" width="7.875" style="3130" customWidth="1"/>
    <col min="2829" max="2830" width="9" style="3130"/>
    <col min="2831" max="2832" width="10.625" style="3130" customWidth="1"/>
    <col min="2833" max="2833" width="14.375" style="3130" customWidth="1"/>
    <col min="2834" max="2834" width="6.25" style="3130" customWidth="1"/>
    <col min="2835" max="2835" width="103.75" style="3130" customWidth="1"/>
    <col min="2836" max="2836" width="7.875" style="3130" customWidth="1"/>
    <col min="2837" max="3075" width="9" style="3130"/>
    <col min="3076" max="3076" width="122.875" style="3130" customWidth="1"/>
    <col min="3077" max="3077" width="6.25" style="3130" customWidth="1"/>
    <col min="3078" max="3080" width="13.875" style="3130" customWidth="1"/>
    <col min="3081" max="3081" width="66.375" style="3130" customWidth="1"/>
    <col min="3082" max="3082" width="7.875" style="3130" customWidth="1"/>
    <col min="3083" max="3083" width="67.375" style="3130" customWidth="1"/>
    <col min="3084" max="3084" width="7.875" style="3130" customWidth="1"/>
    <col min="3085" max="3086" width="9" style="3130"/>
    <col min="3087" max="3088" width="10.625" style="3130" customWidth="1"/>
    <col min="3089" max="3089" width="14.375" style="3130" customWidth="1"/>
    <col min="3090" max="3090" width="6.25" style="3130" customWidth="1"/>
    <col min="3091" max="3091" width="103.75" style="3130" customWidth="1"/>
    <col min="3092" max="3092" width="7.875" style="3130" customWidth="1"/>
    <col min="3093" max="3331" width="9" style="3130"/>
    <col min="3332" max="3332" width="122.875" style="3130" customWidth="1"/>
    <col min="3333" max="3333" width="6.25" style="3130" customWidth="1"/>
    <col min="3334" max="3336" width="13.875" style="3130" customWidth="1"/>
    <col min="3337" max="3337" width="66.375" style="3130" customWidth="1"/>
    <col min="3338" max="3338" width="7.875" style="3130" customWidth="1"/>
    <col min="3339" max="3339" width="67.375" style="3130" customWidth="1"/>
    <col min="3340" max="3340" width="7.875" style="3130" customWidth="1"/>
    <col min="3341" max="3342" width="9" style="3130"/>
    <col min="3343" max="3344" width="10.625" style="3130" customWidth="1"/>
    <col min="3345" max="3345" width="14.375" style="3130" customWidth="1"/>
    <col min="3346" max="3346" width="6.25" style="3130" customWidth="1"/>
    <col min="3347" max="3347" width="103.75" style="3130" customWidth="1"/>
    <col min="3348" max="3348" width="7.875" style="3130" customWidth="1"/>
    <col min="3349" max="3587" width="9" style="3130"/>
    <col min="3588" max="3588" width="122.875" style="3130" customWidth="1"/>
    <col min="3589" max="3589" width="6.25" style="3130" customWidth="1"/>
    <col min="3590" max="3592" width="13.875" style="3130" customWidth="1"/>
    <col min="3593" max="3593" width="66.375" style="3130" customWidth="1"/>
    <col min="3594" max="3594" width="7.875" style="3130" customWidth="1"/>
    <col min="3595" max="3595" width="67.375" style="3130" customWidth="1"/>
    <col min="3596" max="3596" width="7.875" style="3130" customWidth="1"/>
    <col min="3597" max="3598" width="9" style="3130"/>
    <col min="3599" max="3600" width="10.625" style="3130" customWidth="1"/>
    <col min="3601" max="3601" width="14.375" style="3130" customWidth="1"/>
    <col min="3602" max="3602" width="6.25" style="3130" customWidth="1"/>
    <col min="3603" max="3603" width="103.75" style="3130" customWidth="1"/>
    <col min="3604" max="3604" width="7.875" style="3130" customWidth="1"/>
    <col min="3605" max="3843" width="9" style="3130"/>
    <col min="3844" max="3844" width="122.875" style="3130" customWidth="1"/>
    <col min="3845" max="3845" width="6.25" style="3130" customWidth="1"/>
    <col min="3846" max="3848" width="13.875" style="3130" customWidth="1"/>
    <col min="3849" max="3849" width="66.375" style="3130" customWidth="1"/>
    <col min="3850" max="3850" width="7.875" style="3130" customWidth="1"/>
    <col min="3851" max="3851" width="67.375" style="3130" customWidth="1"/>
    <col min="3852" max="3852" width="7.875" style="3130" customWidth="1"/>
    <col min="3853" max="3854" width="9" style="3130"/>
    <col min="3855" max="3856" width="10.625" style="3130" customWidth="1"/>
    <col min="3857" max="3857" width="14.375" style="3130" customWidth="1"/>
    <col min="3858" max="3858" width="6.25" style="3130" customWidth="1"/>
    <col min="3859" max="3859" width="103.75" style="3130" customWidth="1"/>
    <col min="3860" max="3860" width="7.875" style="3130" customWidth="1"/>
    <col min="3861" max="4099" width="9" style="3130"/>
    <col min="4100" max="4100" width="122.875" style="3130" customWidth="1"/>
    <col min="4101" max="4101" width="6.25" style="3130" customWidth="1"/>
    <col min="4102" max="4104" width="13.875" style="3130" customWidth="1"/>
    <col min="4105" max="4105" width="66.375" style="3130" customWidth="1"/>
    <col min="4106" max="4106" width="7.875" style="3130" customWidth="1"/>
    <col min="4107" max="4107" width="67.375" style="3130" customWidth="1"/>
    <col min="4108" max="4108" width="7.875" style="3130" customWidth="1"/>
    <col min="4109" max="4110" width="9" style="3130"/>
    <col min="4111" max="4112" width="10.625" style="3130" customWidth="1"/>
    <col min="4113" max="4113" width="14.375" style="3130" customWidth="1"/>
    <col min="4114" max="4114" width="6.25" style="3130" customWidth="1"/>
    <col min="4115" max="4115" width="103.75" style="3130" customWidth="1"/>
    <col min="4116" max="4116" width="7.875" style="3130" customWidth="1"/>
    <col min="4117" max="4355" width="9" style="3130"/>
    <col min="4356" max="4356" width="122.875" style="3130" customWidth="1"/>
    <col min="4357" max="4357" width="6.25" style="3130" customWidth="1"/>
    <col min="4358" max="4360" width="13.875" style="3130" customWidth="1"/>
    <col min="4361" max="4361" width="66.375" style="3130" customWidth="1"/>
    <col min="4362" max="4362" width="7.875" style="3130" customWidth="1"/>
    <col min="4363" max="4363" width="67.375" style="3130" customWidth="1"/>
    <col min="4364" max="4364" width="7.875" style="3130" customWidth="1"/>
    <col min="4365" max="4366" width="9" style="3130"/>
    <col min="4367" max="4368" width="10.625" style="3130" customWidth="1"/>
    <col min="4369" max="4369" width="14.375" style="3130" customWidth="1"/>
    <col min="4370" max="4370" width="6.25" style="3130" customWidth="1"/>
    <col min="4371" max="4371" width="103.75" style="3130" customWidth="1"/>
    <col min="4372" max="4372" width="7.875" style="3130" customWidth="1"/>
    <col min="4373" max="4611" width="9" style="3130"/>
    <col min="4612" max="4612" width="122.875" style="3130" customWidth="1"/>
    <col min="4613" max="4613" width="6.25" style="3130" customWidth="1"/>
    <col min="4614" max="4616" width="13.875" style="3130" customWidth="1"/>
    <col min="4617" max="4617" width="66.375" style="3130" customWidth="1"/>
    <col min="4618" max="4618" width="7.875" style="3130" customWidth="1"/>
    <col min="4619" max="4619" width="67.375" style="3130" customWidth="1"/>
    <col min="4620" max="4620" width="7.875" style="3130" customWidth="1"/>
    <col min="4621" max="4622" width="9" style="3130"/>
    <col min="4623" max="4624" width="10.625" style="3130" customWidth="1"/>
    <col min="4625" max="4625" width="14.375" style="3130" customWidth="1"/>
    <col min="4626" max="4626" width="6.25" style="3130" customWidth="1"/>
    <col min="4627" max="4627" width="103.75" style="3130" customWidth="1"/>
    <col min="4628" max="4628" width="7.875" style="3130" customWidth="1"/>
    <col min="4629" max="4867" width="9" style="3130"/>
    <col min="4868" max="4868" width="122.875" style="3130" customWidth="1"/>
    <col min="4869" max="4869" width="6.25" style="3130" customWidth="1"/>
    <col min="4870" max="4872" width="13.875" style="3130" customWidth="1"/>
    <col min="4873" max="4873" width="66.375" style="3130" customWidth="1"/>
    <col min="4874" max="4874" width="7.875" style="3130" customWidth="1"/>
    <col min="4875" max="4875" width="67.375" style="3130" customWidth="1"/>
    <col min="4876" max="4876" width="7.875" style="3130" customWidth="1"/>
    <col min="4877" max="4878" width="9" style="3130"/>
    <col min="4879" max="4880" width="10.625" style="3130" customWidth="1"/>
    <col min="4881" max="4881" width="14.375" style="3130" customWidth="1"/>
    <col min="4882" max="4882" width="6.25" style="3130" customWidth="1"/>
    <col min="4883" max="4883" width="103.75" style="3130" customWidth="1"/>
    <col min="4884" max="4884" width="7.875" style="3130" customWidth="1"/>
    <col min="4885" max="5123" width="9" style="3130"/>
    <col min="5124" max="5124" width="122.875" style="3130" customWidth="1"/>
    <col min="5125" max="5125" width="6.25" style="3130" customWidth="1"/>
    <col min="5126" max="5128" width="13.875" style="3130" customWidth="1"/>
    <col min="5129" max="5129" width="66.375" style="3130" customWidth="1"/>
    <col min="5130" max="5130" width="7.875" style="3130" customWidth="1"/>
    <col min="5131" max="5131" width="67.375" style="3130" customWidth="1"/>
    <col min="5132" max="5132" width="7.875" style="3130" customWidth="1"/>
    <col min="5133" max="5134" width="9" style="3130"/>
    <col min="5135" max="5136" width="10.625" style="3130" customWidth="1"/>
    <col min="5137" max="5137" width="14.375" style="3130" customWidth="1"/>
    <col min="5138" max="5138" width="6.25" style="3130" customWidth="1"/>
    <col min="5139" max="5139" width="103.75" style="3130" customWidth="1"/>
    <col min="5140" max="5140" width="7.875" style="3130" customWidth="1"/>
    <col min="5141" max="5379" width="9" style="3130"/>
    <col min="5380" max="5380" width="122.875" style="3130" customWidth="1"/>
    <col min="5381" max="5381" width="6.25" style="3130" customWidth="1"/>
    <col min="5382" max="5384" width="13.875" style="3130" customWidth="1"/>
    <col min="5385" max="5385" width="66.375" style="3130" customWidth="1"/>
    <col min="5386" max="5386" width="7.875" style="3130" customWidth="1"/>
    <col min="5387" max="5387" width="67.375" style="3130" customWidth="1"/>
    <col min="5388" max="5388" width="7.875" style="3130" customWidth="1"/>
    <col min="5389" max="5390" width="9" style="3130"/>
    <col min="5391" max="5392" width="10.625" style="3130" customWidth="1"/>
    <col min="5393" max="5393" width="14.375" style="3130" customWidth="1"/>
    <col min="5394" max="5394" width="6.25" style="3130" customWidth="1"/>
    <col min="5395" max="5395" width="103.75" style="3130" customWidth="1"/>
    <col min="5396" max="5396" width="7.875" style="3130" customWidth="1"/>
    <col min="5397" max="5635" width="9" style="3130"/>
    <col min="5636" max="5636" width="122.875" style="3130" customWidth="1"/>
    <col min="5637" max="5637" width="6.25" style="3130" customWidth="1"/>
    <col min="5638" max="5640" width="13.875" style="3130" customWidth="1"/>
    <col min="5641" max="5641" width="66.375" style="3130" customWidth="1"/>
    <col min="5642" max="5642" width="7.875" style="3130" customWidth="1"/>
    <col min="5643" max="5643" width="67.375" style="3130" customWidth="1"/>
    <col min="5644" max="5644" width="7.875" style="3130" customWidth="1"/>
    <col min="5645" max="5646" width="9" style="3130"/>
    <col min="5647" max="5648" width="10.625" style="3130" customWidth="1"/>
    <col min="5649" max="5649" width="14.375" style="3130" customWidth="1"/>
    <col min="5650" max="5650" width="6.25" style="3130" customWidth="1"/>
    <col min="5651" max="5651" width="103.75" style="3130" customWidth="1"/>
    <col min="5652" max="5652" width="7.875" style="3130" customWidth="1"/>
    <col min="5653" max="5891" width="9" style="3130"/>
    <col min="5892" max="5892" width="122.875" style="3130" customWidth="1"/>
    <col min="5893" max="5893" width="6.25" style="3130" customWidth="1"/>
    <col min="5894" max="5896" width="13.875" style="3130" customWidth="1"/>
    <col min="5897" max="5897" width="66.375" style="3130" customWidth="1"/>
    <col min="5898" max="5898" width="7.875" style="3130" customWidth="1"/>
    <col min="5899" max="5899" width="67.375" style="3130" customWidth="1"/>
    <col min="5900" max="5900" width="7.875" style="3130" customWidth="1"/>
    <col min="5901" max="5902" width="9" style="3130"/>
    <col min="5903" max="5904" width="10.625" style="3130" customWidth="1"/>
    <col min="5905" max="5905" width="14.375" style="3130" customWidth="1"/>
    <col min="5906" max="5906" width="6.25" style="3130" customWidth="1"/>
    <col min="5907" max="5907" width="103.75" style="3130" customWidth="1"/>
    <col min="5908" max="5908" width="7.875" style="3130" customWidth="1"/>
    <col min="5909" max="6147" width="9" style="3130"/>
    <col min="6148" max="6148" width="122.875" style="3130" customWidth="1"/>
    <col min="6149" max="6149" width="6.25" style="3130" customWidth="1"/>
    <col min="6150" max="6152" width="13.875" style="3130" customWidth="1"/>
    <col min="6153" max="6153" width="66.375" style="3130" customWidth="1"/>
    <col min="6154" max="6154" width="7.875" style="3130" customWidth="1"/>
    <col min="6155" max="6155" width="67.375" style="3130" customWidth="1"/>
    <col min="6156" max="6156" width="7.875" style="3130" customWidth="1"/>
    <col min="6157" max="6158" width="9" style="3130"/>
    <col min="6159" max="6160" width="10.625" style="3130" customWidth="1"/>
    <col min="6161" max="6161" width="14.375" style="3130" customWidth="1"/>
    <col min="6162" max="6162" width="6.25" style="3130" customWidth="1"/>
    <col min="6163" max="6163" width="103.75" style="3130" customWidth="1"/>
    <col min="6164" max="6164" width="7.875" style="3130" customWidth="1"/>
    <col min="6165" max="6403" width="9" style="3130"/>
    <col min="6404" max="6404" width="122.875" style="3130" customWidth="1"/>
    <col min="6405" max="6405" width="6.25" style="3130" customWidth="1"/>
    <col min="6406" max="6408" width="13.875" style="3130" customWidth="1"/>
    <col min="6409" max="6409" width="66.375" style="3130" customWidth="1"/>
    <col min="6410" max="6410" width="7.875" style="3130" customWidth="1"/>
    <col min="6411" max="6411" width="67.375" style="3130" customWidth="1"/>
    <col min="6412" max="6412" width="7.875" style="3130" customWidth="1"/>
    <col min="6413" max="6414" width="9" style="3130"/>
    <col min="6415" max="6416" width="10.625" style="3130" customWidth="1"/>
    <col min="6417" max="6417" width="14.375" style="3130" customWidth="1"/>
    <col min="6418" max="6418" width="6.25" style="3130" customWidth="1"/>
    <col min="6419" max="6419" width="103.75" style="3130" customWidth="1"/>
    <col min="6420" max="6420" width="7.875" style="3130" customWidth="1"/>
    <col min="6421" max="6659" width="9" style="3130"/>
    <col min="6660" max="6660" width="122.875" style="3130" customWidth="1"/>
    <col min="6661" max="6661" width="6.25" style="3130" customWidth="1"/>
    <col min="6662" max="6664" width="13.875" style="3130" customWidth="1"/>
    <col min="6665" max="6665" width="66.375" style="3130" customWidth="1"/>
    <col min="6666" max="6666" width="7.875" style="3130" customWidth="1"/>
    <col min="6667" max="6667" width="67.375" style="3130" customWidth="1"/>
    <col min="6668" max="6668" width="7.875" style="3130" customWidth="1"/>
    <col min="6669" max="6670" width="9" style="3130"/>
    <col min="6671" max="6672" width="10.625" style="3130" customWidth="1"/>
    <col min="6673" max="6673" width="14.375" style="3130" customWidth="1"/>
    <col min="6674" max="6674" width="6.25" style="3130" customWidth="1"/>
    <col min="6675" max="6675" width="103.75" style="3130" customWidth="1"/>
    <col min="6676" max="6676" width="7.875" style="3130" customWidth="1"/>
    <col min="6677" max="6915" width="9" style="3130"/>
    <col min="6916" max="6916" width="122.875" style="3130" customWidth="1"/>
    <col min="6917" max="6917" width="6.25" style="3130" customWidth="1"/>
    <col min="6918" max="6920" width="13.875" style="3130" customWidth="1"/>
    <col min="6921" max="6921" width="66.375" style="3130" customWidth="1"/>
    <col min="6922" max="6922" width="7.875" style="3130" customWidth="1"/>
    <col min="6923" max="6923" width="67.375" style="3130" customWidth="1"/>
    <col min="6924" max="6924" width="7.875" style="3130" customWidth="1"/>
    <col min="6925" max="6926" width="9" style="3130"/>
    <col min="6927" max="6928" width="10.625" style="3130" customWidth="1"/>
    <col min="6929" max="6929" width="14.375" style="3130" customWidth="1"/>
    <col min="6930" max="6930" width="6.25" style="3130" customWidth="1"/>
    <col min="6931" max="6931" width="103.75" style="3130" customWidth="1"/>
    <col min="6932" max="6932" width="7.875" style="3130" customWidth="1"/>
    <col min="6933" max="7171" width="9" style="3130"/>
    <col min="7172" max="7172" width="122.875" style="3130" customWidth="1"/>
    <col min="7173" max="7173" width="6.25" style="3130" customWidth="1"/>
    <col min="7174" max="7176" width="13.875" style="3130" customWidth="1"/>
    <col min="7177" max="7177" width="66.375" style="3130" customWidth="1"/>
    <col min="7178" max="7178" width="7.875" style="3130" customWidth="1"/>
    <col min="7179" max="7179" width="67.375" style="3130" customWidth="1"/>
    <col min="7180" max="7180" width="7.875" style="3130" customWidth="1"/>
    <col min="7181" max="7182" width="9" style="3130"/>
    <col min="7183" max="7184" width="10.625" style="3130" customWidth="1"/>
    <col min="7185" max="7185" width="14.375" style="3130" customWidth="1"/>
    <col min="7186" max="7186" width="6.25" style="3130" customWidth="1"/>
    <col min="7187" max="7187" width="103.75" style="3130" customWidth="1"/>
    <col min="7188" max="7188" width="7.875" style="3130" customWidth="1"/>
    <col min="7189" max="7427" width="9" style="3130"/>
    <col min="7428" max="7428" width="122.875" style="3130" customWidth="1"/>
    <col min="7429" max="7429" width="6.25" style="3130" customWidth="1"/>
    <col min="7430" max="7432" width="13.875" style="3130" customWidth="1"/>
    <col min="7433" max="7433" width="66.375" style="3130" customWidth="1"/>
    <col min="7434" max="7434" width="7.875" style="3130" customWidth="1"/>
    <col min="7435" max="7435" width="67.375" style="3130" customWidth="1"/>
    <col min="7436" max="7436" width="7.875" style="3130" customWidth="1"/>
    <col min="7437" max="7438" width="9" style="3130"/>
    <col min="7439" max="7440" width="10.625" style="3130" customWidth="1"/>
    <col min="7441" max="7441" width="14.375" style="3130" customWidth="1"/>
    <col min="7442" max="7442" width="6.25" style="3130" customWidth="1"/>
    <col min="7443" max="7443" width="103.75" style="3130" customWidth="1"/>
    <col min="7444" max="7444" width="7.875" style="3130" customWidth="1"/>
    <col min="7445" max="7683" width="9" style="3130"/>
    <col min="7684" max="7684" width="122.875" style="3130" customWidth="1"/>
    <col min="7685" max="7685" width="6.25" style="3130" customWidth="1"/>
    <col min="7686" max="7688" width="13.875" style="3130" customWidth="1"/>
    <col min="7689" max="7689" width="66.375" style="3130" customWidth="1"/>
    <col min="7690" max="7690" width="7.875" style="3130" customWidth="1"/>
    <col min="7691" max="7691" width="67.375" style="3130" customWidth="1"/>
    <col min="7692" max="7692" width="7.875" style="3130" customWidth="1"/>
    <col min="7693" max="7694" width="9" style="3130"/>
    <col min="7695" max="7696" width="10.625" style="3130" customWidth="1"/>
    <col min="7697" max="7697" width="14.375" style="3130" customWidth="1"/>
    <col min="7698" max="7698" width="6.25" style="3130" customWidth="1"/>
    <col min="7699" max="7699" width="103.75" style="3130" customWidth="1"/>
    <col min="7700" max="7700" width="7.875" style="3130" customWidth="1"/>
    <col min="7701" max="7939" width="9" style="3130"/>
    <col min="7940" max="7940" width="122.875" style="3130" customWidth="1"/>
    <col min="7941" max="7941" width="6.25" style="3130" customWidth="1"/>
    <col min="7942" max="7944" width="13.875" style="3130" customWidth="1"/>
    <col min="7945" max="7945" width="66.375" style="3130" customWidth="1"/>
    <col min="7946" max="7946" width="7.875" style="3130" customWidth="1"/>
    <col min="7947" max="7947" width="67.375" style="3130" customWidth="1"/>
    <col min="7948" max="7948" width="7.875" style="3130" customWidth="1"/>
    <col min="7949" max="7950" width="9" style="3130"/>
    <col min="7951" max="7952" width="10.625" style="3130" customWidth="1"/>
    <col min="7953" max="7953" width="14.375" style="3130" customWidth="1"/>
    <col min="7954" max="7954" width="6.25" style="3130" customWidth="1"/>
    <col min="7955" max="7955" width="103.75" style="3130" customWidth="1"/>
    <col min="7956" max="7956" width="7.875" style="3130" customWidth="1"/>
    <col min="7957" max="8195" width="9" style="3130"/>
    <col min="8196" max="8196" width="122.875" style="3130" customWidth="1"/>
    <col min="8197" max="8197" width="6.25" style="3130" customWidth="1"/>
    <col min="8198" max="8200" width="13.875" style="3130" customWidth="1"/>
    <col min="8201" max="8201" width="66.375" style="3130" customWidth="1"/>
    <col min="8202" max="8202" width="7.875" style="3130" customWidth="1"/>
    <col min="8203" max="8203" width="67.375" style="3130" customWidth="1"/>
    <col min="8204" max="8204" width="7.875" style="3130" customWidth="1"/>
    <col min="8205" max="8206" width="9" style="3130"/>
    <col min="8207" max="8208" width="10.625" style="3130" customWidth="1"/>
    <col min="8209" max="8209" width="14.375" style="3130" customWidth="1"/>
    <col min="8210" max="8210" width="6.25" style="3130" customWidth="1"/>
    <col min="8211" max="8211" width="103.75" style="3130" customWidth="1"/>
    <col min="8212" max="8212" width="7.875" style="3130" customWidth="1"/>
    <col min="8213" max="8451" width="9" style="3130"/>
    <col min="8452" max="8452" width="122.875" style="3130" customWidth="1"/>
    <col min="8453" max="8453" width="6.25" style="3130" customWidth="1"/>
    <col min="8454" max="8456" width="13.875" style="3130" customWidth="1"/>
    <col min="8457" max="8457" width="66.375" style="3130" customWidth="1"/>
    <col min="8458" max="8458" width="7.875" style="3130" customWidth="1"/>
    <col min="8459" max="8459" width="67.375" style="3130" customWidth="1"/>
    <col min="8460" max="8460" width="7.875" style="3130" customWidth="1"/>
    <col min="8461" max="8462" width="9" style="3130"/>
    <col min="8463" max="8464" width="10.625" style="3130" customWidth="1"/>
    <col min="8465" max="8465" width="14.375" style="3130" customWidth="1"/>
    <col min="8466" max="8466" width="6.25" style="3130" customWidth="1"/>
    <col min="8467" max="8467" width="103.75" style="3130" customWidth="1"/>
    <col min="8468" max="8468" width="7.875" style="3130" customWidth="1"/>
    <col min="8469" max="8707" width="9" style="3130"/>
    <col min="8708" max="8708" width="122.875" style="3130" customWidth="1"/>
    <col min="8709" max="8709" width="6.25" style="3130" customWidth="1"/>
    <col min="8710" max="8712" width="13.875" style="3130" customWidth="1"/>
    <col min="8713" max="8713" width="66.375" style="3130" customWidth="1"/>
    <col min="8714" max="8714" width="7.875" style="3130" customWidth="1"/>
    <col min="8715" max="8715" width="67.375" style="3130" customWidth="1"/>
    <col min="8716" max="8716" width="7.875" style="3130" customWidth="1"/>
    <col min="8717" max="8718" width="9" style="3130"/>
    <col min="8719" max="8720" width="10.625" style="3130" customWidth="1"/>
    <col min="8721" max="8721" width="14.375" style="3130" customWidth="1"/>
    <col min="8722" max="8722" width="6.25" style="3130" customWidth="1"/>
    <col min="8723" max="8723" width="103.75" style="3130" customWidth="1"/>
    <col min="8724" max="8724" width="7.875" style="3130" customWidth="1"/>
    <col min="8725" max="8963" width="9" style="3130"/>
    <col min="8964" max="8964" width="122.875" style="3130" customWidth="1"/>
    <col min="8965" max="8965" width="6.25" style="3130" customWidth="1"/>
    <col min="8966" max="8968" width="13.875" style="3130" customWidth="1"/>
    <col min="8969" max="8969" width="66.375" style="3130" customWidth="1"/>
    <col min="8970" max="8970" width="7.875" style="3130" customWidth="1"/>
    <col min="8971" max="8971" width="67.375" style="3130" customWidth="1"/>
    <col min="8972" max="8972" width="7.875" style="3130" customWidth="1"/>
    <col min="8973" max="8974" width="9" style="3130"/>
    <col min="8975" max="8976" width="10.625" style="3130" customWidth="1"/>
    <col min="8977" max="8977" width="14.375" style="3130" customWidth="1"/>
    <col min="8978" max="8978" width="6.25" style="3130" customWidth="1"/>
    <col min="8979" max="8979" width="103.75" style="3130" customWidth="1"/>
    <col min="8980" max="8980" width="7.875" style="3130" customWidth="1"/>
    <col min="8981" max="9219" width="9" style="3130"/>
    <col min="9220" max="9220" width="122.875" style="3130" customWidth="1"/>
    <col min="9221" max="9221" width="6.25" style="3130" customWidth="1"/>
    <col min="9222" max="9224" width="13.875" style="3130" customWidth="1"/>
    <col min="9225" max="9225" width="66.375" style="3130" customWidth="1"/>
    <col min="9226" max="9226" width="7.875" style="3130" customWidth="1"/>
    <col min="9227" max="9227" width="67.375" style="3130" customWidth="1"/>
    <col min="9228" max="9228" width="7.875" style="3130" customWidth="1"/>
    <col min="9229" max="9230" width="9" style="3130"/>
    <col min="9231" max="9232" width="10.625" style="3130" customWidth="1"/>
    <col min="9233" max="9233" width="14.375" style="3130" customWidth="1"/>
    <col min="9234" max="9234" width="6.25" style="3130" customWidth="1"/>
    <col min="9235" max="9235" width="103.75" style="3130" customWidth="1"/>
    <col min="9236" max="9236" width="7.875" style="3130" customWidth="1"/>
    <col min="9237" max="9475" width="9" style="3130"/>
    <col min="9476" max="9476" width="122.875" style="3130" customWidth="1"/>
    <col min="9477" max="9477" width="6.25" style="3130" customWidth="1"/>
    <col min="9478" max="9480" width="13.875" style="3130" customWidth="1"/>
    <col min="9481" max="9481" width="66.375" style="3130" customWidth="1"/>
    <col min="9482" max="9482" width="7.875" style="3130" customWidth="1"/>
    <col min="9483" max="9483" width="67.375" style="3130" customWidth="1"/>
    <col min="9484" max="9484" width="7.875" style="3130" customWidth="1"/>
    <col min="9485" max="9486" width="9" style="3130"/>
    <col min="9487" max="9488" width="10.625" style="3130" customWidth="1"/>
    <col min="9489" max="9489" width="14.375" style="3130" customWidth="1"/>
    <col min="9490" max="9490" width="6.25" style="3130" customWidth="1"/>
    <col min="9491" max="9491" width="103.75" style="3130" customWidth="1"/>
    <col min="9492" max="9492" width="7.875" style="3130" customWidth="1"/>
    <col min="9493" max="9731" width="9" style="3130"/>
    <col min="9732" max="9732" width="122.875" style="3130" customWidth="1"/>
    <col min="9733" max="9733" width="6.25" style="3130" customWidth="1"/>
    <col min="9734" max="9736" width="13.875" style="3130" customWidth="1"/>
    <col min="9737" max="9737" width="66.375" style="3130" customWidth="1"/>
    <col min="9738" max="9738" width="7.875" style="3130" customWidth="1"/>
    <col min="9739" max="9739" width="67.375" style="3130" customWidth="1"/>
    <col min="9740" max="9740" width="7.875" style="3130" customWidth="1"/>
    <col min="9741" max="9742" width="9" style="3130"/>
    <col min="9743" max="9744" width="10.625" style="3130" customWidth="1"/>
    <col min="9745" max="9745" width="14.375" style="3130" customWidth="1"/>
    <col min="9746" max="9746" width="6.25" style="3130" customWidth="1"/>
    <col min="9747" max="9747" width="103.75" style="3130" customWidth="1"/>
    <col min="9748" max="9748" width="7.875" style="3130" customWidth="1"/>
    <col min="9749" max="9987" width="9" style="3130"/>
    <col min="9988" max="9988" width="122.875" style="3130" customWidth="1"/>
    <col min="9989" max="9989" width="6.25" style="3130" customWidth="1"/>
    <col min="9990" max="9992" width="13.875" style="3130" customWidth="1"/>
    <col min="9993" max="9993" width="66.375" style="3130" customWidth="1"/>
    <col min="9994" max="9994" width="7.875" style="3130" customWidth="1"/>
    <col min="9995" max="9995" width="67.375" style="3130" customWidth="1"/>
    <col min="9996" max="9996" width="7.875" style="3130" customWidth="1"/>
    <col min="9997" max="9998" width="9" style="3130"/>
    <col min="9999" max="10000" width="10.625" style="3130" customWidth="1"/>
    <col min="10001" max="10001" width="14.375" style="3130" customWidth="1"/>
    <col min="10002" max="10002" width="6.25" style="3130" customWidth="1"/>
    <col min="10003" max="10003" width="103.75" style="3130" customWidth="1"/>
    <col min="10004" max="10004" width="7.875" style="3130" customWidth="1"/>
    <col min="10005" max="10243" width="9" style="3130"/>
    <col min="10244" max="10244" width="122.875" style="3130" customWidth="1"/>
    <col min="10245" max="10245" width="6.25" style="3130" customWidth="1"/>
    <col min="10246" max="10248" width="13.875" style="3130" customWidth="1"/>
    <col min="10249" max="10249" width="66.375" style="3130" customWidth="1"/>
    <col min="10250" max="10250" width="7.875" style="3130" customWidth="1"/>
    <col min="10251" max="10251" width="67.375" style="3130" customWidth="1"/>
    <col min="10252" max="10252" width="7.875" style="3130" customWidth="1"/>
    <col min="10253" max="10254" width="9" style="3130"/>
    <col min="10255" max="10256" width="10.625" style="3130" customWidth="1"/>
    <col min="10257" max="10257" width="14.375" style="3130" customWidth="1"/>
    <col min="10258" max="10258" width="6.25" style="3130" customWidth="1"/>
    <col min="10259" max="10259" width="103.75" style="3130" customWidth="1"/>
    <col min="10260" max="10260" width="7.875" style="3130" customWidth="1"/>
    <col min="10261" max="10499" width="9" style="3130"/>
    <col min="10500" max="10500" width="122.875" style="3130" customWidth="1"/>
    <col min="10501" max="10501" width="6.25" style="3130" customWidth="1"/>
    <col min="10502" max="10504" width="13.875" style="3130" customWidth="1"/>
    <col min="10505" max="10505" width="66.375" style="3130" customWidth="1"/>
    <col min="10506" max="10506" width="7.875" style="3130" customWidth="1"/>
    <col min="10507" max="10507" width="67.375" style="3130" customWidth="1"/>
    <col min="10508" max="10508" width="7.875" style="3130" customWidth="1"/>
    <col min="10509" max="10510" width="9" style="3130"/>
    <col min="10511" max="10512" width="10.625" style="3130" customWidth="1"/>
    <col min="10513" max="10513" width="14.375" style="3130" customWidth="1"/>
    <col min="10514" max="10514" width="6.25" style="3130" customWidth="1"/>
    <col min="10515" max="10515" width="103.75" style="3130" customWidth="1"/>
    <col min="10516" max="10516" width="7.875" style="3130" customWidth="1"/>
    <col min="10517" max="10755" width="9" style="3130"/>
    <col min="10756" max="10756" width="122.875" style="3130" customWidth="1"/>
    <col min="10757" max="10757" width="6.25" style="3130" customWidth="1"/>
    <col min="10758" max="10760" width="13.875" style="3130" customWidth="1"/>
    <col min="10761" max="10761" width="66.375" style="3130" customWidth="1"/>
    <col min="10762" max="10762" width="7.875" style="3130" customWidth="1"/>
    <col min="10763" max="10763" width="67.375" style="3130" customWidth="1"/>
    <col min="10764" max="10764" width="7.875" style="3130" customWidth="1"/>
    <col min="10765" max="10766" width="9" style="3130"/>
    <col min="10767" max="10768" width="10.625" style="3130" customWidth="1"/>
    <col min="10769" max="10769" width="14.375" style="3130" customWidth="1"/>
    <col min="10770" max="10770" width="6.25" style="3130" customWidth="1"/>
    <col min="10771" max="10771" width="103.75" style="3130" customWidth="1"/>
    <col min="10772" max="10772" width="7.875" style="3130" customWidth="1"/>
    <col min="10773" max="11011" width="9" style="3130"/>
    <col min="11012" max="11012" width="122.875" style="3130" customWidth="1"/>
    <col min="11013" max="11013" width="6.25" style="3130" customWidth="1"/>
    <col min="11014" max="11016" width="13.875" style="3130" customWidth="1"/>
    <col min="11017" max="11017" width="66.375" style="3130" customWidth="1"/>
    <col min="11018" max="11018" width="7.875" style="3130" customWidth="1"/>
    <col min="11019" max="11019" width="67.375" style="3130" customWidth="1"/>
    <col min="11020" max="11020" width="7.875" style="3130" customWidth="1"/>
    <col min="11021" max="11022" width="9" style="3130"/>
    <col min="11023" max="11024" width="10.625" style="3130" customWidth="1"/>
    <col min="11025" max="11025" width="14.375" style="3130" customWidth="1"/>
    <col min="11026" max="11026" width="6.25" style="3130" customWidth="1"/>
    <col min="11027" max="11027" width="103.75" style="3130" customWidth="1"/>
    <col min="11028" max="11028" width="7.875" style="3130" customWidth="1"/>
    <col min="11029" max="11267" width="9" style="3130"/>
    <col min="11268" max="11268" width="122.875" style="3130" customWidth="1"/>
    <col min="11269" max="11269" width="6.25" style="3130" customWidth="1"/>
    <col min="11270" max="11272" width="13.875" style="3130" customWidth="1"/>
    <col min="11273" max="11273" width="66.375" style="3130" customWidth="1"/>
    <col min="11274" max="11274" width="7.875" style="3130" customWidth="1"/>
    <col min="11275" max="11275" width="67.375" style="3130" customWidth="1"/>
    <col min="11276" max="11276" width="7.875" style="3130" customWidth="1"/>
    <col min="11277" max="11278" width="9" style="3130"/>
    <col min="11279" max="11280" width="10.625" style="3130" customWidth="1"/>
    <col min="11281" max="11281" width="14.375" style="3130" customWidth="1"/>
    <col min="11282" max="11282" width="6.25" style="3130" customWidth="1"/>
    <col min="11283" max="11283" width="103.75" style="3130" customWidth="1"/>
    <col min="11284" max="11284" width="7.875" style="3130" customWidth="1"/>
    <col min="11285" max="11523" width="9" style="3130"/>
    <col min="11524" max="11524" width="122.875" style="3130" customWidth="1"/>
    <col min="11525" max="11525" width="6.25" style="3130" customWidth="1"/>
    <col min="11526" max="11528" width="13.875" style="3130" customWidth="1"/>
    <col min="11529" max="11529" width="66.375" style="3130" customWidth="1"/>
    <col min="11530" max="11530" width="7.875" style="3130" customWidth="1"/>
    <col min="11531" max="11531" width="67.375" style="3130" customWidth="1"/>
    <col min="11532" max="11532" width="7.875" style="3130" customWidth="1"/>
    <col min="11533" max="11534" width="9" style="3130"/>
    <col min="11535" max="11536" width="10.625" style="3130" customWidth="1"/>
    <col min="11537" max="11537" width="14.375" style="3130" customWidth="1"/>
    <col min="11538" max="11538" width="6.25" style="3130" customWidth="1"/>
    <col min="11539" max="11539" width="103.75" style="3130" customWidth="1"/>
    <col min="11540" max="11540" width="7.875" style="3130" customWidth="1"/>
    <col min="11541" max="11779" width="9" style="3130"/>
    <col min="11780" max="11780" width="122.875" style="3130" customWidth="1"/>
    <col min="11781" max="11781" width="6.25" style="3130" customWidth="1"/>
    <col min="11782" max="11784" width="13.875" style="3130" customWidth="1"/>
    <col min="11785" max="11785" width="66.375" style="3130" customWidth="1"/>
    <col min="11786" max="11786" width="7.875" style="3130" customWidth="1"/>
    <col min="11787" max="11787" width="67.375" style="3130" customWidth="1"/>
    <col min="11788" max="11788" width="7.875" style="3130" customWidth="1"/>
    <col min="11789" max="11790" width="9" style="3130"/>
    <col min="11791" max="11792" width="10.625" style="3130" customWidth="1"/>
    <col min="11793" max="11793" width="14.375" style="3130" customWidth="1"/>
    <col min="11794" max="11794" width="6.25" style="3130" customWidth="1"/>
    <col min="11795" max="11795" width="103.75" style="3130" customWidth="1"/>
    <col min="11796" max="11796" width="7.875" style="3130" customWidth="1"/>
    <col min="11797" max="12035" width="9" style="3130"/>
    <col min="12036" max="12036" width="122.875" style="3130" customWidth="1"/>
    <col min="12037" max="12037" width="6.25" style="3130" customWidth="1"/>
    <col min="12038" max="12040" width="13.875" style="3130" customWidth="1"/>
    <col min="12041" max="12041" width="66.375" style="3130" customWidth="1"/>
    <col min="12042" max="12042" width="7.875" style="3130" customWidth="1"/>
    <col min="12043" max="12043" width="67.375" style="3130" customWidth="1"/>
    <col min="12044" max="12044" width="7.875" style="3130" customWidth="1"/>
    <col min="12045" max="12046" width="9" style="3130"/>
    <col min="12047" max="12048" width="10.625" style="3130" customWidth="1"/>
    <col min="12049" max="12049" width="14.375" style="3130" customWidth="1"/>
    <col min="12050" max="12050" width="6.25" style="3130" customWidth="1"/>
    <col min="12051" max="12051" width="103.75" style="3130" customWidth="1"/>
    <col min="12052" max="12052" width="7.875" style="3130" customWidth="1"/>
    <col min="12053" max="12291" width="9" style="3130"/>
    <col min="12292" max="12292" width="122.875" style="3130" customWidth="1"/>
    <col min="12293" max="12293" width="6.25" style="3130" customWidth="1"/>
    <col min="12294" max="12296" width="13.875" style="3130" customWidth="1"/>
    <col min="12297" max="12297" width="66.375" style="3130" customWidth="1"/>
    <col min="12298" max="12298" width="7.875" style="3130" customWidth="1"/>
    <col min="12299" max="12299" width="67.375" style="3130" customWidth="1"/>
    <col min="12300" max="12300" width="7.875" style="3130" customWidth="1"/>
    <col min="12301" max="12302" width="9" style="3130"/>
    <col min="12303" max="12304" width="10.625" style="3130" customWidth="1"/>
    <col min="12305" max="12305" width="14.375" style="3130" customWidth="1"/>
    <col min="12306" max="12306" width="6.25" style="3130" customWidth="1"/>
    <col min="12307" max="12307" width="103.75" style="3130" customWidth="1"/>
    <col min="12308" max="12308" width="7.875" style="3130" customWidth="1"/>
    <col min="12309" max="12547" width="9" style="3130"/>
    <col min="12548" max="12548" width="122.875" style="3130" customWidth="1"/>
    <col min="12549" max="12549" width="6.25" style="3130" customWidth="1"/>
    <col min="12550" max="12552" width="13.875" style="3130" customWidth="1"/>
    <col min="12553" max="12553" width="66.375" style="3130" customWidth="1"/>
    <col min="12554" max="12554" width="7.875" style="3130" customWidth="1"/>
    <col min="12555" max="12555" width="67.375" style="3130" customWidth="1"/>
    <col min="12556" max="12556" width="7.875" style="3130" customWidth="1"/>
    <col min="12557" max="12558" width="9" style="3130"/>
    <col min="12559" max="12560" width="10.625" style="3130" customWidth="1"/>
    <col min="12561" max="12561" width="14.375" style="3130" customWidth="1"/>
    <col min="12562" max="12562" width="6.25" style="3130" customWidth="1"/>
    <col min="12563" max="12563" width="103.75" style="3130" customWidth="1"/>
    <col min="12564" max="12564" width="7.875" style="3130" customWidth="1"/>
    <col min="12565" max="12803" width="9" style="3130"/>
    <col min="12804" max="12804" width="122.875" style="3130" customWidth="1"/>
    <col min="12805" max="12805" width="6.25" style="3130" customWidth="1"/>
    <col min="12806" max="12808" width="13.875" style="3130" customWidth="1"/>
    <col min="12809" max="12809" width="66.375" style="3130" customWidth="1"/>
    <col min="12810" max="12810" width="7.875" style="3130" customWidth="1"/>
    <col min="12811" max="12811" width="67.375" style="3130" customWidth="1"/>
    <col min="12812" max="12812" width="7.875" style="3130" customWidth="1"/>
    <col min="12813" max="12814" width="9" style="3130"/>
    <col min="12815" max="12816" width="10.625" style="3130" customWidth="1"/>
    <col min="12817" max="12817" width="14.375" style="3130" customWidth="1"/>
    <col min="12818" max="12818" width="6.25" style="3130" customWidth="1"/>
    <col min="12819" max="12819" width="103.75" style="3130" customWidth="1"/>
    <col min="12820" max="12820" width="7.875" style="3130" customWidth="1"/>
    <col min="12821" max="13059" width="9" style="3130"/>
    <col min="13060" max="13060" width="122.875" style="3130" customWidth="1"/>
    <col min="13061" max="13061" width="6.25" style="3130" customWidth="1"/>
    <col min="13062" max="13064" width="13.875" style="3130" customWidth="1"/>
    <col min="13065" max="13065" width="66.375" style="3130" customWidth="1"/>
    <col min="13066" max="13066" width="7.875" style="3130" customWidth="1"/>
    <col min="13067" max="13067" width="67.375" style="3130" customWidth="1"/>
    <col min="13068" max="13068" width="7.875" style="3130" customWidth="1"/>
    <col min="13069" max="13070" width="9" style="3130"/>
    <col min="13071" max="13072" width="10.625" style="3130" customWidth="1"/>
    <col min="13073" max="13073" width="14.375" style="3130" customWidth="1"/>
    <col min="13074" max="13074" width="6.25" style="3130" customWidth="1"/>
    <col min="13075" max="13075" width="103.75" style="3130" customWidth="1"/>
    <col min="13076" max="13076" width="7.875" style="3130" customWidth="1"/>
    <col min="13077" max="13315" width="9" style="3130"/>
    <col min="13316" max="13316" width="122.875" style="3130" customWidth="1"/>
    <col min="13317" max="13317" width="6.25" style="3130" customWidth="1"/>
    <col min="13318" max="13320" width="13.875" style="3130" customWidth="1"/>
    <col min="13321" max="13321" width="66.375" style="3130" customWidth="1"/>
    <col min="13322" max="13322" width="7.875" style="3130" customWidth="1"/>
    <col min="13323" max="13323" width="67.375" style="3130" customWidth="1"/>
    <col min="13324" max="13324" width="7.875" style="3130" customWidth="1"/>
    <col min="13325" max="13326" width="9" style="3130"/>
    <col min="13327" max="13328" width="10.625" style="3130" customWidth="1"/>
    <col min="13329" max="13329" width="14.375" style="3130" customWidth="1"/>
    <col min="13330" max="13330" width="6.25" style="3130" customWidth="1"/>
    <col min="13331" max="13331" width="103.75" style="3130" customWidth="1"/>
    <col min="13332" max="13332" width="7.875" style="3130" customWidth="1"/>
    <col min="13333" max="13571" width="9" style="3130"/>
    <col min="13572" max="13572" width="122.875" style="3130" customWidth="1"/>
    <col min="13573" max="13573" width="6.25" style="3130" customWidth="1"/>
    <col min="13574" max="13576" width="13.875" style="3130" customWidth="1"/>
    <col min="13577" max="13577" width="66.375" style="3130" customWidth="1"/>
    <col min="13578" max="13578" width="7.875" style="3130" customWidth="1"/>
    <col min="13579" max="13579" width="67.375" style="3130" customWidth="1"/>
    <col min="13580" max="13580" width="7.875" style="3130" customWidth="1"/>
    <col min="13581" max="13582" width="9" style="3130"/>
    <col min="13583" max="13584" width="10.625" style="3130" customWidth="1"/>
    <col min="13585" max="13585" width="14.375" style="3130" customWidth="1"/>
    <col min="13586" max="13586" width="6.25" style="3130" customWidth="1"/>
    <col min="13587" max="13587" width="103.75" style="3130" customWidth="1"/>
    <col min="13588" max="13588" width="7.875" style="3130" customWidth="1"/>
    <col min="13589" max="13827" width="9" style="3130"/>
    <col min="13828" max="13828" width="122.875" style="3130" customWidth="1"/>
    <col min="13829" max="13829" width="6.25" style="3130" customWidth="1"/>
    <col min="13830" max="13832" width="13.875" style="3130" customWidth="1"/>
    <col min="13833" max="13833" width="66.375" style="3130" customWidth="1"/>
    <col min="13834" max="13834" width="7.875" style="3130" customWidth="1"/>
    <col min="13835" max="13835" width="67.375" style="3130" customWidth="1"/>
    <col min="13836" max="13836" width="7.875" style="3130" customWidth="1"/>
    <col min="13837" max="13838" width="9" style="3130"/>
    <col min="13839" max="13840" width="10.625" style="3130" customWidth="1"/>
    <col min="13841" max="13841" width="14.375" style="3130" customWidth="1"/>
    <col min="13842" max="13842" width="6.25" style="3130" customWidth="1"/>
    <col min="13843" max="13843" width="103.75" style="3130" customWidth="1"/>
    <col min="13844" max="13844" width="7.875" style="3130" customWidth="1"/>
    <col min="13845" max="14083" width="9" style="3130"/>
    <col min="14084" max="14084" width="122.875" style="3130" customWidth="1"/>
    <col min="14085" max="14085" width="6.25" style="3130" customWidth="1"/>
    <col min="14086" max="14088" width="13.875" style="3130" customWidth="1"/>
    <col min="14089" max="14089" width="66.375" style="3130" customWidth="1"/>
    <col min="14090" max="14090" width="7.875" style="3130" customWidth="1"/>
    <col min="14091" max="14091" width="67.375" style="3130" customWidth="1"/>
    <col min="14092" max="14092" width="7.875" style="3130" customWidth="1"/>
    <col min="14093" max="14094" width="9" style="3130"/>
    <col min="14095" max="14096" width="10.625" style="3130" customWidth="1"/>
    <col min="14097" max="14097" width="14.375" style="3130" customWidth="1"/>
    <col min="14098" max="14098" width="6.25" style="3130" customWidth="1"/>
    <col min="14099" max="14099" width="103.75" style="3130" customWidth="1"/>
    <col min="14100" max="14100" width="7.875" style="3130" customWidth="1"/>
    <col min="14101" max="14339" width="9" style="3130"/>
    <col min="14340" max="14340" width="122.875" style="3130" customWidth="1"/>
    <col min="14341" max="14341" width="6.25" style="3130" customWidth="1"/>
    <col min="14342" max="14344" width="13.875" style="3130" customWidth="1"/>
    <col min="14345" max="14345" width="66.375" style="3130" customWidth="1"/>
    <col min="14346" max="14346" width="7.875" style="3130" customWidth="1"/>
    <col min="14347" max="14347" width="67.375" style="3130" customWidth="1"/>
    <col min="14348" max="14348" width="7.875" style="3130" customWidth="1"/>
    <col min="14349" max="14350" width="9" style="3130"/>
    <col min="14351" max="14352" width="10.625" style="3130" customWidth="1"/>
    <col min="14353" max="14353" width="14.375" style="3130" customWidth="1"/>
    <col min="14354" max="14354" width="6.25" style="3130" customWidth="1"/>
    <col min="14355" max="14355" width="103.75" style="3130" customWidth="1"/>
    <col min="14356" max="14356" width="7.875" style="3130" customWidth="1"/>
    <col min="14357" max="14595" width="9" style="3130"/>
    <col min="14596" max="14596" width="122.875" style="3130" customWidth="1"/>
    <col min="14597" max="14597" width="6.25" style="3130" customWidth="1"/>
    <col min="14598" max="14600" width="13.875" style="3130" customWidth="1"/>
    <col min="14601" max="14601" width="66.375" style="3130" customWidth="1"/>
    <col min="14602" max="14602" width="7.875" style="3130" customWidth="1"/>
    <col min="14603" max="14603" width="67.375" style="3130" customWidth="1"/>
    <col min="14604" max="14604" width="7.875" style="3130" customWidth="1"/>
    <col min="14605" max="14606" width="9" style="3130"/>
    <col min="14607" max="14608" width="10.625" style="3130" customWidth="1"/>
    <col min="14609" max="14609" width="14.375" style="3130" customWidth="1"/>
    <col min="14610" max="14610" width="6.25" style="3130" customWidth="1"/>
    <col min="14611" max="14611" width="103.75" style="3130" customWidth="1"/>
    <col min="14612" max="14612" width="7.875" style="3130" customWidth="1"/>
    <col min="14613" max="14851" width="9" style="3130"/>
    <col min="14852" max="14852" width="122.875" style="3130" customWidth="1"/>
    <col min="14853" max="14853" width="6.25" style="3130" customWidth="1"/>
    <col min="14854" max="14856" width="13.875" style="3130" customWidth="1"/>
    <col min="14857" max="14857" width="66.375" style="3130" customWidth="1"/>
    <col min="14858" max="14858" width="7.875" style="3130" customWidth="1"/>
    <col min="14859" max="14859" width="67.375" style="3130" customWidth="1"/>
    <col min="14860" max="14860" width="7.875" style="3130" customWidth="1"/>
    <col min="14861" max="14862" width="9" style="3130"/>
    <col min="14863" max="14864" width="10.625" style="3130" customWidth="1"/>
    <col min="14865" max="14865" width="14.375" style="3130" customWidth="1"/>
    <col min="14866" max="14866" width="6.25" style="3130" customWidth="1"/>
    <col min="14867" max="14867" width="103.75" style="3130" customWidth="1"/>
    <col min="14868" max="14868" width="7.875" style="3130" customWidth="1"/>
    <col min="14869" max="15107" width="9" style="3130"/>
    <col min="15108" max="15108" width="122.875" style="3130" customWidth="1"/>
    <col min="15109" max="15109" width="6.25" style="3130" customWidth="1"/>
    <col min="15110" max="15112" width="13.875" style="3130" customWidth="1"/>
    <col min="15113" max="15113" width="66.375" style="3130" customWidth="1"/>
    <col min="15114" max="15114" width="7.875" style="3130" customWidth="1"/>
    <col min="15115" max="15115" width="67.375" style="3130" customWidth="1"/>
    <col min="15116" max="15116" width="7.875" style="3130" customWidth="1"/>
    <col min="15117" max="15118" width="9" style="3130"/>
    <col min="15119" max="15120" width="10.625" style="3130" customWidth="1"/>
    <col min="15121" max="15121" width="14.375" style="3130" customWidth="1"/>
    <col min="15122" max="15122" width="6.25" style="3130" customWidth="1"/>
    <col min="15123" max="15123" width="103.75" style="3130" customWidth="1"/>
    <col min="15124" max="15124" width="7.875" style="3130" customWidth="1"/>
    <col min="15125" max="15363" width="9" style="3130"/>
    <col min="15364" max="15364" width="122.875" style="3130" customWidth="1"/>
    <col min="15365" max="15365" width="6.25" style="3130" customWidth="1"/>
    <col min="15366" max="15368" width="13.875" style="3130" customWidth="1"/>
    <col min="15369" max="15369" width="66.375" style="3130" customWidth="1"/>
    <col min="15370" max="15370" width="7.875" style="3130" customWidth="1"/>
    <col min="15371" max="15371" width="67.375" style="3130" customWidth="1"/>
    <col min="15372" max="15372" width="7.875" style="3130" customWidth="1"/>
    <col min="15373" max="15374" width="9" style="3130"/>
    <col min="15375" max="15376" width="10.625" style="3130" customWidth="1"/>
    <col min="15377" max="15377" width="14.375" style="3130" customWidth="1"/>
    <col min="15378" max="15378" width="6.25" style="3130" customWidth="1"/>
    <col min="15379" max="15379" width="103.75" style="3130" customWidth="1"/>
    <col min="15380" max="15380" width="7.875" style="3130" customWidth="1"/>
    <col min="15381" max="15619" width="9" style="3130"/>
    <col min="15620" max="15620" width="122.875" style="3130" customWidth="1"/>
    <col min="15621" max="15621" width="6.25" style="3130" customWidth="1"/>
    <col min="15622" max="15624" width="13.875" style="3130" customWidth="1"/>
    <col min="15625" max="15625" width="66.375" style="3130" customWidth="1"/>
    <col min="15626" max="15626" width="7.875" style="3130" customWidth="1"/>
    <col min="15627" max="15627" width="67.375" style="3130" customWidth="1"/>
    <col min="15628" max="15628" width="7.875" style="3130" customWidth="1"/>
    <col min="15629" max="15630" width="9" style="3130"/>
    <col min="15631" max="15632" width="10.625" style="3130" customWidth="1"/>
    <col min="15633" max="15633" width="14.375" style="3130" customWidth="1"/>
    <col min="15634" max="15634" width="6.25" style="3130" customWidth="1"/>
    <col min="15635" max="15635" width="103.75" style="3130" customWidth="1"/>
    <col min="15636" max="15636" width="7.875" style="3130" customWidth="1"/>
    <col min="15637" max="15875" width="9" style="3130"/>
    <col min="15876" max="15876" width="122.875" style="3130" customWidth="1"/>
    <col min="15877" max="15877" width="6.25" style="3130" customWidth="1"/>
    <col min="15878" max="15880" width="13.875" style="3130" customWidth="1"/>
    <col min="15881" max="15881" width="66.375" style="3130" customWidth="1"/>
    <col min="15882" max="15882" width="7.875" style="3130" customWidth="1"/>
    <col min="15883" max="15883" width="67.375" style="3130" customWidth="1"/>
    <col min="15884" max="15884" width="7.875" style="3130" customWidth="1"/>
    <col min="15885" max="15886" width="9" style="3130"/>
    <col min="15887" max="15888" width="10.625" style="3130" customWidth="1"/>
    <col min="15889" max="15889" width="14.375" style="3130" customWidth="1"/>
    <col min="15890" max="15890" width="6.25" style="3130" customWidth="1"/>
    <col min="15891" max="15891" width="103.75" style="3130" customWidth="1"/>
    <col min="15892" max="15892" width="7.875" style="3130" customWidth="1"/>
    <col min="15893" max="16131" width="9" style="3130"/>
    <col min="16132" max="16132" width="122.875" style="3130" customWidth="1"/>
    <col min="16133" max="16133" width="6.25" style="3130" customWidth="1"/>
    <col min="16134" max="16136" width="13.875" style="3130" customWidth="1"/>
    <col min="16137" max="16137" width="66.375" style="3130" customWidth="1"/>
    <col min="16138" max="16138" width="7.875" style="3130" customWidth="1"/>
    <col min="16139" max="16139" width="67.375" style="3130" customWidth="1"/>
    <col min="16140" max="16140" width="7.875" style="3130" customWidth="1"/>
    <col min="16141" max="16142" width="9" style="3130"/>
    <col min="16143" max="16144" width="10.625" style="3130" customWidth="1"/>
    <col min="16145" max="16145" width="14.375" style="3130" customWidth="1"/>
    <col min="16146" max="16146" width="6.25" style="3130" customWidth="1"/>
    <col min="16147" max="16147" width="103.75" style="3130" customWidth="1"/>
    <col min="16148" max="16148" width="7.875" style="3130" customWidth="1"/>
    <col min="16149" max="16384" width="9" style="3130"/>
  </cols>
  <sheetData>
    <row r="1" spans="1:23" ht="27">
      <c r="A1" s="3130" t="s">
        <v>4216</v>
      </c>
      <c r="B1" s="3130" t="s">
        <v>4217</v>
      </c>
      <c r="C1" s="3130" t="s">
        <v>4218</v>
      </c>
      <c r="D1" s="3130" t="s">
        <v>4219</v>
      </c>
      <c r="E1" s="3130" t="s">
        <v>4220</v>
      </c>
      <c r="F1" s="3130" t="s">
        <v>4221</v>
      </c>
      <c r="G1" s="3131" t="s">
        <v>4302</v>
      </c>
      <c r="H1" s="3130" t="s">
        <v>4222</v>
      </c>
      <c r="I1" s="3130" t="s">
        <v>4223</v>
      </c>
      <c r="J1" s="3130" t="s">
        <v>4224</v>
      </c>
      <c r="K1" s="3130" t="s">
        <v>4225</v>
      </c>
      <c r="L1" s="3130" t="s">
        <v>4226</v>
      </c>
      <c r="M1" s="3130" t="s">
        <v>4227</v>
      </c>
      <c r="N1" s="3130" t="s">
        <v>4228</v>
      </c>
      <c r="O1" s="3130" t="s">
        <v>4229</v>
      </c>
      <c r="P1" s="3130" t="s">
        <v>4230</v>
      </c>
      <c r="Q1" s="3130" t="s">
        <v>4231</v>
      </c>
      <c r="R1" s="3130" t="s">
        <v>4232</v>
      </c>
      <c r="S1" s="3132" t="s">
        <v>4305</v>
      </c>
      <c r="T1" s="3132" t="s">
        <v>4304</v>
      </c>
      <c r="U1" s="3132" t="s">
        <v>4303</v>
      </c>
      <c r="V1" s="3132" t="s">
        <v>4307</v>
      </c>
      <c r="W1" s="3132" t="s">
        <v>4309</v>
      </c>
    </row>
    <row r="2" spans="1:23" s="3133" customFormat="1" ht="27">
      <c r="A2" s="3133" t="s">
        <v>4233</v>
      </c>
      <c r="B2" s="3133" t="s">
        <v>4176</v>
      </c>
      <c r="C2" s="3133" t="s">
        <v>4234</v>
      </c>
      <c r="D2" s="3133">
        <v>105143.73</v>
      </c>
      <c r="E2" s="3133">
        <v>262859.32</v>
      </c>
      <c r="F2" s="3133" t="s">
        <v>4235</v>
      </c>
      <c r="G2" s="3133">
        <f>ROUND(E2/D2,1)</f>
        <v>2.5</v>
      </c>
      <c r="H2" s="3133" t="s">
        <v>4236</v>
      </c>
      <c r="I2" s="3133" t="s">
        <v>4237</v>
      </c>
      <c r="J2" s="3133">
        <v>0</v>
      </c>
      <c r="K2" s="3133" t="s">
        <v>4238</v>
      </c>
      <c r="L2" s="3133" t="s">
        <v>4238</v>
      </c>
      <c r="M2" s="3133">
        <v>502000</v>
      </c>
      <c r="N2" s="3133">
        <v>677700</v>
      </c>
      <c r="O2" s="3133">
        <v>25781.84</v>
      </c>
      <c r="P2" s="3133">
        <v>35</v>
      </c>
      <c r="Q2" s="3133" t="s">
        <v>4239</v>
      </c>
      <c r="R2" s="3133" t="s">
        <v>4240</v>
      </c>
      <c r="S2" s="3133">
        <v>162162</v>
      </c>
      <c r="T2" s="3133">
        <f>1000+1500+12735+11000+1000+2113</f>
        <v>29348</v>
      </c>
      <c r="U2" s="3133">
        <f>ROUND((S2*1.6+N2)/E2*10000,0)</f>
        <v>35653</v>
      </c>
      <c r="V2" s="3135">
        <v>0.23</v>
      </c>
      <c r="W2" s="3136" t="s">
        <v>4308</v>
      </c>
    </row>
    <row r="3" spans="1:23" ht="27">
      <c r="A3" s="3130" t="s">
        <v>4241</v>
      </c>
      <c r="B3" s="3130" t="s">
        <v>4176</v>
      </c>
      <c r="C3" s="3130" t="s">
        <v>4234</v>
      </c>
      <c r="D3" s="3130">
        <v>57208.800000000003</v>
      </c>
      <c r="E3" s="3130">
        <v>91534.080000000002</v>
      </c>
      <c r="F3" s="3130" t="s">
        <v>4242</v>
      </c>
      <c r="G3" s="3130">
        <f t="shared" ref="G3:G18" si="0">ROUND(E3/D3,1)</f>
        <v>1.6</v>
      </c>
      <c r="H3" s="3130" t="s">
        <v>4236</v>
      </c>
      <c r="I3" s="3130" t="s">
        <v>4243</v>
      </c>
      <c r="J3" s="3130">
        <v>0</v>
      </c>
      <c r="K3" s="3130" t="s">
        <v>4244</v>
      </c>
      <c r="L3" s="3130" t="s">
        <v>4244</v>
      </c>
      <c r="M3" s="3130">
        <v>177000</v>
      </c>
      <c r="N3" s="3130">
        <v>205000</v>
      </c>
      <c r="O3" s="3130">
        <v>22396.02</v>
      </c>
      <c r="P3" s="3130">
        <v>15.82</v>
      </c>
      <c r="Q3" s="3130" t="s">
        <v>4245</v>
      </c>
      <c r="R3" s="3130" t="s">
        <v>4240</v>
      </c>
    </row>
    <row r="4" spans="1:23" ht="54" hidden="1">
      <c r="A4" s="3130" t="s">
        <v>4246</v>
      </c>
      <c r="B4" s="3130" t="s">
        <v>4176</v>
      </c>
      <c r="C4" s="3130" t="s">
        <v>4247</v>
      </c>
      <c r="D4" s="3130">
        <v>125102.17</v>
      </c>
      <c r="E4" s="3130">
        <v>219262.23</v>
      </c>
      <c r="F4" s="3130" t="s">
        <v>4248</v>
      </c>
      <c r="G4" s="3130">
        <f t="shared" si="0"/>
        <v>1.8</v>
      </c>
      <c r="H4" s="3130" t="s">
        <v>4236</v>
      </c>
      <c r="I4" s="3130" t="s">
        <v>4249</v>
      </c>
      <c r="J4" s="3130">
        <v>0</v>
      </c>
      <c r="K4" s="3130" t="s">
        <v>4244</v>
      </c>
      <c r="L4" s="3130" t="s">
        <v>4244</v>
      </c>
      <c r="M4" s="3130">
        <v>404000</v>
      </c>
      <c r="N4" s="3130">
        <v>406100</v>
      </c>
      <c r="O4" s="3130">
        <v>18521.2</v>
      </c>
      <c r="P4" s="3130">
        <v>0.52</v>
      </c>
      <c r="Q4" s="3130" t="s">
        <v>4250</v>
      </c>
      <c r="R4" s="3130" t="s">
        <v>4240</v>
      </c>
    </row>
    <row r="5" spans="1:23" ht="54" hidden="1">
      <c r="A5" s="3130" t="s">
        <v>4251</v>
      </c>
      <c r="B5" s="3130" t="s">
        <v>4176</v>
      </c>
      <c r="C5" s="3130" t="s">
        <v>4247</v>
      </c>
      <c r="D5" s="3130">
        <v>122243.7</v>
      </c>
      <c r="E5" s="3130">
        <v>206085.13</v>
      </c>
      <c r="F5" s="3130" t="s">
        <v>4252</v>
      </c>
      <c r="G5" s="3130">
        <f t="shared" si="0"/>
        <v>1.7</v>
      </c>
      <c r="H5" s="3130" t="s">
        <v>4236</v>
      </c>
      <c r="I5" s="3130" t="s">
        <v>4253</v>
      </c>
      <c r="J5" s="3130">
        <v>0</v>
      </c>
      <c r="K5" s="3130" t="s">
        <v>4254</v>
      </c>
      <c r="L5" s="3130" t="s">
        <v>4254</v>
      </c>
      <c r="M5" s="3130">
        <v>311800</v>
      </c>
      <c r="N5" s="3130">
        <v>311800</v>
      </c>
      <c r="O5" s="3130">
        <v>15129.67</v>
      </c>
      <c r="P5" s="3130">
        <v>0</v>
      </c>
      <c r="Q5" s="3130" t="s">
        <v>4255</v>
      </c>
      <c r="R5" s="3130" t="s">
        <v>4256</v>
      </c>
    </row>
    <row r="6" spans="1:23" ht="27" hidden="1">
      <c r="A6" s="3130" t="s">
        <v>4257</v>
      </c>
      <c r="B6" s="3130" t="s">
        <v>4176</v>
      </c>
      <c r="C6" s="3130" t="s">
        <v>4247</v>
      </c>
      <c r="D6" s="3130">
        <v>83940.05</v>
      </c>
      <c r="E6" s="3130">
        <v>146004.07999999999</v>
      </c>
      <c r="F6" s="3130" t="s">
        <v>4258</v>
      </c>
      <c r="G6" s="3130">
        <f t="shared" si="0"/>
        <v>1.7</v>
      </c>
      <c r="H6" s="3130" t="s">
        <v>4236</v>
      </c>
      <c r="I6" s="3130" t="s">
        <v>4259</v>
      </c>
      <c r="J6" s="3130">
        <v>0</v>
      </c>
      <c r="K6" s="3130" t="s">
        <v>4254</v>
      </c>
      <c r="L6" s="3130" t="s">
        <v>4254</v>
      </c>
      <c r="M6" s="3130">
        <v>243400</v>
      </c>
      <c r="N6" s="3130">
        <v>243400</v>
      </c>
      <c r="O6" s="3130">
        <v>16670.77</v>
      </c>
      <c r="P6" s="3130">
        <v>0</v>
      </c>
      <c r="Q6" s="3130" t="s">
        <v>4260</v>
      </c>
      <c r="R6" s="3130" t="s">
        <v>4261</v>
      </c>
    </row>
    <row r="7" spans="1:23" ht="27" hidden="1">
      <c r="A7" s="3130" t="s">
        <v>4262</v>
      </c>
      <c r="B7" s="3130" t="s">
        <v>4176</v>
      </c>
      <c r="C7" s="3130" t="s">
        <v>4247</v>
      </c>
      <c r="D7" s="3130">
        <v>99454.31</v>
      </c>
      <c r="E7" s="3130">
        <v>153846.89000000001</v>
      </c>
      <c r="F7" s="3130" t="s">
        <v>4263</v>
      </c>
      <c r="G7" s="3130">
        <f t="shared" si="0"/>
        <v>1.5</v>
      </c>
      <c r="H7" s="3130" t="s">
        <v>4236</v>
      </c>
      <c r="I7" s="3130" t="s">
        <v>4264</v>
      </c>
      <c r="J7" s="3130">
        <v>0</v>
      </c>
      <c r="K7" s="3130" t="s">
        <v>4254</v>
      </c>
      <c r="L7" s="3130" t="s">
        <v>4254</v>
      </c>
      <c r="M7" s="3130">
        <v>302400</v>
      </c>
      <c r="N7" s="3130">
        <v>326000</v>
      </c>
      <c r="O7" s="3130">
        <v>21189.9</v>
      </c>
      <c r="P7" s="3130">
        <v>7.8</v>
      </c>
      <c r="Q7" s="3130" t="s">
        <v>4265</v>
      </c>
      <c r="R7" s="3130" t="s">
        <v>4256</v>
      </c>
    </row>
    <row r="8" spans="1:23" ht="27" hidden="1">
      <c r="A8" s="3130" t="s">
        <v>4266</v>
      </c>
      <c r="B8" s="3130" t="s">
        <v>4176</v>
      </c>
      <c r="C8" s="3130" t="s">
        <v>4247</v>
      </c>
      <c r="D8" s="3130">
        <v>57706.7</v>
      </c>
      <c r="E8" s="3130">
        <v>86410.72</v>
      </c>
      <c r="F8" s="3130" t="s">
        <v>4267</v>
      </c>
      <c r="G8" s="3130">
        <f t="shared" si="0"/>
        <v>1.5</v>
      </c>
      <c r="H8" s="3130" t="s">
        <v>4236</v>
      </c>
      <c r="I8" s="3130" t="s">
        <v>4268</v>
      </c>
      <c r="J8" s="3130">
        <v>0</v>
      </c>
      <c r="K8" s="3130" t="s">
        <v>4269</v>
      </c>
      <c r="L8" s="3130" t="s">
        <v>4269</v>
      </c>
      <c r="M8" s="3130">
        <v>142400</v>
      </c>
      <c r="N8" s="3130">
        <v>167000</v>
      </c>
      <c r="O8" s="3130">
        <v>19326.310000000001</v>
      </c>
      <c r="P8" s="3130">
        <v>17.28</v>
      </c>
      <c r="Q8" s="3130" t="s">
        <v>4270</v>
      </c>
      <c r="R8" s="3130" t="s">
        <v>4256</v>
      </c>
    </row>
    <row r="9" spans="1:23" ht="40.5" hidden="1">
      <c r="A9" s="3130" t="s">
        <v>4271</v>
      </c>
      <c r="B9" s="3130" t="s">
        <v>4176</v>
      </c>
      <c r="C9" s="3130" t="s">
        <v>4247</v>
      </c>
      <c r="D9" s="3130">
        <v>87328.39</v>
      </c>
      <c r="E9" s="3130">
        <v>135355.79999999999</v>
      </c>
      <c r="F9" s="3130" t="s">
        <v>4272</v>
      </c>
      <c r="G9" s="3130">
        <f t="shared" si="0"/>
        <v>1.5</v>
      </c>
      <c r="H9" s="3130" t="s">
        <v>4236</v>
      </c>
      <c r="I9" s="3130" t="s">
        <v>4273</v>
      </c>
      <c r="J9" s="3130">
        <v>0</v>
      </c>
      <c r="K9" s="3130" t="s">
        <v>4269</v>
      </c>
      <c r="L9" s="3130" t="s">
        <v>4269</v>
      </c>
      <c r="M9" s="3130">
        <v>241000</v>
      </c>
      <c r="N9" s="3130">
        <v>241000</v>
      </c>
      <c r="O9" s="3130">
        <v>17804.93</v>
      </c>
      <c r="P9" s="3130">
        <v>0</v>
      </c>
      <c r="Q9" s="3130" t="s">
        <v>4274</v>
      </c>
      <c r="R9" s="3130" t="s">
        <v>4256</v>
      </c>
    </row>
    <row r="10" spans="1:23" ht="27" hidden="1">
      <c r="A10" s="3130" t="s">
        <v>4275</v>
      </c>
      <c r="B10" s="3130" t="s">
        <v>4176</v>
      </c>
      <c r="C10" s="3130" t="s">
        <v>4247</v>
      </c>
      <c r="D10" s="3130">
        <v>146640.21</v>
      </c>
      <c r="E10" s="3130">
        <v>288410</v>
      </c>
      <c r="F10" s="3130" t="s">
        <v>4276</v>
      </c>
      <c r="G10" s="3130">
        <f t="shared" si="0"/>
        <v>2</v>
      </c>
      <c r="H10" s="3130" t="s">
        <v>4236</v>
      </c>
      <c r="I10" s="3130" t="s">
        <v>4277</v>
      </c>
      <c r="J10" s="3130">
        <v>0</v>
      </c>
      <c r="K10" s="3130" t="s">
        <v>4278</v>
      </c>
      <c r="L10" s="3130" t="s">
        <v>4278</v>
      </c>
      <c r="M10" s="3130">
        <v>430000</v>
      </c>
      <c r="N10" s="3130">
        <v>430000</v>
      </c>
      <c r="O10" s="3130">
        <v>14909.32</v>
      </c>
      <c r="P10" s="3130">
        <v>0</v>
      </c>
      <c r="Q10" s="3130" t="s">
        <v>4279</v>
      </c>
      <c r="R10" s="3130" t="s">
        <v>4261</v>
      </c>
    </row>
    <row r="11" spans="1:23" s="3137" customFormat="1" ht="27">
      <c r="A11" s="3137" t="s">
        <v>4280</v>
      </c>
      <c r="B11" s="3137" t="s">
        <v>4176</v>
      </c>
      <c r="C11" s="3137" t="s">
        <v>4234</v>
      </c>
      <c r="D11" s="3137">
        <v>96884.68</v>
      </c>
      <c r="E11" s="3137">
        <v>145327</v>
      </c>
      <c r="F11" s="3137" t="s">
        <v>4281</v>
      </c>
      <c r="G11" s="3137">
        <f t="shared" si="0"/>
        <v>1.5</v>
      </c>
      <c r="H11" s="3137" t="s">
        <v>4236</v>
      </c>
      <c r="I11" s="3137" t="s">
        <v>4237</v>
      </c>
      <c r="J11" s="3137">
        <v>0</v>
      </c>
      <c r="K11" s="3137" t="s">
        <v>4282</v>
      </c>
      <c r="L11" s="3137" t="s">
        <v>4282</v>
      </c>
      <c r="M11" s="3137">
        <v>340000</v>
      </c>
      <c r="N11" s="3137">
        <v>410000</v>
      </c>
      <c r="O11" s="3137">
        <v>28212.240000000002</v>
      </c>
      <c r="P11" s="3137">
        <v>20.59</v>
      </c>
      <c r="Q11" s="3137" t="s">
        <v>4283</v>
      </c>
      <c r="R11" s="3137" t="s">
        <v>4261</v>
      </c>
      <c r="W11" s="3137">
        <v>48641</v>
      </c>
    </row>
    <row r="12" spans="1:23" ht="27">
      <c r="A12" s="3130" t="s">
        <v>4284</v>
      </c>
      <c r="B12" s="3130" t="s">
        <v>4176</v>
      </c>
      <c r="C12" s="3130" t="s">
        <v>4234</v>
      </c>
      <c r="D12" s="3130">
        <v>21403.13</v>
      </c>
      <c r="E12" s="3130">
        <v>38526</v>
      </c>
      <c r="F12" s="3130">
        <v>1.8</v>
      </c>
      <c r="G12" s="3130">
        <f t="shared" si="0"/>
        <v>1.8</v>
      </c>
      <c r="H12" s="3130" t="s">
        <v>4236</v>
      </c>
      <c r="I12" s="3130" t="s">
        <v>4237</v>
      </c>
      <c r="J12" s="3130">
        <v>0</v>
      </c>
      <c r="K12" s="3130" t="s">
        <v>4285</v>
      </c>
      <c r="L12" s="3130" t="s">
        <v>4285</v>
      </c>
      <c r="M12" s="3130">
        <v>71000</v>
      </c>
      <c r="N12" s="3130">
        <v>92000</v>
      </c>
      <c r="O12" s="3130">
        <v>23879.97</v>
      </c>
      <c r="P12" s="3130">
        <v>29.58</v>
      </c>
      <c r="Q12" s="3130" t="s">
        <v>4286</v>
      </c>
      <c r="R12" s="3130" t="s">
        <v>4256</v>
      </c>
    </row>
    <row r="13" spans="1:23" s="3137" customFormat="1" ht="40.5">
      <c r="A13" s="3137" t="s">
        <v>4287</v>
      </c>
      <c r="B13" s="3137" t="s">
        <v>4176</v>
      </c>
      <c r="C13" s="3137" t="s">
        <v>4234</v>
      </c>
      <c r="D13" s="3137">
        <v>43325.9</v>
      </c>
      <c r="E13" s="3137">
        <v>64988</v>
      </c>
      <c r="F13" s="3137">
        <v>1.5</v>
      </c>
      <c r="G13" s="3137">
        <f t="shared" si="0"/>
        <v>1.5</v>
      </c>
      <c r="H13" s="3137" t="s">
        <v>4236</v>
      </c>
      <c r="I13" s="3137" t="s">
        <v>4237</v>
      </c>
      <c r="J13" s="3137">
        <v>0</v>
      </c>
      <c r="K13" s="3137" t="s">
        <v>4285</v>
      </c>
      <c r="L13" s="3137" t="s">
        <v>4285</v>
      </c>
      <c r="M13" s="3137">
        <v>190000</v>
      </c>
      <c r="N13" s="3137">
        <v>204000</v>
      </c>
      <c r="O13" s="3137">
        <v>31390.400000000001</v>
      </c>
      <c r="P13" s="3137">
        <v>7.37</v>
      </c>
      <c r="Q13" s="3137" t="s">
        <v>4288</v>
      </c>
      <c r="R13" s="3137" t="s">
        <v>4261</v>
      </c>
      <c r="W13" s="3137">
        <v>55711</v>
      </c>
    </row>
    <row r="14" spans="1:23" ht="27">
      <c r="A14" s="3130" t="s">
        <v>4289</v>
      </c>
      <c r="B14" s="3130" t="s">
        <v>4176</v>
      </c>
      <c r="C14" s="3130" t="s">
        <v>4247</v>
      </c>
      <c r="D14" s="3130">
        <v>28367.279999999999</v>
      </c>
      <c r="E14" s="3130">
        <v>42028</v>
      </c>
      <c r="F14" s="3130">
        <v>1.48</v>
      </c>
      <c r="G14" s="3130">
        <f t="shared" si="0"/>
        <v>1.5</v>
      </c>
      <c r="H14" s="3130" t="s">
        <v>4236</v>
      </c>
      <c r="I14" s="3130" t="s">
        <v>4277</v>
      </c>
      <c r="J14" s="3130">
        <v>0</v>
      </c>
      <c r="K14" s="3130" t="s">
        <v>4290</v>
      </c>
      <c r="L14" s="3130" t="s">
        <v>4290</v>
      </c>
      <c r="M14" s="3130">
        <v>76000</v>
      </c>
      <c r="N14" s="3130">
        <v>88500</v>
      </c>
      <c r="O14" s="3130">
        <v>21057.38</v>
      </c>
      <c r="P14" s="3130">
        <v>16.45</v>
      </c>
      <c r="Q14" s="3130" t="s">
        <v>4291</v>
      </c>
      <c r="R14" s="3130" t="s">
        <v>4256</v>
      </c>
    </row>
    <row r="15" spans="1:23" ht="40.5">
      <c r="A15" s="3130" t="s">
        <v>4292</v>
      </c>
      <c r="B15" s="3130" t="s">
        <v>4176</v>
      </c>
      <c r="C15" s="3130" t="s">
        <v>4247</v>
      </c>
      <c r="D15" s="3130">
        <v>69856.02</v>
      </c>
      <c r="E15" s="3130">
        <v>104180</v>
      </c>
      <c r="F15" s="3130">
        <v>1.49</v>
      </c>
      <c r="G15" s="3130">
        <f t="shared" si="0"/>
        <v>1.5</v>
      </c>
      <c r="H15" s="3130" t="s">
        <v>4236</v>
      </c>
      <c r="I15" s="3130" t="s">
        <v>4293</v>
      </c>
      <c r="J15" s="3130">
        <v>0</v>
      </c>
      <c r="K15" s="3130" t="s">
        <v>4290</v>
      </c>
      <c r="L15" s="3130" t="s">
        <v>4290</v>
      </c>
      <c r="M15" s="3130">
        <v>190000</v>
      </c>
      <c r="N15" s="3130">
        <v>233000</v>
      </c>
      <c r="O15" s="3130">
        <v>22365.13</v>
      </c>
      <c r="P15" s="3130">
        <v>22.63</v>
      </c>
      <c r="Q15" s="3130" t="s">
        <v>4294</v>
      </c>
      <c r="R15" s="3130" t="s">
        <v>4256</v>
      </c>
    </row>
    <row r="16" spans="1:23">
      <c r="A16" s="3130" t="s">
        <v>4295</v>
      </c>
      <c r="B16" s="3130" t="s">
        <v>4176</v>
      </c>
      <c r="C16" s="3130" t="s">
        <v>4234</v>
      </c>
      <c r="D16" s="3130">
        <v>41663.440000000002</v>
      </c>
      <c r="E16" s="3130">
        <v>70828</v>
      </c>
      <c r="F16" s="3130">
        <v>1.7</v>
      </c>
      <c r="G16" s="3130">
        <f t="shared" si="0"/>
        <v>1.7</v>
      </c>
      <c r="H16" s="3130" t="s">
        <v>4236</v>
      </c>
      <c r="I16" s="3130" t="s">
        <v>4237</v>
      </c>
      <c r="J16" s="3130">
        <v>0</v>
      </c>
      <c r="K16" s="3130" t="s">
        <v>4296</v>
      </c>
      <c r="L16" s="3130" t="s">
        <v>4296</v>
      </c>
      <c r="M16" s="3130">
        <v>76700</v>
      </c>
      <c r="N16" s="3130">
        <v>77900</v>
      </c>
      <c r="O16" s="3130">
        <v>10998.47</v>
      </c>
      <c r="P16" s="3130">
        <v>1.56</v>
      </c>
      <c r="Q16" s="3130" t="s">
        <v>4297</v>
      </c>
      <c r="R16" s="3130" t="s">
        <v>4256</v>
      </c>
    </row>
    <row r="17" spans="1:23" s="3133" customFormat="1" ht="27">
      <c r="A17" s="3133" t="s">
        <v>4298</v>
      </c>
      <c r="B17" s="3133" t="s">
        <v>4176</v>
      </c>
      <c r="C17" s="3133" t="s">
        <v>4234</v>
      </c>
      <c r="D17" s="3133">
        <v>66475.23</v>
      </c>
      <c r="E17" s="3133">
        <v>132950</v>
      </c>
      <c r="F17" s="3133">
        <v>2</v>
      </c>
      <c r="G17" s="3133">
        <f t="shared" si="0"/>
        <v>2</v>
      </c>
      <c r="H17" s="3133" t="s">
        <v>4236</v>
      </c>
      <c r="I17" s="3133" t="s">
        <v>4237</v>
      </c>
      <c r="J17" s="3133">
        <v>0</v>
      </c>
      <c r="K17" s="3133" t="s">
        <v>4296</v>
      </c>
      <c r="L17" s="3133" t="s">
        <v>4296</v>
      </c>
      <c r="M17" s="3133">
        <v>380000</v>
      </c>
      <c r="N17" s="3133">
        <v>450000</v>
      </c>
      <c r="O17" s="3133">
        <v>33847</v>
      </c>
      <c r="P17" s="3133">
        <v>18.420000000000002</v>
      </c>
      <c r="Q17" s="3133" t="s">
        <v>4299</v>
      </c>
      <c r="R17" s="3133" t="s">
        <v>4256</v>
      </c>
      <c r="W17" s="3133">
        <v>55711</v>
      </c>
    </row>
    <row r="18" spans="1:23" ht="27">
      <c r="A18" s="3130" t="s">
        <v>4300</v>
      </c>
      <c r="B18" s="3130" t="s">
        <v>4176</v>
      </c>
      <c r="C18" s="3130" t="s">
        <v>4247</v>
      </c>
      <c r="D18" s="3130">
        <v>76571.12</v>
      </c>
      <c r="E18" s="3130">
        <v>132728</v>
      </c>
      <c r="F18" s="3130">
        <v>1.73</v>
      </c>
      <c r="G18" s="3130">
        <f t="shared" si="0"/>
        <v>1.7</v>
      </c>
      <c r="H18" s="3132" t="s">
        <v>4370</v>
      </c>
      <c r="I18" s="3132" t="s">
        <v>4368</v>
      </c>
      <c r="J18" s="3130">
        <v>0</v>
      </c>
      <c r="K18" s="3130" t="s">
        <v>4296</v>
      </c>
      <c r="L18" s="3130" t="s">
        <v>4296</v>
      </c>
      <c r="M18" s="3130">
        <v>165000</v>
      </c>
      <c r="N18" s="3130">
        <v>194500</v>
      </c>
      <c r="O18" s="3130">
        <v>14654.03</v>
      </c>
      <c r="P18" s="3130">
        <v>17.88</v>
      </c>
      <c r="Q18" s="3130" t="s">
        <v>4301</v>
      </c>
      <c r="R18" s="3130" t="s">
        <v>4240</v>
      </c>
    </row>
    <row r="19" spans="1:23" s="3152" customFormat="1" ht="24">
      <c r="A19" s="3151" t="s">
        <v>4364</v>
      </c>
      <c r="B19" s="3152" t="s">
        <v>4176</v>
      </c>
      <c r="C19" s="3152" t="s">
        <v>4234</v>
      </c>
      <c r="D19" s="3152">
        <v>36365.370000000003</v>
      </c>
      <c r="E19" s="3152">
        <v>65458</v>
      </c>
      <c r="F19" s="3151">
        <v>1.8</v>
      </c>
      <c r="G19" s="3151">
        <v>1.8</v>
      </c>
      <c r="H19" s="3152" t="s">
        <v>4370</v>
      </c>
      <c r="I19" s="3152" t="s">
        <v>4369</v>
      </c>
      <c r="J19" s="3151">
        <v>0</v>
      </c>
      <c r="K19" s="3151" t="s">
        <v>4365</v>
      </c>
      <c r="L19" s="3152" t="s">
        <v>4366</v>
      </c>
      <c r="M19" s="3152">
        <v>260000</v>
      </c>
      <c r="N19" s="3152">
        <v>4766.4399999999996</v>
      </c>
      <c r="O19" s="3152">
        <v>39720</v>
      </c>
      <c r="P19" s="3152">
        <v>44.44</v>
      </c>
      <c r="Q19" s="3152" t="s">
        <v>4367</v>
      </c>
      <c r="R19" s="3152" t="s">
        <v>4371</v>
      </c>
      <c r="W19" s="3152">
        <v>55583</v>
      </c>
    </row>
    <row r="72" s="3137" customFormat="1"/>
    <row r="131" s="3137" customFormat="1"/>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B22" zoomScale="85" zoomScaleNormal="60" zoomScaleSheetLayoutView="85" workbookViewId="0">
      <selection activeCell="C48" sqref="C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2348</v>
      </c>
      <c r="B1" s="2061" t="s">
        <v>2349</v>
      </c>
      <c r="C1" s="1404" t="s">
        <v>2350</v>
      </c>
      <c r="D1" s="1391" t="s">
        <v>4182</v>
      </c>
      <c r="E1" s="2541"/>
      <c r="F1" s="2062" t="s">
        <v>2351</v>
      </c>
      <c r="G1" s="1401" t="s">
        <v>2352</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5">
        <f>IF(C2="——",ROUND(C49*D3/10000,0),ROUND(C49*D3/10000,0)-D2)</f>
        <v>82800</v>
      </c>
      <c r="C2" s="2064" t="s">
        <v>70</v>
      </c>
      <c r="D2" s="1274" t="e">
        <f ca="1">SUMIF(INDIRECT("'"&amp;F2&amp;"'"&amp;"!A:A"),"承租人权益价值",INDIRECT("'"&amp;F2&amp;"'"&amp;"!c:c"))</f>
        <v>#REF!</v>
      </c>
      <c r="E2" s="2065" t="s">
        <v>2353</v>
      </c>
      <c r="F2" s="2066"/>
      <c r="G2" s="1037"/>
      <c r="H2" s="1037"/>
      <c r="I2" s="1037"/>
      <c r="J2" s="1037"/>
      <c r="K2" s="2067"/>
      <c r="L2" s="2935"/>
      <c r="M2" s="2936"/>
      <c r="N2" s="2936"/>
      <c r="O2" s="2936"/>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52710</v>
      </c>
      <c r="C3" s="359" t="s">
        <v>2354</v>
      </c>
      <c r="D3" s="358">
        <f>IF(D1="",'数据-汇总表'!E3,SUMIF('数据-汇总表'!$C19:$C33,D1,'数据-汇总表'!$E19:$E33))</f>
        <v>15708.62</v>
      </c>
      <c r="E3" s="1037"/>
      <c r="F3" s="2071"/>
      <c r="G3" s="1037"/>
      <c r="H3" s="1037"/>
      <c r="I3" s="1037"/>
      <c r="J3" s="1037"/>
      <c r="K3" s="2067"/>
      <c r="L3" s="2935"/>
      <c r="M3" s="2936"/>
      <c r="N3" s="2936"/>
      <c r="O3" s="2936"/>
      <c r="P3" s="2068"/>
      <c r="Q3" s="2069"/>
      <c r="R3" s="2069"/>
      <c r="S3" s="2069"/>
      <c r="T3" s="2069"/>
      <c r="U3" s="2069"/>
      <c r="V3" s="2069"/>
      <c r="W3" s="2069"/>
      <c r="X3" s="2069"/>
      <c r="Y3" s="2069"/>
      <c r="Z3" s="2069"/>
      <c r="AA3" s="2069"/>
      <c r="AB3" s="2069"/>
      <c r="AC3" s="1191"/>
    </row>
    <row r="4" spans="1:29" ht="15">
      <c r="A4" s="360" t="s">
        <v>2355</v>
      </c>
      <c r="B4" s="361"/>
      <c r="C4" s="3516" t="s">
        <v>2356</v>
      </c>
      <c r="D4" s="3517"/>
      <c r="E4" s="3518" t="s">
        <v>2357</v>
      </c>
      <c r="F4" s="3519"/>
      <c r="G4" s="3516" t="s">
        <v>2358</v>
      </c>
      <c r="H4" s="3517"/>
      <c r="I4" s="3516" t="s">
        <v>2359</v>
      </c>
      <c r="J4" s="3517"/>
      <c r="K4" s="2072" t="s">
        <v>2360</v>
      </c>
      <c r="L4" s="2937"/>
      <c r="M4" s="2938"/>
      <c r="N4" s="2938"/>
      <c r="O4" s="2938"/>
      <c r="P4" s="3520" t="s">
        <v>2361</v>
      </c>
      <c r="Q4" s="3521"/>
      <c r="R4" s="3503" t="s">
        <v>2357</v>
      </c>
      <c r="S4" s="3504"/>
      <c r="T4" s="3503" t="s">
        <v>2358</v>
      </c>
      <c r="U4" s="3504"/>
      <c r="V4" s="3528" t="s">
        <v>2359</v>
      </c>
      <c r="W4" s="3528"/>
      <c r="X4" s="1537"/>
      <c r="Y4" s="3503" t="s">
        <v>2361</v>
      </c>
      <c r="Z4" s="3504"/>
      <c r="AA4" s="3498" t="s">
        <v>2357</v>
      </c>
      <c r="AB4" s="3498" t="s">
        <v>2358</v>
      </c>
      <c r="AC4" s="3498" t="s">
        <v>2359</v>
      </c>
    </row>
    <row r="5" spans="1:29" ht="15">
      <c r="A5" s="363"/>
      <c r="B5" s="364"/>
      <c r="C5" s="3543" t="s">
        <v>2362</v>
      </c>
      <c r="D5" s="3544"/>
      <c r="E5" s="3541" t="str">
        <f>住宅案例!A33</f>
        <v>龙湾别墅·棠尚</v>
      </c>
      <c r="F5" s="3542"/>
      <c r="G5" s="3543" t="str">
        <f>住宅案例!A11</f>
        <v>建邦顺颐府</v>
      </c>
      <c r="H5" s="3544"/>
      <c r="I5" s="3543" t="str">
        <f>住宅案例!A5</f>
        <v>公园十七区</v>
      </c>
      <c r="J5" s="3544"/>
      <c r="K5" s="2073"/>
      <c r="L5" s="2937"/>
      <c r="M5" s="2938"/>
      <c r="N5" s="2938"/>
      <c r="O5" s="2938"/>
      <c r="P5" s="3522"/>
      <c r="Q5" s="3523"/>
      <c r="R5" s="3505"/>
      <c r="S5" s="3506"/>
      <c r="T5" s="3505"/>
      <c r="U5" s="3506"/>
      <c r="V5" s="3528"/>
      <c r="W5" s="3528"/>
      <c r="X5" s="1537"/>
      <c r="Y5" s="3505"/>
      <c r="Z5" s="3506"/>
      <c r="AA5" s="3499"/>
      <c r="AB5" s="3499"/>
      <c r="AC5" s="3499"/>
    </row>
    <row r="6" spans="1:29" ht="15.75" thickBot="1">
      <c r="A6" s="365"/>
      <c r="B6" s="366"/>
      <c r="C6" s="3545" t="s">
        <v>2366</v>
      </c>
      <c r="D6" s="3546"/>
      <c r="E6" s="3547" t="s">
        <v>2366</v>
      </c>
      <c r="F6" s="3548"/>
      <c r="G6" s="3545" t="s">
        <v>2366</v>
      </c>
      <c r="H6" s="3546"/>
      <c r="I6" s="3545" t="s">
        <v>2366</v>
      </c>
      <c r="J6" s="3546"/>
      <c r="K6" s="2073" t="s">
        <v>2367</v>
      </c>
      <c r="L6" s="2937"/>
      <c r="M6" s="2938"/>
      <c r="N6" s="2938"/>
      <c r="O6" s="2938"/>
      <c r="P6" s="3524"/>
      <c r="Q6" s="3525"/>
      <c r="R6" s="3505"/>
      <c r="S6" s="3506"/>
      <c r="T6" s="3526"/>
      <c r="U6" s="3527"/>
      <c r="V6" s="3528"/>
      <c r="W6" s="3528"/>
      <c r="X6" s="1537"/>
      <c r="Y6" s="3526"/>
      <c r="Z6" s="3527"/>
      <c r="AA6" s="3500"/>
      <c r="AB6" s="3500"/>
      <c r="AC6" s="3500"/>
    </row>
    <row r="7" spans="1:29" s="112" customFormat="1" ht="15.75" thickBot="1">
      <c r="A7" s="367" t="s">
        <v>2368</v>
      </c>
      <c r="B7" s="368"/>
      <c r="C7" s="369">
        <f>'数据-取费表'!B2</f>
        <v>44495</v>
      </c>
      <c r="D7" s="370">
        <v>100</v>
      </c>
      <c r="E7" s="371">
        <f>C7</f>
        <v>44495</v>
      </c>
      <c r="F7" s="372">
        <f>SUMIF(58:58,YEAR(E7)&amp;"-"&amp;MONTH(E7),59:59)</f>
        <v>100</v>
      </c>
      <c r="G7" s="371">
        <f>C7</f>
        <v>44495</v>
      </c>
      <c r="H7" s="370">
        <f>SUMIF(58:58,YEAR(G7)&amp;"-"&amp;MONTH(G7),59:59)</f>
        <v>100</v>
      </c>
      <c r="I7" s="371">
        <f>C7</f>
        <v>44495</v>
      </c>
      <c r="J7" s="370">
        <f>SUMIF(58:58,YEAR(I7)&amp;"-"&amp;MONTH(I7),59:59)</f>
        <v>100</v>
      </c>
      <c r="K7" s="2074"/>
      <c r="L7" s="2939"/>
      <c r="M7" s="2940"/>
      <c r="N7" s="2940"/>
      <c r="O7" s="2940"/>
      <c r="P7" s="3501" t="s">
        <v>2369</v>
      </c>
      <c r="Q7" s="3529"/>
      <c r="R7" s="709" t="s">
        <v>23</v>
      </c>
      <c r="S7" s="710">
        <f t="shared" ref="S7:S15" si="0">F7</f>
        <v>100</v>
      </c>
      <c r="T7" s="709" t="s">
        <v>23</v>
      </c>
      <c r="U7" s="710">
        <f t="shared" ref="U7:U15" si="1">H7</f>
        <v>100</v>
      </c>
      <c r="V7" s="709" t="s">
        <v>23</v>
      </c>
      <c r="W7" s="710">
        <f t="shared" ref="W7:W15" si="2">J7</f>
        <v>100</v>
      </c>
      <c r="X7" s="711"/>
      <c r="Y7" s="3501" t="s">
        <v>2369</v>
      </c>
      <c r="Z7" s="3502"/>
      <c r="AA7" s="712">
        <f>D7/F7</f>
        <v>1</v>
      </c>
      <c r="AB7" s="712">
        <f>D7/H7</f>
        <v>1</v>
      </c>
      <c r="AC7" s="712">
        <f>D7/J7</f>
        <v>1</v>
      </c>
    </row>
    <row r="8" spans="1:29" s="112" customFormat="1" ht="15.75" thickBot="1">
      <c r="A8" s="367" t="s">
        <v>2370</v>
      </c>
      <c r="B8" s="368"/>
      <c r="C8" s="373" t="s">
        <v>2371</v>
      </c>
      <c r="D8" s="370">
        <v>100</v>
      </c>
      <c r="E8" s="2075" t="s">
        <v>4215</v>
      </c>
      <c r="F8" s="372">
        <f>SUMIF(61:61,E8,62:62)-SUMIF(61:61,C8,62:62)+100</f>
        <v>100</v>
      </c>
      <c r="G8" s="373" t="s">
        <v>4215</v>
      </c>
      <c r="H8" s="370">
        <f>SUMIF(61:61,G8,62:62)-SUMIF(61:61,C8,62:62)+100</f>
        <v>100</v>
      </c>
      <c r="I8" s="2075" t="s">
        <v>4215</v>
      </c>
      <c r="J8" s="370">
        <f>SUMIF(61:61,I8,62:62)-SUMIF(61:61,C8,62:62)+100</f>
        <v>100</v>
      </c>
      <c r="K8" s="2074"/>
      <c r="L8" s="2939"/>
      <c r="M8" s="2940"/>
      <c r="N8" s="2940"/>
      <c r="O8" s="2940"/>
      <c r="P8" s="3501" t="s">
        <v>2372</v>
      </c>
      <c r="Q8" s="3502"/>
      <c r="R8" s="709" t="s">
        <v>23</v>
      </c>
      <c r="S8" s="710">
        <f t="shared" si="0"/>
        <v>100</v>
      </c>
      <c r="T8" s="709" t="s">
        <v>23</v>
      </c>
      <c r="U8" s="710">
        <f t="shared" si="1"/>
        <v>100</v>
      </c>
      <c r="V8" s="709" t="s">
        <v>23</v>
      </c>
      <c r="W8" s="710">
        <f t="shared" si="2"/>
        <v>100</v>
      </c>
      <c r="X8" s="711"/>
      <c r="Y8" s="3501" t="s">
        <v>2372</v>
      </c>
      <c r="Z8" s="3502"/>
      <c r="AA8" s="712">
        <f t="shared" ref="AA8:AA19" si="3">D8/F8</f>
        <v>1</v>
      </c>
      <c r="AB8" s="712">
        <f t="shared" ref="AB8:AB19" si="4">D8/H8</f>
        <v>1</v>
      </c>
      <c r="AC8" s="712">
        <f t="shared" ref="AC8:AC19" si="5">D8/J8</f>
        <v>1</v>
      </c>
    </row>
    <row r="9" spans="1:29" s="112" customFormat="1">
      <c r="A9" s="374" t="s">
        <v>2373</v>
      </c>
      <c r="B9" s="66" t="s">
        <v>2374</v>
      </c>
      <c r="C9" s="3159" t="s">
        <v>4421</v>
      </c>
      <c r="D9" s="130">
        <v>100</v>
      </c>
      <c r="E9" s="376" t="s">
        <v>3061</v>
      </c>
      <c r="F9" s="377">
        <f>SUMIF(63:63,E9,64:64)-SUMIF(63:63,C9,64:64)+100</f>
        <v>100</v>
      </c>
      <c r="G9" s="378" t="s">
        <v>3061</v>
      </c>
      <c r="H9" s="130">
        <f>SUMIF(63:63,G9,64:64)-SUMIF(63:63,C9,64:64)+100</f>
        <v>100</v>
      </c>
      <c r="I9" s="378" t="s">
        <v>3061</v>
      </c>
      <c r="J9" s="130">
        <f>SUMIF(63:63,I9,64:64)-SUMIF(63:63,C9,64:64)+100</f>
        <v>100</v>
      </c>
      <c r="K9" s="2074"/>
      <c r="L9" s="2939"/>
      <c r="M9" s="2940"/>
      <c r="N9" s="2940"/>
      <c r="O9" s="2940"/>
      <c r="P9" s="3539"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712">
        <f t="shared" si="5"/>
        <v>1</v>
      </c>
    </row>
    <row r="10" spans="1:29" s="385" customFormat="1" ht="27">
      <c r="A10" s="379"/>
      <c r="B10" s="380" t="s">
        <v>2377</v>
      </c>
      <c r="C10" s="381" t="s">
        <v>4422</v>
      </c>
      <c r="D10" s="131">
        <v>100</v>
      </c>
      <c r="E10" s="382" t="s">
        <v>4422</v>
      </c>
      <c r="F10" s="383">
        <f>SUMIF(65:65,E10,66:66)-SUMIF(65:65,C10,66:66)+100</f>
        <v>100</v>
      </c>
      <c r="G10" s="381" t="s">
        <v>4422</v>
      </c>
      <c r="H10" s="131">
        <f>SUMIF(65:65,G10,66:66)-SUMIF(65:65,C10,66:66)+100</f>
        <v>100</v>
      </c>
      <c r="I10" s="381" t="s">
        <v>4422</v>
      </c>
      <c r="J10" s="131">
        <f>SUMIF(65:65,I10,66:66)-SUMIF(65:65,C10,66:66)+100</f>
        <v>100</v>
      </c>
      <c r="K10" s="384">
        <v>2</v>
      </c>
      <c r="L10" s="2941"/>
      <c r="M10" s="2942"/>
      <c r="N10" s="2942"/>
      <c r="O10" s="2942"/>
      <c r="P10" s="3539"/>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712">
        <f t="shared" si="5"/>
        <v>1</v>
      </c>
    </row>
    <row r="11" spans="1:29" ht="15">
      <c r="A11" s="386"/>
      <c r="B11" s="380" t="s">
        <v>2378</v>
      </c>
      <c r="C11" s="387">
        <v>1.01</v>
      </c>
      <c r="D11" s="131">
        <v>100</v>
      </c>
      <c r="E11" s="388">
        <v>0.62</v>
      </c>
      <c r="F11" s="383">
        <f>LOOKUP(E11,68:68,69:69)-LOOKUP(C11,68:68,69:69)+100</f>
        <v>102</v>
      </c>
      <c r="G11" s="387">
        <v>1.8</v>
      </c>
      <c r="H11" s="131">
        <f>LOOKUP(G11,68:68,69:69)-LOOKUP(C11,68:68,69:69)+100</f>
        <v>98</v>
      </c>
      <c r="I11" s="387">
        <v>2</v>
      </c>
      <c r="J11" s="131">
        <f>LOOKUP(I11,68:68,69:69)-LOOKUP(C11,68:68,69:69)+100</f>
        <v>96</v>
      </c>
      <c r="K11" s="384">
        <v>2</v>
      </c>
      <c r="L11" s="2943"/>
      <c r="M11" s="2938"/>
      <c r="N11" s="2938"/>
      <c r="O11" s="2938"/>
      <c r="P11" s="3539"/>
      <c r="Q11" s="1525" t="str">
        <f t="shared" si="6"/>
        <v>容积率</v>
      </c>
      <c r="R11" s="709" t="s">
        <v>21</v>
      </c>
      <c r="S11" s="710">
        <f t="shared" si="0"/>
        <v>102</v>
      </c>
      <c r="T11" s="709" t="s">
        <v>21</v>
      </c>
      <c r="U11" s="710">
        <f t="shared" si="1"/>
        <v>98</v>
      </c>
      <c r="V11" s="709" t="s">
        <v>21</v>
      </c>
      <c r="W11" s="710">
        <f t="shared" si="2"/>
        <v>96</v>
      </c>
      <c r="X11" s="711"/>
      <c r="Y11" s="3443"/>
      <c r="Z11" s="54" t="str">
        <f t="shared" si="7"/>
        <v>容积率</v>
      </c>
      <c r="AA11" s="712">
        <f t="shared" si="3"/>
        <v>0.98039215686274506</v>
      </c>
      <c r="AB11" s="712">
        <f t="shared" si="4"/>
        <v>1.0204081632653061</v>
      </c>
      <c r="AC11" s="712">
        <f t="shared" si="5"/>
        <v>1.0416666666666667</v>
      </c>
    </row>
    <row r="12" spans="1:29" s="112" customFormat="1" ht="15">
      <c r="A12" s="389"/>
      <c r="B12" s="3134" t="s">
        <v>4430</v>
      </c>
      <c r="C12" s="390"/>
      <c r="D12" s="391">
        <v>100</v>
      </c>
      <c r="E12" s="390"/>
      <c r="F12" s="383">
        <f>SUMIF(70:70,E12,71:71)-SUMIF(70:70,C12,71:71)+100</f>
        <v>100</v>
      </c>
      <c r="G12" s="390"/>
      <c r="H12" s="131">
        <f>SUMIF(70:70,G12,71:71)-SUMIF(70:70,C12,71:71)+100</f>
        <v>100</v>
      </c>
      <c r="I12" s="390"/>
      <c r="J12" s="131">
        <f>SUMIF(70:70,I12,71:71)-SUMIF(70:70,C12,71:71)+100</f>
        <v>100</v>
      </c>
      <c r="K12" s="2077"/>
      <c r="L12" s="2939"/>
      <c r="M12" s="2940"/>
      <c r="N12" s="2940"/>
      <c r="O12" s="2940"/>
      <c r="P12" s="3539"/>
      <c r="Q12" s="1525" t="str">
        <f t="shared" si="6"/>
        <v>是否为限价房</v>
      </c>
      <c r="R12" s="709" t="s">
        <v>21</v>
      </c>
      <c r="S12" s="710">
        <f t="shared" si="0"/>
        <v>100</v>
      </c>
      <c r="T12" s="709" t="s">
        <v>21</v>
      </c>
      <c r="U12" s="710">
        <f t="shared" si="1"/>
        <v>100</v>
      </c>
      <c r="V12" s="709" t="s">
        <v>21</v>
      </c>
      <c r="W12" s="710">
        <f t="shared" si="2"/>
        <v>100</v>
      </c>
      <c r="X12" s="711"/>
      <c r="Y12" s="3443"/>
      <c r="Z12" s="54" t="str">
        <f t="shared" si="7"/>
        <v>是否为限价房</v>
      </c>
      <c r="AA12" s="712">
        <f>D12/F12</f>
        <v>1</v>
      </c>
      <c r="AB12" s="712">
        <f>D12/H12</f>
        <v>1</v>
      </c>
      <c r="AC12" s="712">
        <f>D12/J12</f>
        <v>1</v>
      </c>
    </row>
    <row r="13" spans="1:29" ht="15">
      <c r="A13" s="386"/>
      <c r="B13" s="2076">
        <v>111</v>
      </c>
      <c r="C13" s="392"/>
      <c r="D13" s="393">
        <v>100</v>
      </c>
      <c r="E13" s="392"/>
      <c r="F13" s="383">
        <f>SUMIF(72:72,E13,73:73)-SUMIF(72:72,C13,73:73)+100</f>
        <v>100</v>
      </c>
      <c r="G13" s="392"/>
      <c r="H13" s="393">
        <f>SUMIF(72:72,G13,73:73)-SUMIF(72:72,C13,73:73)+100</f>
        <v>100</v>
      </c>
      <c r="I13" s="392"/>
      <c r="J13" s="393">
        <f>SUMIF(72:72,I13,73:73)-SUMIF(72:72,C13,73:73)+100</f>
        <v>100</v>
      </c>
      <c r="K13" s="2077"/>
      <c r="L13" s="2944"/>
      <c r="M13" s="2938"/>
      <c r="N13" s="2938"/>
      <c r="O13" s="2938"/>
      <c r="P13" s="3539"/>
      <c r="Q13" s="1525">
        <f t="shared" si="6"/>
        <v>111</v>
      </c>
      <c r="R13" s="709" t="s">
        <v>21</v>
      </c>
      <c r="S13" s="710">
        <f t="shared" si="0"/>
        <v>100</v>
      </c>
      <c r="T13" s="709" t="s">
        <v>21</v>
      </c>
      <c r="U13" s="710">
        <f t="shared" si="1"/>
        <v>100</v>
      </c>
      <c r="V13" s="709" t="s">
        <v>21</v>
      </c>
      <c r="W13" s="710">
        <f t="shared" si="2"/>
        <v>100</v>
      </c>
      <c r="X13" s="711"/>
      <c r="Y13" s="3443"/>
      <c r="Z13" s="54">
        <f t="shared" si="7"/>
        <v>111</v>
      </c>
      <c r="AA13" s="712">
        <f t="shared" si="3"/>
        <v>1</v>
      </c>
      <c r="AB13" s="712">
        <f t="shared" si="4"/>
        <v>1</v>
      </c>
      <c r="AC13" s="712">
        <f t="shared" si="5"/>
        <v>1</v>
      </c>
    </row>
    <row r="14" spans="1:29" ht="15.75" thickBot="1">
      <c r="A14" s="394"/>
      <c r="B14" s="2078">
        <v>111</v>
      </c>
      <c r="C14" s="395"/>
      <c r="D14" s="396">
        <v>100</v>
      </c>
      <c r="E14" s="395"/>
      <c r="F14" s="397">
        <f>SUMIF(74:74,E14,75:75)-SUMIF(74:74,C14,75:75)+100</f>
        <v>100</v>
      </c>
      <c r="G14" s="395"/>
      <c r="H14" s="396">
        <f>SUMIF(74:74,G14,75:75)-SUMIF(74:74,C14,75:75)+100</f>
        <v>100</v>
      </c>
      <c r="I14" s="395"/>
      <c r="J14" s="396">
        <f>SUMIF(74:74,I14,75:75)-SUMIF(74:74,C14,75:75)+100</f>
        <v>100</v>
      </c>
      <c r="K14" s="2077"/>
      <c r="L14" s="2944"/>
      <c r="M14" s="2938"/>
      <c r="N14" s="2938"/>
      <c r="O14" s="2938"/>
      <c r="P14" s="3539"/>
      <c r="Q14" s="1525">
        <f t="shared" si="6"/>
        <v>111</v>
      </c>
      <c r="R14" s="709" t="s">
        <v>21</v>
      </c>
      <c r="S14" s="710">
        <f t="shared" si="0"/>
        <v>100</v>
      </c>
      <c r="T14" s="709" t="s">
        <v>21</v>
      </c>
      <c r="U14" s="710">
        <f t="shared" si="1"/>
        <v>100</v>
      </c>
      <c r="V14" s="709" t="s">
        <v>21</v>
      </c>
      <c r="W14" s="710">
        <f t="shared" si="2"/>
        <v>100</v>
      </c>
      <c r="X14" s="711"/>
      <c r="Y14" s="3443"/>
      <c r="Z14" s="54">
        <f t="shared" si="7"/>
        <v>111</v>
      </c>
      <c r="AA14" s="712">
        <f t="shared" si="3"/>
        <v>1</v>
      </c>
      <c r="AB14" s="712">
        <f t="shared" si="4"/>
        <v>1</v>
      </c>
      <c r="AC14" s="712">
        <f t="shared" si="5"/>
        <v>1</v>
      </c>
    </row>
    <row r="15" spans="1:29" ht="15">
      <c r="A15" s="398" t="s">
        <v>2379</v>
      </c>
      <c r="B15" s="64" t="s">
        <v>1942</v>
      </c>
      <c r="C15" s="2079" t="str">
        <f>估价对象房地状况!C3</f>
        <v>一般</v>
      </c>
      <c r="D15" s="399">
        <v>100</v>
      </c>
      <c r="E15" s="402"/>
      <c r="F15" s="399">
        <f>SUMIF(76:76,E16,77:77)-SUMIF(76:76,C16,77:77)+100</f>
        <v>105</v>
      </c>
      <c r="G15" s="400"/>
      <c r="H15" s="399">
        <f>SUMIF(76:76,G16,77:77)-SUMIF(76:76,C16,77:77)+100</f>
        <v>105</v>
      </c>
      <c r="I15" s="400"/>
      <c r="J15" s="399">
        <f>SUMIF(76:76,I16,77:77)-SUMIF(76:76,C16,77:77)+100</f>
        <v>105</v>
      </c>
      <c r="K15" s="403">
        <v>5</v>
      </c>
      <c r="L15" s="2944"/>
      <c r="M15" s="2938"/>
      <c r="N15" s="2938"/>
      <c r="O15" s="2938"/>
      <c r="P15" s="3555" t="s">
        <v>2380</v>
      </c>
      <c r="Q15" s="1534" t="str">
        <f t="shared" si="6"/>
        <v>居住社区成熟度</v>
      </c>
      <c r="R15" s="713" t="s">
        <v>21</v>
      </c>
      <c r="S15" s="714">
        <f t="shared" si="0"/>
        <v>105</v>
      </c>
      <c r="T15" s="713" t="s">
        <v>21</v>
      </c>
      <c r="U15" s="714">
        <f t="shared" si="1"/>
        <v>105</v>
      </c>
      <c r="V15" s="713" t="s">
        <v>21</v>
      </c>
      <c r="W15" s="714">
        <f t="shared" si="2"/>
        <v>105</v>
      </c>
      <c r="X15" s="1537"/>
      <c r="Y15" s="3530" t="s">
        <v>2380</v>
      </c>
      <c r="Z15" s="1538" t="str">
        <f t="shared" si="7"/>
        <v>居住社区成熟度</v>
      </c>
      <c r="AA15" s="1535">
        <f t="shared" si="3"/>
        <v>0.95238095238095233</v>
      </c>
      <c r="AB15" s="1535">
        <f t="shared" si="4"/>
        <v>0.95238095238095233</v>
      </c>
      <c r="AC15" s="1535">
        <f t="shared" si="5"/>
        <v>0.95238095238095233</v>
      </c>
    </row>
    <row r="16" spans="1:29" ht="15">
      <c r="A16" s="386"/>
      <c r="B16" s="404"/>
      <c r="C16" s="405" t="s">
        <v>4350</v>
      </c>
      <c r="D16" s="406"/>
      <c r="E16" s="2080" t="s">
        <v>4351</v>
      </c>
      <c r="F16" s="406"/>
      <c r="G16" s="2081" t="s">
        <v>4351</v>
      </c>
      <c r="H16" s="408"/>
      <c r="I16" s="2081" t="s">
        <v>4351</v>
      </c>
      <c r="J16" s="406"/>
      <c r="K16" s="2082"/>
      <c r="L16" s="2944"/>
      <c r="M16" s="2938"/>
      <c r="N16" s="2938"/>
      <c r="O16" s="2938"/>
      <c r="P16" s="3556"/>
      <c r="Q16" s="1534"/>
      <c r="R16" s="713"/>
      <c r="S16" s="714"/>
      <c r="T16" s="713"/>
      <c r="U16" s="714"/>
      <c r="V16" s="713"/>
      <c r="W16" s="714"/>
      <c r="X16" s="1537"/>
      <c r="Y16" s="3531"/>
      <c r="Z16" s="1538"/>
      <c r="AA16" s="1535">
        <v>1</v>
      </c>
      <c r="AB16" s="1535">
        <v>1</v>
      </c>
      <c r="AC16" s="1535">
        <v>1</v>
      </c>
    </row>
    <row r="17" spans="1:29" ht="15">
      <c r="A17" s="386"/>
      <c r="B17" s="409" t="s">
        <v>1944</v>
      </c>
      <c r="C17" s="2083" t="str">
        <f>估价对象房地状况!C6</f>
        <v>一般</v>
      </c>
      <c r="D17" s="408">
        <v>100</v>
      </c>
      <c r="E17" s="412"/>
      <c r="F17" s="408">
        <f>SUMIF(78:78,E18,79:79)-SUMIF(78:78,C18,79:79)+100</f>
        <v>100</v>
      </c>
      <c r="G17" s="410"/>
      <c r="H17" s="413">
        <f>SUMIF(78:78,G18,79:79)-SUMIF(78:78,C18,79:79)+100</f>
        <v>100</v>
      </c>
      <c r="I17" s="410"/>
      <c r="J17" s="413">
        <f>SUMIF(78:78,I18,79:79)-SUMIF(78:78,C18,79:79)+100</f>
        <v>100</v>
      </c>
      <c r="K17" s="403">
        <v>2</v>
      </c>
      <c r="L17" s="2944"/>
      <c r="M17" s="2938"/>
      <c r="N17" s="2938"/>
      <c r="O17" s="2938"/>
      <c r="P17" s="3556"/>
      <c r="Q17" s="1534" t="str">
        <f>B17</f>
        <v>交通便捷度</v>
      </c>
      <c r="R17" s="713" t="s">
        <v>21</v>
      </c>
      <c r="S17" s="714">
        <f>F17</f>
        <v>100</v>
      </c>
      <c r="T17" s="713" t="s">
        <v>21</v>
      </c>
      <c r="U17" s="714">
        <f>H17</f>
        <v>100</v>
      </c>
      <c r="V17" s="713" t="s">
        <v>21</v>
      </c>
      <c r="W17" s="714">
        <f>J17</f>
        <v>100</v>
      </c>
      <c r="X17" s="1537"/>
      <c r="Y17" s="3531"/>
      <c r="Z17" s="1538" t="str">
        <f>Q17</f>
        <v>交通便捷度</v>
      </c>
      <c r="AA17" s="1535">
        <f t="shared" si="3"/>
        <v>1</v>
      </c>
      <c r="AB17" s="1535">
        <f t="shared" si="4"/>
        <v>1</v>
      </c>
      <c r="AC17" s="1535">
        <f t="shared" si="5"/>
        <v>1</v>
      </c>
    </row>
    <row r="18" spans="1:29" ht="15">
      <c r="A18" s="386"/>
      <c r="B18" s="414"/>
      <c r="C18" s="2084" t="s">
        <v>4350</v>
      </c>
      <c r="D18" s="408"/>
      <c r="E18" s="2085" t="s">
        <v>4350</v>
      </c>
      <c r="F18" s="408"/>
      <c r="G18" s="2086" t="s">
        <v>4350</v>
      </c>
      <c r="H18" s="406"/>
      <c r="I18" s="2086" t="s">
        <v>4350</v>
      </c>
      <c r="J18" s="406"/>
      <c r="K18" s="2082"/>
      <c r="L18" s="2944"/>
      <c r="M18" s="2938"/>
      <c r="N18" s="2938"/>
      <c r="O18" s="2938"/>
      <c r="P18" s="3556"/>
      <c r="Q18" s="1534"/>
      <c r="R18" s="713"/>
      <c r="S18" s="714"/>
      <c r="T18" s="713"/>
      <c r="U18" s="714"/>
      <c r="V18" s="713"/>
      <c r="W18" s="714"/>
      <c r="X18" s="1537"/>
      <c r="Y18" s="3531"/>
      <c r="Z18" s="1538"/>
      <c r="AA18" s="1535">
        <v>1</v>
      </c>
      <c r="AB18" s="1535">
        <v>1</v>
      </c>
      <c r="AC18" s="1535">
        <v>1</v>
      </c>
    </row>
    <row r="19" spans="1:29" ht="15">
      <c r="A19" s="386"/>
      <c r="B19" s="409" t="s">
        <v>1943</v>
      </c>
      <c r="C19" s="2083" t="str">
        <f>估价对象房地状况!C7</f>
        <v>一般</v>
      </c>
      <c r="D19" s="413">
        <v>100</v>
      </c>
      <c r="E19" s="417"/>
      <c r="F19" s="413">
        <f>SUMIF(80:80,E20,81:81)-SUMIF(80:80,C20,81:81)+100</f>
        <v>102</v>
      </c>
      <c r="G19" s="415"/>
      <c r="H19" s="408">
        <f>SUMIF(80:80,G20,81:81)-SUMIF(80:80,C20,81:81)+100</f>
        <v>102</v>
      </c>
      <c r="I19" s="415"/>
      <c r="J19" s="408">
        <f>SUMIF(80:80,I20,81:81)-SUMIF(80:80,C20,81:81)+100</f>
        <v>102</v>
      </c>
      <c r="K19" s="403">
        <v>2</v>
      </c>
      <c r="L19" s="2944"/>
      <c r="M19" s="2938"/>
      <c r="N19" s="2938"/>
      <c r="O19" s="2938"/>
      <c r="P19" s="3556"/>
      <c r="Q19" s="1534" t="str">
        <f>B19</f>
        <v>公共配套设施</v>
      </c>
      <c r="R19" s="713" t="s">
        <v>21</v>
      </c>
      <c r="S19" s="714">
        <f>F19</f>
        <v>102</v>
      </c>
      <c r="T19" s="713" t="s">
        <v>21</v>
      </c>
      <c r="U19" s="714">
        <f>H19</f>
        <v>102</v>
      </c>
      <c r="V19" s="713" t="s">
        <v>21</v>
      </c>
      <c r="W19" s="714">
        <f>J19</f>
        <v>102</v>
      </c>
      <c r="X19" s="1537"/>
      <c r="Y19" s="3531"/>
      <c r="Z19" s="1538" t="str">
        <f>Q19</f>
        <v>公共配套设施</v>
      </c>
      <c r="AA19" s="1535">
        <f t="shared" si="3"/>
        <v>0.98039215686274506</v>
      </c>
      <c r="AB19" s="1535">
        <f t="shared" si="4"/>
        <v>0.98039215686274506</v>
      </c>
      <c r="AC19" s="1535">
        <f t="shared" si="5"/>
        <v>0.98039215686274506</v>
      </c>
    </row>
    <row r="20" spans="1:29" ht="15">
      <c r="A20" s="386"/>
      <c r="B20" s="414"/>
      <c r="C20" s="405" t="s">
        <v>4350</v>
      </c>
      <c r="D20" s="406"/>
      <c r="E20" s="2080" t="s">
        <v>4351</v>
      </c>
      <c r="F20" s="406"/>
      <c r="G20" s="2081" t="s">
        <v>4351</v>
      </c>
      <c r="H20" s="406"/>
      <c r="I20" s="2081" t="s">
        <v>4351</v>
      </c>
      <c r="J20" s="406"/>
      <c r="K20" s="2082"/>
      <c r="L20" s="2944"/>
      <c r="M20" s="2938"/>
      <c r="N20" s="2938"/>
      <c r="O20" s="2938"/>
      <c r="P20" s="3556"/>
      <c r="Q20" s="1534"/>
      <c r="R20" s="713"/>
      <c r="S20" s="714"/>
      <c r="T20" s="713"/>
      <c r="U20" s="714"/>
      <c r="V20" s="713"/>
      <c r="W20" s="714"/>
      <c r="X20" s="1537"/>
      <c r="Y20" s="3531"/>
      <c r="Z20" s="1538"/>
      <c r="AA20" s="1535">
        <v>1</v>
      </c>
      <c r="AB20" s="1535">
        <v>1</v>
      </c>
      <c r="AC20" s="1535">
        <v>1</v>
      </c>
    </row>
    <row r="21" spans="1:29" ht="15">
      <c r="A21" s="386"/>
      <c r="B21" s="1292" t="s">
        <v>1945</v>
      </c>
      <c r="C21" s="2083"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v>2</v>
      </c>
      <c r="L21" s="2944"/>
      <c r="M21" s="2938"/>
      <c r="N21" s="2938"/>
      <c r="O21" s="2938"/>
      <c r="P21" s="3556"/>
      <c r="Q21" s="1534" t="str">
        <f>B21</f>
        <v>基础设施水平</v>
      </c>
      <c r="R21" s="713" t="s">
        <v>17</v>
      </c>
      <c r="S21" s="714">
        <f>F21</f>
        <v>100</v>
      </c>
      <c r="T21" s="713" t="s">
        <v>17</v>
      </c>
      <c r="U21" s="714">
        <f>H21</f>
        <v>100</v>
      </c>
      <c r="V21" s="713" t="s">
        <v>17</v>
      </c>
      <c r="W21" s="714">
        <f>J21</f>
        <v>100</v>
      </c>
      <c r="X21" s="1537"/>
      <c r="Y21" s="3531"/>
      <c r="Z21" s="1538" t="str">
        <f>Q21</f>
        <v>基础设施水平</v>
      </c>
      <c r="AA21" s="1535">
        <f t="shared" ref="AA21" si="8">D21/F21</f>
        <v>1</v>
      </c>
      <c r="AB21" s="1535">
        <f t="shared" ref="AB21" si="9">D21/H21</f>
        <v>1</v>
      </c>
      <c r="AC21" s="1535">
        <f t="shared" ref="AC21" si="10">D21/J21</f>
        <v>1</v>
      </c>
    </row>
    <row r="22" spans="1:29" ht="15">
      <c r="A22" s="386"/>
      <c r="B22" s="1292"/>
      <c r="C22" s="2084" t="s">
        <v>4316</v>
      </c>
      <c r="D22" s="406"/>
      <c r="E22" s="405" t="s">
        <v>4316</v>
      </c>
      <c r="F22" s="406"/>
      <c r="G22" s="2087" t="s">
        <v>4316</v>
      </c>
      <c r="H22" s="406"/>
      <c r="I22" s="405" t="s">
        <v>4316</v>
      </c>
      <c r="J22" s="406"/>
      <c r="K22" s="2088"/>
      <c r="L22" s="2944"/>
      <c r="M22" s="2938"/>
      <c r="N22" s="2938"/>
      <c r="O22" s="2938"/>
      <c r="P22" s="3556"/>
      <c r="Q22" s="1534"/>
      <c r="R22" s="713"/>
      <c r="S22" s="714"/>
      <c r="T22" s="713"/>
      <c r="U22" s="714"/>
      <c r="V22" s="713"/>
      <c r="W22" s="714"/>
      <c r="X22" s="1537"/>
      <c r="Y22" s="3531"/>
      <c r="Z22" s="1538"/>
      <c r="AA22" s="1535">
        <v>1</v>
      </c>
      <c r="AB22" s="1535">
        <v>1</v>
      </c>
      <c r="AC22" s="1535">
        <v>1</v>
      </c>
    </row>
    <row r="23" spans="1:29" ht="15">
      <c r="A23" s="386"/>
      <c r="B23" s="409" t="s">
        <v>1946</v>
      </c>
      <c r="C23" s="2083"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v>2</v>
      </c>
      <c r="L23" s="2944"/>
      <c r="M23" s="2938"/>
      <c r="N23" s="2938"/>
      <c r="O23" s="2938"/>
      <c r="P23" s="3556"/>
      <c r="Q23" s="1534" t="str">
        <f>B23</f>
        <v>自然及人文环境</v>
      </c>
      <c r="R23" s="713" t="s">
        <v>21</v>
      </c>
      <c r="S23" s="714">
        <f>F23</f>
        <v>100</v>
      </c>
      <c r="T23" s="713" t="s">
        <v>21</v>
      </c>
      <c r="U23" s="714">
        <f>H23</f>
        <v>100</v>
      </c>
      <c r="V23" s="713" t="s">
        <v>21</v>
      </c>
      <c r="W23" s="714">
        <f>J23</f>
        <v>100</v>
      </c>
      <c r="X23" s="1537"/>
      <c r="Y23" s="3531"/>
      <c r="Z23" s="1538" t="str">
        <f>Q23</f>
        <v>自然及人文环境</v>
      </c>
      <c r="AA23" s="1535">
        <f>D23/F23</f>
        <v>1</v>
      </c>
      <c r="AB23" s="1535">
        <f>D23/H23</f>
        <v>1</v>
      </c>
      <c r="AC23" s="1535">
        <f>D23/J23</f>
        <v>1</v>
      </c>
    </row>
    <row r="24" spans="1:29" ht="15">
      <c r="A24" s="386"/>
      <c r="B24" s="414"/>
      <c r="C24" s="405" t="s">
        <v>4350</v>
      </c>
      <c r="D24" s="406"/>
      <c r="E24" s="2080" t="s">
        <v>4350</v>
      </c>
      <c r="F24" s="406"/>
      <c r="G24" s="2081" t="s">
        <v>4350</v>
      </c>
      <c r="H24" s="406"/>
      <c r="I24" s="2081" t="s">
        <v>4350</v>
      </c>
      <c r="J24" s="406"/>
      <c r="K24" s="2082"/>
      <c r="L24" s="2944"/>
      <c r="M24" s="2938"/>
      <c r="N24" s="2938"/>
      <c r="O24" s="2938"/>
      <c r="P24" s="3556"/>
      <c r="Q24" s="1534"/>
      <c r="R24" s="713"/>
      <c r="S24" s="714"/>
      <c r="T24" s="713"/>
      <c r="U24" s="714"/>
      <c r="V24" s="713"/>
      <c r="W24" s="714"/>
      <c r="X24" s="1537"/>
      <c r="Y24" s="3531"/>
      <c r="Z24" s="1538"/>
      <c r="AA24" s="1535">
        <v>1</v>
      </c>
      <c r="AB24" s="1535">
        <v>1</v>
      </c>
      <c r="AC24" s="1535">
        <v>1</v>
      </c>
    </row>
    <row r="25" spans="1:29" ht="15">
      <c r="A25" s="386"/>
      <c r="B25" s="380" t="s">
        <v>2381</v>
      </c>
      <c r="C25" s="418"/>
      <c r="D25" s="393">
        <v>100</v>
      </c>
      <c r="E25" s="2089"/>
      <c r="F25" s="393">
        <f>SUMIF(86:86,E25,87:87)-SUMIF(86:86,C25,87:87)+100</f>
        <v>100</v>
      </c>
      <c r="G25" s="2090"/>
      <c r="H25" s="393">
        <f>SUMIF(86:86,G25,87:87)-SUMIF(86:86,C25,87:87)+100</f>
        <v>100</v>
      </c>
      <c r="I25" s="2090"/>
      <c r="J25" s="393">
        <f>SUMIF(86:86,I25,87:87)-SUMIF(86:86,C25,87:87)+100</f>
        <v>100</v>
      </c>
      <c r="K25" s="384"/>
      <c r="L25" s="2944"/>
      <c r="M25" s="2938"/>
      <c r="N25" s="2938"/>
      <c r="O25" s="2938"/>
      <c r="P25" s="3556"/>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531"/>
      <c r="Z25" s="1538" t="str">
        <f>Q25</f>
        <v>楼层-1</v>
      </c>
      <c r="AA25" s="1535">
        <f t="shared" ref="AA25:AA46" si="15">D25/F25</f>
        <v>1</v>
      </c>
      <c r="AB25" s="1535">
        <f t="shared" ref="AB25:AB46" si="16">D25/H25</f>
        <v>1</v>
      </c>
      <c r="AC25" s="1535">
        <f t="shared" ref="AC25:AC46" si="17">D25/J25</f>
        <v>1</v>
      </c>
    </row>
    <row r="26" spans="1:29" ht="15">
      <c r="A26" s="386"/>
      <c r="B26" s="380" t="s">
        <v>2382</v>
      </c>
      <c r="C26" s="418"/>
      <c r="D26" s="393">
        <v>100</v>
      </c>
      <c r="E26" s="2089"/>
      <c r="F26" s="393">
        <f>SUMIF(88:88,E26,89:89)-SUMIF(88:88,C26,89:89)+100</f>
        <v>100</v>
      </c>
      <c r="G26" s="2090"/>
      <c r="H26" s="393">
        <f>SUMIF(88:88,G26,89:89)-SUMIF(88:88,C26,89:89)+100</f>
        <v>100</v>
      </c>
      <c r="I26" s="2090"/>
      <c r="J26" s="393">
        <f>SUMIF(88:88,I26,89:89)-SUMIF(88:88,C26,89:89)+100</f>
        <v>100</v>
      </c>
      <c r="K26" s="384"/>
      <c r="L26" s="2944"/>
      <c r="M26" s="2938"/>
      <c r="N26" s="2938"/>
      <c r="O26" s="2938"/>
      <c r="P26" s="3556"/>
      <c r="Q26" s="1534" t="str">
        <f t="shared" si="11"/>
        <v>朝向</v>
      </c>
      <c r="R26" s="713" t="s">
        <v>21</v>
      </c>
      <c r="S26" s="714">
        <f t="shared" si="12"/>
        <v>100</v>
      </c>
      <c r="T26" s="713" t="s">
        <v>21</v>
      </c>
      <c r="U26" s="714">
        <f t="shared" si="13"/>
        <v>100</v>
      </c>
      <c r="V26" s="713" t="s">
        <v>21</v>
      </c>
      <c r="W26" s="714">
        <f t="shared" si="14"/>
        <v>100</v>
      </c>
      <c r="X26" s="1537"/>
      <c r="Y26" s="3531"/>
      <c r="Z26" s="1538" t="str">
        <f>Q26</f>
        <v>朝向</v>
      </c>
      <c r="AA26" s="1535">
        <f t="shared" si="15"/>
        <v>1</v>
      </c>
      <c r="AB26" s="1535">
        <f t="shared" si="16"/>
        <v>1</v>
      </c>
      <c r="AC26" s="1535">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7"/>
      <c r="L27" s="2939"/>
      <c r="M27" s="2940"/>
      <c r="N27" s="2940"/>
      <c r="O27" s="2940"/>
      <c r="P27" s="3556"/>
      <c r="Q27" s="1525">
        <f t="shared" si="11"/>
        <v>111</v>
      </c>
      <c r="R27" s="709" t="s">
        <v>21</v>
      </c>
      <c r="S27" s="710">
        <f t="shared" si="12"/>
        <v>100</v>
      </c>
      <c r="T27" s="709" t="s">
        <v>21</v>
      </c>
      <c r="U27" s="710">
        <f t="shared" si="13"/>
        <v>100</v>
      </c>
      <c r="V27" s="709" t="s">
        <v>21</v>
      </c>
      <c r="W27" s="710">
        <f t="shared" si="14"/>
        <v>100</v>
      </c>
      <c r="X27" s="711"/>
      <c r="Y27" s="3531"/>
      <c r="Z27" s="54">
        <f>Q27</f>
        <v>111</v>
      </c>
      <c r="AA27" s="1535">
        <f t="shared" si="15"/>
        <v>1</v>
      </c>
      <c r="AB27" s="1535">
        <f t="shared" si="16"/>
        <v>1</v>
      </c>
      <c r="AC27" s="1535">
        <f t="shared" si="17"/>
        <v>1</v>
      </c>
    </row>
    <row r="28" spans="1:29" ht="15">
      <c r="A28" s="386"/>
      <c r="B28" s="1294">
        <v>111</v>
      </c>
      <c r="C28" s="392"/>
      <c r="D28" s="393">
        <v>100</v>
      </c>
      <c r="E28" s="392"/>
      <c r="F28" s="393">
        <f>SUMIF(92:92,E28,93:93)-SUMIF(92:92,C28,93:93)+100</f>
        <v>100</v>
      </c>
      <c r="G28" s="2091"/>
      <c r="H28" s="393">
        <f>SUMIF(92:92,G28,93:93)-SUMIF(92:92,C28,93:93)+100</f>
        <v>100</v>
      </c>
      <c r="I28" s="392"/>
      <c r="J28" s="393">
        <f>SUMIF(92:92,I28,93:93)-SUMIF(92:92,C28,93:93)+100</f>
        <v>100</v>
      </c>
      <c r="K28" s="2077"/>
      <c r="L28" s="2944"/>
      <c r="M28" s="2938"/>
      <c r="N28" s="2938"/>
      <c r="O28" s="2938"/>
      <c r="P28" s="3556"/>
      <c r="Q28" s="1534">
        <f t="shared" si="11"/>
        <v>111</v>
      </c>
      <c r="R28" s="713" t="s">
        <v>21</v>
      </c>
      <c r="S28" s="714">
        <f t="shared" si="12"/>
        <v>100</v>
      </c>
      <c r="T28" s="713" t="s">
        <v>21</v>
      </c>
      <c r="U28" s="714">
        <f t="shared" si="13"/>
        <v>100</v>
      </c>
      <c r="V28" s="713" t="s">
        <v>21</v>
      </c>
      <c r="W28" s="714">
        <f t="shared" si="14"/>
        <v>100</v>
      </c>
      <c r="X28" s="1537"/>
      <c r="Y28" s="3531"/>
      <c r="Z28" s="1538">
        <f t="shared" ref="Z28:Z46" si="18">Q28</f>
        <v>111</v>
      </c>
      <c r="AA28" s="1535">
        <f t="shared" si="15"/>
        <v>1</v>
      </c>
      <c r="AB28" s="1535">
        <f t="shared" si="16"/>
        <v>1</v>
      </c>
      <c r="AC28" s="1535">
        <f t="shared" si="17"/>
        <v>1</v>
      </c>
    </row>
    <row r="29" spans="1:29" ht="15">
      <c r="A29" s="386"/>
      <c r="B29" s="1294">
        <v>111</v>
      </c>
      <c r="C29" s="392"/>
      <c r="D29" s="393">
        <v>100</v>
      </c>
      <c r="E29" s="392"/>
      <c r="F29" s="393">
        <f>SUMIF(94:94,E29,95:95)-SUMIF(94:94,C29,95:95)+100</f>
        <v>100</v>
      </c>
      <c r="G29" s="2091"/>
      <c r="H29" s="393">
        <f>SUMIF(94:94,G29,95:95)-SUMIF(94:94,C29,95:95)+100</f>
        <v>100</v>
      </c>
      <c r="I29" s="392"/>
      <c r="J29" s="393">
        <f>SUMIF(94:94,I29,95:95)-SUMIF(94:94,C29,95:95)+100</f>
        <v>100</v>
      </c>
      <c r="K29" s="2077"/>
      <c r="L29" s="2944"/>
      <c r="M29" s="2938"/>
      <c r="N29" s="2938"/>
      <c r="O29" s="2938"/>
      <c r="P29" s="3556"/>
      <c r="Q29" s="1534">
        <f t="shared" si="11"/>
        <v>111</v>
      </c>
      <c r="R29" s="713" t="s">
        <v>21</v>
      </c>
      <c r="S29" s="714">
        <f t="shared" si="12"/>
        <v>100</v>
      </c>
      <c r="T29" s="713" t="s">
        <v>21</v>
      </c>
      <c r="U29" s="714">
        <f t="shared" si="13"/>
        <v>100</v>
      </c>
      <c r="V29" s="713" t="s">
        <v>21</v>
      </c>
      <c r="W29" s="714">
        <f t="shared" si="14"/>
        <v>100</v>
      </c>
      <c r="X29" s="1537"/>
      <c r="Y29" s="3531"/>
      <c r="Z29" s="1538">
        <f t="shared" si="18"/>
        <v>111</v>
      </c>
      <c r="AA29" s="1535">
        <f t="shared" si="15"/>
        <v>1</v>
      </c>
      <c r="AB29" s="1535">
        <f t="shared" si="16"/>
        <v>1</v>
      </c>
      <c r="AC29" s="1535">
        <f t="shared" si="17"/>
        <v>1</v>
      </c>
    </row>
    <row r="30" spans="1:29" ht="15">
      <c r="A30" s="386"/>
      <c r="B30" s="1294">
        <v>111</v>
      </c>
      <c r="C30" s="392"/>
      <c r="D30" s="393">
        <v>100</v>
      </c>
      <c r="E30" s="392"/>
      <c r="F30" s="393">
        <f>SUMIF(96:96,E30,97:97)-SUMIF(96:96,C30,97:97)+100</f>
        <v>100</v>
      </c>
      <c r="G30" s="2091"/>
      <c r="H30" s="393">
        <f>SUMIF(96:96,G30,97:97)-SUMIF(96:96,C30,97:97)+100</f>
        <v>100</v>
      </c>
      <c r="I30" s="392"/>
      <c r="J30" s="393">
        <f>SUMIF(96:96,I30,97:97)-SUMIF(96:96,C30,97:97)+100</f>
        <v>100</v>
      </c>
      <c r="K30" s="2077"/>
      <c r="L30" s="2944"/>
      <c r="M30" s="2938"/>
      <c r="N30" s="2938"/>
      <c r="O30" s="2938"/>
      <c r="P30" s="3556"/>
      <c r="Q30" s="1534">
        <f t="shared" si="11"/>
        <v>111</v>
      </c>
      <c r="R30" s="713" t="s">
        <v>21</v>
      </c>
      <c r="S30" s="714">
        <f t="shared" si="12"/>
        <v>100</v>
      </c>
      <c r="T30" s="713" t="s">
        <v>21</v>
      </c>
      <c r="U30" s="714">
        <f t="shared" si="13"/>
        <v>100</v>
      </c>
      <c r="V30" s="713" t="s">
        <v>21</v>
      </c>
      <c r="W30" s="714">
        <f t="shared" si="14"/>
        <v>100</v>
      </c>
      <c r="X30" s="1537"/>
      <c r="Y30" s="3531"/>
      <c r="Z30" s="1538">
        <f t="shared" si="18"/>
        <v>111</v>
      </c>
      <c r="AA30" s="1535">
        <f t="shared" si="15"/>
        <v>1</v>
      </c>
      <c r="AB30" s="1535">
        <f t="shared" si="16"/>
        <v>1</v>
      </c>
      <c r="AC30" s="1535">
        <f t="shared" si="17"/>
        <v>1</v>
      </c>
    </row>
    <row r="31" spans="1:29" ht="15.75" thickBot="1">
      <c r="A31" s="394"/>
      <c r="B31" s="1294">
        <v>111</v>
      </c>
      <c r="C31" s="395"/>
      <c r="D31" s="396">
        <v>100</v>
      </c>
      <c r="E31" s="395"/>
      <c r="F31" s="396">
        <f>SUMIF(98:98,E31,99:99)-SUMIF(98:98,C31,99:99)+100</f>
        <v>100</v>
      </c>
      <c r="G31" s="2092"/>
      <c r="H31" s="396">
        <f>SUMIF(98:98,G31,99:99)-SUMIF(98:98,C31,99:99)+100</f>
        <v>100</v>
      </c>
      <c r="I31" s="395"/>
      <c r="J31" s="396">
        <f>SUMIF(98:98,I31,99:99)-SUMIF(98:98,C31,99:99)+100</f>
        <v>100</v>
      </c>
      <c r="K31" s="2077"/>
      <c r="L31" s="2944"/>
      <c r="M31" s="2938"/>
      <c r="N31" s="2938"/>
      <c r="O31" s="2938"/>
      <c r="P31" s="3556"/>
      <c r="Q31" s="1534">
        <f t="shared" si="11"/>
        <v>111</v>
      </c>
      <c r="R31" s="713" t="s">
        <v>21</v>
      </c>
      <c r="S31" s="714">
        <f t="shared" si="12"/>
        <v>100</v>
      </c>
      <c r="T31" s="713" t="s">
        <v>21</v>
      </c>
      <c r="U31" s="714">
        <f t="shared" si="13"/>
        <v>100</v>
      </c>
      <c r="V31" s="713" t="s">
        <v>21</v>
      </c>
      <c r="W31" s="714">
        <f t="shared" si="14"/>
        <v>100</v>
      </c>
      <c r="X31" s="1537"/>
      <c r="Y31" s="3531"/>
      <c r="Z31" s="1538">
        <f t="shared" si="18"/>
        <v>111</v>
      </c>
      <c r="AA31" s="1535">
        <f t="shared" si="15"/>
        <v>1</v>
      </c>
      <c r="AB31" s="1535">
        <f t="shared" si="16"/>
        <v>1</v>
      </c>
      <c r="AC31" s="1535">
        <f t="shared" si="17"/>
        <v>1</v>
      </c>
    </row>
    <row r="32" spans="1:29" ht="15">
      <c r="A32" s="398" t="s">
        <v>2383</v>
      </c>
      <c r="B32" s="66" t="s">
        <v>2384</v>
      </c>
      <c r="C32" s="2093" t="s">
        <v>4443</v>
      </c>
      <c r="D32" s="425">
        <v>100</v>
      </c>
      <c r="E32" s="2094" t="s">
        <v>4443</v>
      </c>
      <c r="F32" s="419">
        <f>SUMIF(100:100,E32,101:101)-SUMIF(100:100,C32,101:101)+100</f>
        <v>100</v>
      </c>
      <c r="G32" s="2093" t="s">
        <v>4445</v>
      </c>
      <c r="H32" s="425">
        <f>SUMIF(100:100,G32,101:101)-SUMIF(100:100,C32,101:101)+100</f>
        <v>90</v>
      </c>
      <c r="I32" s="2094" t="s">
        <v>4445</v>
      </c>
      <c r="J32" s="393">
        <f>SUMIF(100:100,I32,101:101)-SUMIF(100:100,C32,101:101)+100</f>
        <v>90</v>
      </c>
      <c r="K32" s="384">
        <v>10</v>
      </c>
      <c r="L32" s="2944"/>
      <c r="M32" s="2938"/>
      <c r="N32" s="2938"/>
      <c r="O32" s="2938"/>
      <c r="P32" s="3551" t="s">
        <v>2385</v>
      </c>
      <c r="Q32" s="1534" t="str">
        <f t="shared" si="11"/>
        <v>建筑类型</v>
      </c>
      <c r="R32" s="713" t="s">
        <v>21</v>
      </c>
      <c r="S32" s="714">
        <f t="shared" si="12"/>
        <v>100</v>
      </c>
      <c r="T32" s="713" t="s">
        <v>21</v>
      </c>
      <c r="U32" s="714">
        <f t="shared" si="13"/>
        <v>90</v>
      </c>
      <c r="V32" s="713" t="s">
        <v>21</v>
      </c>
      <c r="W32" s="714">
        <f t="shared" si="14"/>
        <v>90</v>
      </c>
      <c r="X32" s="1537"/>
      <c r="Y32" s="3533" t="s">
        <v>2385</v>
      </c>
      <c r="Z32" s="1538" t="str">
        <f t="shared" si="18"/>
        <v>建筑类型</v>
      </c>
      <c r="AA32" s="1535">
        <f t="shared" si="15"/>
        <v>1</v>
      </c>
      <c r="AB32" s="1535">
        <f t="shared" si="16"/>
        <v>1.1111111111111112</v>
      </c>
      <c r="AC32" s="1535">
        <f t="shared" si="17"/>
        <v>1.1111111111111112</v>
      </c>
    </row>
    <row r="33" spans="1:29" s="429" customFormat="1" ht="15">
      <c r="A33" s="426"/>
      <c r="B33" s="380" t="s">
        <v>2386</v>
      </c>
      <c r="C33" s="427">
        <f>规证!C105</f>
        <v>89237</v>
      </c>
      <c r="D33" s="131">
        <v>100</v>
      </c>
      <c r="E33" s="388">
        <v>318830</v>
      </c>
      <c r="F33" s="383">
        <f>LOOKUP(E33,103:103,104:104)-LOOKUP(C33,103:103,104:104)+100</f>
        <v>106</v>
      </c>
      <c r="G33" s="387">
        <v>65458</v>
      </c>
      <c r="H33" s="131">
        <f>LOOKUP(G33,103:103,104:104)-LOOKUP(C33,103:103,104:104)+100</f>
        <v>100</v>
      </c>
      <c r="I33" s="388">
        <v>132950</v>
      </c>
      <c r="J33" s="131">
        <f>LOOKUP(I33,103:103,104:104)-LOOKUP(C33,103:103,104:104)+100</f>
        <v>102</v>
      </c>
      <c r="K33" s="2077"/>
      <c r="L33" s="2943"/>
      <c r="M33" s="2945"/>
      <c r="N33" s="2945"/>
      <c r="O33" s="2945"/>
      <c r="P33" s="3552"/>
      <c r="Q33" s="715" t="str">
        <f t="shared" si="11"/>
        <v>项目建筑规模</v>
      </c>
      <c r="R33" s="716" t="s">
        <v>21</v>
      </c>
      <c r="S33" s="717">
        <f t="shared" si="12"/>
        <v>106</v>
      </c>
      <c r="T33" s="716" t="s">
        <v>21</v>
      </c>
      <c r="U33" s="717">
        <f t="shared" si="13"/>
        <v>100</v>
      </c>
      <c r="V33" s="716" t="s">
        <v>21</v>
      </c>
      <c r="W33" s="717">
        <f t="shared" si="14"/>
        <v>102</v>
      </c>
      <c r="X33" s="718"/>
      <c r="Y33" s="3533"/>
      <c r="Z33" s="719" t="str">
        <f t="shared" si="18"/>
        <v>项目建筑规模</v>
      </c>
      <c r="AA33" s="1535">
        <f t="shared" si="15"/>
        <v>0.94339622641509435</v>
      </c>
      <c r="AB33" s="1535">
        <f t="shared" si="16"/>
        <v>1</v>
      </c>
      <c r="AC33" s="1535">
        <f t="shared" si="17"/>
        <v>0.98039215686274506</v>
      </c>
    </row>
    <row r="34" spans="1:29" ht="15">
      <c r="A34" s="430"/>
      <c r="B34" s="380" t="s">
        <v>2387</v>
      </c>
      <c r="C34" s="2095" t="s">
        <v>4423</v>
      </c>
      <c r="D34" s="393">
        <v>100</v>
      </c>
      <c r="E34" s="2096" t="s">
        <v>4423</v>
      </c>
      <c r="F34" s="419">
        <f>SUMIF(105:105,E34,106:106)-SUMIF(105:105,C34,106:106)+100</f>
        <v>100</v>
      </c>
      <c r="G34" s="2096" t="s">
        <v>4423</v>
      </c>
      <c r="H34" s="393">
        <f>SUMIF(105:105,G34,106:106)-SUMIF(105:105,C34,106:106)+100</f>
        <v>100</v>
      </c>
      <c r="I34" s="2096" t="s">
        <v>4423</v>
      </c>
      <c r="J34" s="393">
        <f>SUMIF(105:105,I34,106:106)-SUMIF(105:105,C34,106:106)+100</f>
        <v>100</v>
      </c>
      <c r="K34" s="384">
        <v>2</v>
      </c>
      <c r="L34" s="2944"/>
      <c r="M34" s="2938"/>
      <c r="N34" s="2938"/>
      <c r="O34" s="2938"/>
      <c r="P34" s="3552"/>
      <c r="Q34" s="1534" t="str">
        <f t="shared" si="11"/>
        <v>建筑结构</v>
      </c>
      <c r="R34" s="713" t="s">
        <v>21</v>
      </c>
      <c r="S34" s="714">
        <f t="shared" si="12"/>
        <v>100</v>
      </c>
      <c r="T34" s="713" t="s">
        <v>21</v>
      </c>
      <c r="U34" s="714">
        <f t="shared" si="13"/>
        <v>100</v>
      </c>
      <c r="V34" s="713" t="s">
        <v>21</v>
      </c>
      <c r="W34" s="714">
        <f t="shared" si="14"/>
        <v>100</v>
      </c>
      <c r="X34" s="1537"/>
      <c r="Y34" s="3533"/>
      <c r="Z34" s="1538" t="str">
        <f t="shared" si="18"/>
        <v>建筑结构</v>
      </c>
      <c r="AA34" s="1535">
        <f t="shared" si="15"/>
        <v>1</v>
      </c>
      <c r="AB34" s="1535">
        <f t="shared" si="16"/>
        <v>1</v>
      </c>
      <c r="AC34" s="1535">
        <f t="shared" si="17"/>
        <v>1</v>
      </c>
    </row>
    <row r="35" spans="1:29" ht="15">
      <c r="A35" s="430"/>
      <c r="B35" s="380" t="s">
        <v>2388</v>
      </c>
      <c r="C35" s="2089" t="s">
        <v>4425</v>
      </c>
      <c r="D35" s="393">
        <v>100</v>
      </c>
      <c r="E35" s="2090" t="s">
        <v>4425</v>
      </c>
      <c r="F35" s="419">
        <f>SUMIF(107:107,E35,108:108)-SUMIF(107:107,C35,108:108)+100</f>
        <v>100</v>
      </c>
      <c r="G35" s="2090" t="s">
        <v>4425</v>
      </c>
      <c r="H35" s="393">
        <f>SUMIF(107:107,G35,108:108)-SUMIF(107:107,C35,108:108)+100</f>
        <v>100</v>
      </c>
      <c r="I35" s="2090" t="s">
        <v>4425</v>
      </c>
      <c r="J35" s="393">
        <f>SUMIF(107:107,I35,108:108)-SUMIF(107:107,C35,108:108)+100</f>
        <v>100</v>
      </c>
      <c r="K35" s="384">
        <v>2</v>
      </c>
      <c r="L35" s="2944"/>
      <c r="M35" s="2938"/>
      <c r="N35" s="2938"/>
      <c r="O35" s="2938"/>
      <c r="P35" s="3552"/>
      <c r="Q35" s="1534" t="str">
        <f t="shared" si="11"/>
        <v>建筑品质</v>
      </c>
      <c r="R35" s="713" t="s">
        <v>21</v>
      </c>
      <c r="S35" s="714">
        <f t="shared" si="12"/>
        <v>100</v>
      </c>
      <c r="T35" s="713" t="s">
        <v>21</v>
      </c>
      <c r="U35" s="714">
        <f t="shared" si="13"/>
        <v>100</v>
      </c>
      <c r="V35" s="713" t="s">
        <v>21</v>
      </c>
      <c r="W35" s="714">
        <f t="shared" si="14"/>
        <v>100</v>
      </c>
      <c r="X35" s="1537"/>
      <c r="Y35" s="3533"/>
      <c r="Z35" s="1538" t="str">
        <f t="shared" si="18"/>
        <v>建筑品质</v>
      </c>
      <c r="AA35" s="1535">
        <f t="shared" si="15"/>
        <v>1</v>
      </c>
      <c r="AB35" s="1535">
        <f t="shared" si="16"/>
        <v>1</v>
      </c>
      <c r="AC35" s="1535">
        <f t="shared" si="17"/>
        <v>1</v>
      </c>
    </row>
    <row r="36" spans="1:29" ht="15">
      <c r="A36" s="430"/>
      <c r="B36" s="380" t="s">
        <v>2389</v>
      </c>
      <c r="C36" s="2089"/>
      <c r="D36" s="393">
        <v>100</v>
      </c>
      <c r="E36" s="2090"/>
      <c r="F36" s="419">
        <f>SUMIF(109:109,E36,110:110)-SUMIF(109:109,C36,110:110)+100</f>
        <v>100</v>
      </c>
      <c r="G36" s="2089"/>
      <c r="H36" s="393">
        <f>SUMIF(109:109,G36,110:110)-SUMIF(109:109,C36,110:110)+100</f>
        <v>100</v>
      </c>
      <c r="I36" s="2090"/>
      <c r="J36" s="393">
        <f>SUMIF(109:109,I36,110:110)-SUMIF(109:109,C36,110:110)+100</f>
        <v>100</v>
      </c>
      <c r="K36" s="384"/>
      <c r="L36" s="2944"/>
      <c r="M36" s="2938"/>
      <c r="N36" s="2938"/>
      <c r="O36" s="2938"/>
      <c r="P36" s="3552"/>
      <c r="Q36" s="1534" t="str">
        <f t="shared" si="11"/>
        <v>公共部分装修</v>
      </c>
      <c r="R36" s="713" t="s">
        <v>21</v>
      </c>
      <c r="S36" s="714">
        <f t="shared" si="12"/>
        <v>100</v>
      </c>
      <c r="T36" s="713" t="s">
        <v>21</v>
      </c>
      <c r="U36" s="714">
        <f t="shared" si="13"/>
        <v>100</v>
      </c>
      <c r="V36" s="713" t="s">
        <v>21</v>
      </c>
      <c r="W36" s="714">
        <f t="shared" si="14"/>
        <v>100</v>
      </c>
      <c r="X36" s="1537"/>
      <c r="Y36" s="3533"/>
      <c r="Z36" s="1538" t="str">
        <f t="shared" si="18"/>
        <v>公共部分装修</v>
      </c>
      <c r="AA36" s="1535">
        <f t="shared" si="15"/>
        <v>1</v>
      </c>
      <c r="AB36" s="1535">
        <f t="shared" si="16"/>
        <v>1</v>
      </c>
      <c r="AC36" s="1535">
        <f t="shared" si="17"/>
        <v>1</v>
      </c>
    </row>
    <row r="37" spans="1:29" s="112" customFormat="1" ht="15">
      <c r="A37" s="431"/>
      <c r="B37" s="380" t="s">
        <v>2390</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2</v>
      </c>
      <c r="L37" s="2939"/>
      <c r="M37" s="2940"/>
      <c r="N37" s="2940"/>
      <c r="O37" s="2940"/>
      <c r="P37" s="3552"/>
      <c r="Q37" s="1525" t="str">
        <f t="shared" si="11"/>
        <v>成新度</v>
      </c>
      <c r="R37" s="709" t="s">
        <v>21</v>
      </c>
      <c r="S37" s="710">
        <f t="shared" si="12"/>
        <v>100</v>
      </c>
      <c r="T37" s="709" t="s">
        <v>21</v>
      </c>
      <c r="U37" s="710">
        <f t="shared" si="13"/>
        <v>100</v>
      </c>
      <c r="V37" s="709" t="s">
        <v>21</v>
      </c>
      <c r="W37" s="710">
        <f t="shared" si="14"/>
        <v>100</v>
      </c>
      <c r="X37" s="711"/>
      <c r="Y37" s="3533"/>
      <c r="Z37" s="54" t="str">
        <f t="shared" si="18"/>
        <v>成新度</v>
      </c>
      <c r="AA37" s="712">
        <f t="shared" si="15"/>
        <v>1</v>
      </c>
      <c r="AB37" s="712">
        <f t="shared" si="16"/>
        <v>1</v>
      </c>
      <c r="AC37" s="712">
        <f t="shared" si="17"/>
        <v>1</v>
      </c>
    </row>
    <row r="38" spans="1:29" ht="15">
      <c r="A38" s="430"/>
      <c r="B38" s="380" t="s">
        <v>2391</v>
      </c>
      <c r="C38" s="2089" t="s">
        <v>4381</v>
      </c>
      <c r="D38" s="393">
        <v>100</v>
      </c>
      <c r="E38" s="2090" t="s">
        <v>4381</v>
      </c>
      <c r="F38" s="419">
        <f>SUMIF(114:114,E38,115:115)-SUMIF(114:114,C38,115:115)+100</f>
        <v>100</v>
      </c>
      <c r="G38" s="2089" t="s">
        <v>4381</v>
      </c>
      <c r="H38" s="393">
        <f>SUMIF(114:114,G38,115:115)-SUMIF(114:114,C38,115:115)+100</f>
        <v>100</v>
      </c>
      <c r="I38" s="2090" t="s">
        <v>4381</v>
      </c>
      <c r="J38" s="393">
        <f>SUMIF(114:114,I38,115:115)-SUMIF(114:114,C38,115:115)+100</f>
        <v>100</v>
      </c>
      <c r="K38" s="384">
        <v>2</v>
      </c>
      <c r="L38" s="2944"/>
      <c r="M38" s="2938"/>
      <c r="N38" s="2938"/>
      <c r="O38" s="2938"/>
      <c r="P38" s="3552" t="s">
        <v>2385</v>
      </c>
      <c r="Q38" s="1534" t="str">
        <f t="shared" si="11"/>
        <v>物业管理</v>
      </c>
      <c r="R38" s="713" t="s">
        <v>21</v>
      </c>
      <c r="S38" s="714">
        <f t="shared" si="12"/>
        <v>100</v>
      </c>
      <c r="T38" s="713" t="s">
        <v>21</v>
      </c>
      <c r="U38" s="714">
        <f t="shared" si="13"/>
        <v>100</v>
      </c>
      <c r="V38" s="713" t="s">
        <v>21</v>
      </c>
      <c r="W38" s="714">
        <f t="shared" si="14"/>
        <v>100</v>
      </c>
      <c r="X38" s="1537"/>
      <c r="Y38" s="3533" t="s">
        <v>2385</v>
      </c>
      <c r="Z38" s="1538" t="str">
        <f t="shared" si="18"/>
        <v>物业管理</v>
      </c>
      <c r="AA38" s="1535">
        <f t="shared" si="15"/>
        <v>1</v>
      </c>
      <c r="AB38" s="1535">
        <f t="shared" si="16"/>
        <v>1</v>
      </c>
      <c r="AC38" s="1535">
        <f t="shared" si="17"/>
        <v>1</v>
      </c>
    </row>
    <row r="39" spans="1:29" ht="15">
      <c r="A39" s="430"/>
      <c r="B39" s="380" t="s">
        <v>2392</v>
      </c>
      <c r="C39" s="2089"/>
      <c r="D39" s="393">
        <v>100</v>
      </c>
      <c r="E39" s="2090"/>
      <c r="F39" s="419">
        <f>SUMIF(116:116,E39,117:117)-SUMIF(116:116,C39,117:117)+100</f>
        <v>100</v>
      </c>
      <c r="G39" s="2089"/>
      <c r="H39" s="393">
        <f>SUMIF(116:116,G39,117:117)-SUMIF(116:116,C39,117:117)+100</f>
        <v>100</v>
      </c>
      <c r="I39" s="2090"/>
      <c r="J39" s="393">
        <f>SUMIF(116:116,I39,117:117)-SUMIF(116:116,C39,117:117)+100</f>
        <v>100</v>
      </c>
      <c r="K39" s="384"/>
      <c r="L39" s="2944"/>
      <c r="M39" s="2938"/>
      <c r="N39" s="2938"/>
      <c r="O39" s="2938"/>
      <c r="P39" s="3552"/>
      <c r="Q39" s="1534" t="str">
        <f t="shared" si="11"/>
        <v>市政基础设施</v>
      </c>
      <c r="R39" s="713" t="s">
        <v>21</v>
      </c>
      <c r="S39" s="714">
        <f t="shared" si="12"/>
        <v>100</v>
      </c>
      <c r="T39" s="713" t="s">
        <v>21</v>
      </c>
      <c r="U39" s="714">
        <f t="shared" si="13"/>
        <v>100</v>
      </c>
      <c r="V39" s="713" t="s">
        <v>21</v>
      </c>
      <c r="W39" s="714">
        <f t="shared" si="14"/>
        <v>100</v>
      </c>
      <c r="X39" s="1537"/>
      <c r="Y39" s="3533"/>
      <c r="Z39" s="1538" t="str">
        <f t="shared" si="18"/>
        <v>市政基础设施</v>
      </c>
      <c r="AA39" s="1535">
        <f t="shared" si="15"/>
        <v>1</v>
      </c>
      <c r="AB39" s="1535">
        <f t="shared" si="16"/>
        <v>1</v>
      </c>
      <c r="AC39" s="1535">
        <f t="shared" si="17"/>
        <v>1</v>
      </c>
    </row>
    <row r="40" spans="1:29" ht="15">
      <c r="A40" s="430"/>
      <c r="B40" s="380" t="s">
        <v>2393</v>
      </c>
      <c r="C40" s="2089"/>
      <c r="D40" s="393">
        <v>100</v>
      </c>
      <c r="E40" s="2090"/>
      <c r="F40" s="419">
        <f>SUMIF(118:118,E40,119:119)-SUMIF(118:118,C40,119:119)+100</f>
        <v>100</v>
      </c>
      <c r="G40" s="2089"/>
      <c r="H40" s="393">
        <f>SUMIF(118:118,G40,119:119)-SUMIF(118:118,C40,119:119)+100</f>
        <v>100</v>
      </c>
      <c r="I40" s="2090"/>
      <c r="J40" s="393">
        <f>SUMIF(118:118,I40,119:119)-SUMIF(118:118,C40,119:119)+100</f>
        <v>100</v>
      </c>
      <c r="K40" s="384"/>
      <c r="L40" s="2944"/>
      <c r="M40" s="2938"/>
      <c r="N40" s="2938"/>
      <c r="O40" s="2938"/>
      <c r="P40" s="3552"/>
      <c r="Q40" s="1534" t="str">
        <f t="shared" si="11"/>
        <v>房型</v>
      </c>
      <c r="R40" s="713" t="s">
        <v>21</v>
      </c>
      <c r="S40" s="714">
        <f t="shared" si="12"/>
        <v>100</v>
      </c>
      <c r="T40" s="713" t="s">
        <v>21</v>
      </c>
      <c r="U40" s="714">
        <f t="shared" si="13"/>
        <v>100</v>
      </c>
      <c r="V40" s="713" t="s">
        <v>21</v>
      </c>
      <c r="W40" s="714">
        <f t="shared" si="14"/>
        <v>100</v>
      </c>
      <c r="X40" s="1537"/>
      <c r="Y40" s="3533"/>
      <c r="Z40" s="1538" t="str">
        <f t="shared" si="18"/>
        <v>房型</v>
      </c>
      <c r="AA40" s="1535">
        <f t="shared" si="15"/>
        <v>1</v>
      </c>
      <c r="AB40" s="1535">
        <f t="shared" si="16"/>
        <v>1</v>
      </c>
      <c r="AC40" s="1535">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7"/>
      <c r="L41" s="2943"/>
      <c r="M41" s="2945"/>
      <c r="N41" s="2945"/>
      <c r="O41" s="2945"/>
      <c r="P41" s="3552"/>
      <c r="Q41" s="715" t="str">
        <f t="shared" si="11"/>
        <v>单套/主力户型建筑面积</v>
      </c>
      <c r="R41" s="716" t="s">
        <v>21</v>
      </c>
      <c r="S41" s="717">
        <f t="shared" si="12"/>
        <v>100</v>
      </c>
      <c r="T41" s="716" t="s">
        <v>21</v>
      </c>
      <c r="U41" s="717">
        <f t="shared" si="13"/>
        <v>100</v>
      </c>
      <c r="V41" s="716" t="s">
        <v>21</v>
      </c>
      <c r="W41" s="717">
        <f t="shared" si="14"/>
        <v>100</v>
      </c>
      <c r="X41" s="718"/>
      <c r="Y41" s="3533"/>
      <c r="Z41" s="719" t="str">
        <f t="shared" si="18"/>
        <v>单套/主力户型建筑面积</v>
      </c>
      <c r="AA41" s="1535">
        <f t="shared" si="15"/>
        <v>1</v>
      </c>
      <c r="AB41" s="1535">
        <f t="shared" si="16"/>
        <v>1</v>
      </c>
      <c r="AC41" s="1535">
        <f t="shared" si="17"/>
        <v>1</v>
      </c>
    </row>
    <row r="42" spans="1:29" ht="15">
      <c r="A42" s="430"/>
      <c r="B42" s="380" t="s">
        <v>2395</v>
      </c>
      <c r="C42" s="2089" t="s">
        <v>4403</v>
      </c>
      <c r="D42" s="393">
        <v>100</v>
      </c>
      <c r="E42" s="2090" t="s">
        <v>4403</v>
      </c>
      <c r="F42" s="419">
        <f>SUMIF(122:122,E42,123:123)-SUMIF(122:122,C42,123:123)+100</f>
        <v>100</v>
      </c>
      <c r="G42" s="2089" t="s">
        <v>4399</v>
      </c>
      <c r="H42" s="393">
        <f>SUMIF(122:122,G42,123:123)-SUMIF(122:122,C42,123:123)+100</f>
        <v>109</v>
      </c>
      <c r="I42" s="2090" t="s">
        <v>4399</v>
      </c>
      <c r="J42" s="393">
        <f>SUMIF(122:122,I42,123:123)-SUMIF(122:122,C42,123:123)+100</f>
        <v>109</v>
      </c>
      <c r="K42" s="384">
        <v>3</v>
      </c>
      <c r="L42" s="2944"/>
      <c r="M42" s="2938"/>
      <c r="N42" s="2938"/>
      <c r="O42" s="2938"/>
      <c r="P42" s="3552"/>
      <c r="Q42" s="1534" t="str">
        <f t="shared" si="11"/>
        <v>内部装修</v>
      </c>
      <c r="R42" s="713" t="s">
        <v>21</v>
      </c>
      <c r="S42" s="714">
        <f t="shared" si="12"/>
        <v>100</v>
      </c>
      <c r="T42" s="713" t="s">
        <v>21</v>
      </c>
      <c r="U42" s="714">
        <f t="shared" si="13"/>
        <v>109</v>
      </c>
      <c r="V42" s="713" t="s">
        <v>21</v>
      </c>
      <c r="W42" s="714">
        <f t="shared" si="14"/>
        <v>109</v>
      </c>
      <c r="X42" s="1537"/>
      <c r="Y42" s="3533"/>
      <c r="Z42" s="1538" t="str">
        <f t="shared" si="18"/>
        <v>内部装修</v>
      </c>
      <c r="AA42" s="1535">
        <f t="shared" si="15"/>
        <v>1</v>
      </c>
      <c r="AB42" s="1535">
        <f t="shared" si="16"/>
        <v>0.91743119266055051</v>
      </c>
      <c r="AC42" s="1535">
        <f t="shared" si="17"/>
        <v>0.91743119266055051</v>
      </c>
    </row>
    <row r="43" spans="1:29" ht="15">
      <c r="A43" s="430"/>
      <c r="B43" s="380" t="s">
        <v>2396</v>
      </c>
      <c r="C43" s="2089"/>
      <c r="D43" s="393">
        <v>100</v>
      </c>
      <c r="E43" s="2090"/>
      <c r="F43" s="419">
        <f>SUMIF(124:124,E43,125:125)-SUMIF(124:124,C43,125:125)+100</f>
        <v>100</v>
      </c>
      <c r="G43" s="2089"/>
      <c r="H43" s="393">
        <f>SUMIF(124:124,G43,125:125)-SUMIF(124:124,C43,125:125)+100</f>
        <v>100</v>
      </c>
      <c r="I43" s="2090"/>
      <c r="J43" s="393">
        <f>SUMIF(124:124,I43,125:125)-SUMIF(124:124,C43,125:125)+100</f>
        <v>100</v>
      </c>
      <c r="K43" s="384"/>
      <c r="L43" s="2944"/>
      <c r="M43" s="2938"/>
      <c r="N43" s="2938"/>
      <c r="O43" s="2938"/>
      <c r="P43" s="3552"/>
      <c r="Q43" s="1534" t="str">
        <f t="shared" si="11"/>
        <v>内部装修维护情况</v>
      </c>
      <c r="R43" s="713" t="s">
        <v>21</v>
      </c>
      <c r="S43" s="714">
        <f t="shared" si="12"/>
        <v>100</v>
      </c>
      <c r="T43" s="713" t="s">
        <v>21</v>
      </c>
      <c r="U43" s="714">
        <f t="shared" si="13"/>
        <v>100</v>
      </c>
      <c r="V43" s="713" t="s">
        <v>21</v>
      </c>
      <c r="W43" s="714">
        <f t="shared" si="14"/>
        <v>100</v>
      </c>
      <c r="X43" s="1537"/>
      <c r="Y43" s="3533"/>
      <c r="Z43" s="1538" t="str">
        <f t="shared" si="18"/>
        <v>内部装修维护情况</v>
      </c>
      <c r="AA43" s="1535">
        <f t="shared" si="15"/>
        <v>1</v>
      </c>
      <c r="AB43" s="1535">
        <f t="shared" si="16"/>
        <v>1</v>
      </c>
      <c r="AC43" s="1535">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7"/>
      <c r="L44" s="2939"/>
      <c r="M44" s="2940"/>
      <c r="N44" s="2940"/>
      <c r="O44" s="2940"/>
      <c r="P44" s="3552"/>
      <c r="Q44" s="1525">
        <f t="shared" si="11"/>
        <v>111</v>
      </c>
      <c r="R44" s="709" t="s">
        <v>21</v>
      </c>
      <c r="S44" s="710">
        <f t="shared" si="12"/>
        <v>100</v>
      </c>
      <c r="T44" s="709" t="s">
        <v>21</v>
      </c>
      <c r="U44" s="710">
        <f t="shared" si="13"/>
        <v>100</v>
      </c>
      <c r="V44" s="709" t="s">
        <v>21</v>
      </c>
      <c r="W44" s="710">
        <f t="shared" si="14"/>
        <v>100</v>
      </c>
      <c r="X44" s="711"/>
      <c r="Y44" s="3533"/>
      <c r="Z44" s="54">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7"/>
      <c r="L45" s="2944"/>
      <c r="M45" s="2938"/>
      <c r="N45" s="2938"/>
      <c r="O45" s="2938"/>
      <c r="P45" s="3552"/>
      <c r="Q45" s="1534">
        <f t="shared" si="11"/>
        <v>111</v>
      </c>
      <c r="R45" s="713" t="s">
        <v>21</v>
      </c>
      <c r="S45" s="714">
        <f t="shared" si="12"/>
        <v>100</v>
      </c>
      <c r="T45" s="713" t="s">
        <v>21</v>
      </c>
      <c r="U45" s="714">
        <f t="shared" si="13"/>
        <v>100</v>
      </c>
      <c r="V45" s="713" t="s">
        <v>21</v>
      </c>
      <c r="W45" s="714">
        <f t="shared" si="14"/>
        <v>100</v>
      </c>
      <c r="X45" s="1537"/>
      <c r="Y45" s="3533"/>
      <c r="Z45" s="1538">
        <f t="shared" si="18"/>
        <v>111</v>
      </c>
      <c r="AA45" s="1535">
        <f t="shared" si="15"/>
        <v>1</v>
      </c>
      <c r="AB45" s="1535">
        <f t="shared" si="16"/>
        <v>1</v>
      </c>
      <c r="AC45" s="1535">
        <f t="shared" si="17"/>
        <v>1</v>
      </c>
    </row>
    <row r="46" spans="1:29" ht="15.75" thickBot="1">
      <c r="A46" s="436"/>
      <c r="B46" s="207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7"/>
      <c r="L46" s="2944"/>
      <c r="M46" s="2938"/>
      <c r="N46" s="2938"/>
      <c r="O46" s="2938"/>
      <c r="P46" s="3553"/>
      <c r="Q46" s="1534">
        <f t="shared" si="11"/>
        <v>111</v>
      </c>
      <c r="R46" s="713" t="s">
        <v>20</v>
      </c>
      <c r="S46" s="714">
        <f t="shared" si="12"/>
        <v>100</v>
      </c>
      <c r="T46" s="713" t="s">
        <v>20</v>
      </c>
      <c r="U46" s="714">
        <f t="shared" si="13"/>
        <v>100</v>
      </c>
      <c r="V46" s="713" t="s">
        <v>20</v>
      </c>
      <c r="W46" s="714">
        <f t="shared" si="14"/>
        <v>100</v>
      </c>
      <c r="X46" s="1537"/>
      <c r="Y46" s="3554"/>
      <c r="Z46" s="1538">
        <f t="shared" si="18"/>
        <v>111</v>
      </c>
      <c r="AA46" s="1535">
        <f t="shared" si="15"/>
        <v>1</v>
      </c>
      <c r="AB46" s="1535">
        <f t="shared" si="16"/>
        <v>1</v>
      </c>
      <c r="AC46" s="1535">
        <f t="shared" si="17"/>
        <v>1</v>
      </c>
    </row>
    <row r="47" spans="1:29" ht="15">
      <c r="A47" s="437" t="s">
        <v>2397</v>
      </c>
      <c r="B47" s="438"/>
      <c r="C47" s="1315" t="s">
        <v>19</v>
      </c>
      <c r="D47" s="1316"/>
      <c r="E47" s="1317">
        <f>住宅案例!F33</f>
        <v>60704</v>
      </c>
      <c r="F47" s="1318"/>
      <c r="G47" s="1319">
        <f>住宅案例!F11</f>
        <v>53998</v>
      </c>
      <c r="H47" s="1320"/>
      <c r="I47" s="1317">
        <f>住宅案例!F5</f>
        <v>54796</v>
      </c>
      <c r="J47" s="1320"/>
      <c r="K47" s="2097"/>
      <c r="L47" s="2946"/>
      <c r="M47" s="2947"/>
      <c r="N47" s="2938"/>
      <c r="O47" s="2947"/>
      <c r="P47" s="3515" t="str">
        <f>A47</f>
        <v>成交单价（元/平方米）</v>
      </c>
      <c r="Q47" s="3515"/>
      <c r="R47" s="3550">
        <f>E47</f>
        <v>60704</v>
      </c>
      <c r="S47" s="3550"/>
      <c r="T47" s="3550">
        <f>G47</f>
        <v>53998</v>
      </c>
      <c r="U47" s="3550"/>
      <c r="V47" s="3550">
        <f>I47</f>
        <v>54796</v>
      </c>
      <c r="W47" s="3550"/>
      <c r="X47" s="698"/>
      <c r="Y47" s="720"/>
      <c r="Z47" s="698"/>
      <c r="AA47" s="698"/>
      <c r="AB47" s="698"/>
      <c r="AC47" s="698"/>
    </row>
    <row r="48" spans="1:29" ht="15.75" thickBot="1">
      <c r="A48" s="444" t="s">
        <v>2398</v>
      </c>
      <c r="B48" s="445"/>
      <c r="C48" s="1321">
        <f>R49</f>
        <v>52710</v>
      </c>
      <c r="D48" s="2535" t="s">
        <v>2880</v>
      </c>
      <c r="E48" s="1322">
        <f>R48</f>
        <v>52423</v>
      </c>
      <c r="F48" s="2536"/>
      <c r="G48" s="1321">
        <f>T48</f>
        <v>52444</v>
      </c>
      <c r="H48" s="2536"/>
      <c r="I48" s="1322">
        <f>V48</f>
        <v>53262</v>
      </c>
      <c r="J48" s="2536"/>
      <c r="K48" s="2537">
        <f>F48+H48+J48</f>
        <v>0</v>
      </c>
      <c r="L48" s="2946"/>
      <c r="M48" s="2947"/>
      <c r="N48" s="2947"/>
      <c r="O48" s="2947"/>
      <c r="P48" s="3515" t="str">
        <f>A48</f>
        <v>比较价值（元/平方米）</v>
      </c>
      <c r="Q48" s="3515"/>
      <c r="R48" s="3550">
        <f>IF(F1="售价",ROUND(PRODUCT(R47,AA7:AA46),0),ROUND(PRODUCT(R47,AA7:AA46),1))</f>
        <v>52423</v>
      </c>
      <c r="S48" s="3550"/>
      <c r="T48" s="3550">
        <f>IF(F1="售价",ROUND(PRODUCT(T47,AB7:AB46),0),ROUND(PRODUCT(T47,AB7:AB46),1))</f>
        <v>52444</v>
      </c>
      <c r="U48" s="3550"/>
      <c r="V48" s="3550">
        <f>IF(F1="售价",ROUND(PRODUCT(V47,AC7:AC46),0),ROUND(PRODUCT(V47,AC7:AC46),1))</f>
        <v>53262</v>
      </c>
      <c r="W48" s="3550"/>
      <c r="X48" s="698"/>
      <c r="Y48" s="698"/>
      <c r="Z48" s="698"/>
      <c r="AA48" s="698"/>
      <c r="AB48" s="698"/>
      <c r="AC48" s="698"/>
    </row>
    <row r="49" spans="1:29" ht="15.75" thickBot="1">
      <c r="A49" s="448" t="s">
        <v>2399</v>
      </c>
      <c r="B49" s="449"/>
      <c r="C49" s="1323">
        <f>R49</f>
        <v>52710</v>
      </c>
      <c r="D49" s="1324"/>
      <c r="E49" s="1324"/>
      <c r="F49" s="1324"/>
      <c r="G49" s="1324"/>
      <c r="H49" s="1324"/>
      <c r="I49" s="1324"/>
      <c r="J49" s="1324"/>
      <c r="K49" s="2098"/>
      <c r="L49" s="2946"/>
      <c r="M49" s="2947"/>
      <c r="N49" s="2947"/>
      <c r="O49" s="2947"/>
      <c r="P49" s="3535" t="str">
        <f>A49</f>
        <v>估价对象XX用房的比较价值（楼面单价，元/平方米）</v>
      </c>
      <c r="Q49" s="3536"/>
      <c r="R49" s="3549">
        <f>IF(F1="售价",ROUND(IF(D48="简单平均",AVERAGE(R48:V48),R48*F48+T48*H48+V48*J48),0),ROUND(IF(D48="简单平均",AVERAGE(R48:V48),R48*F48+T48*H48+V48*J48),1))</f>
        <v>52710</v>
      </c>
      <c r="S49" s="3549"/>
      <c r="T49" s="3549"/>
      <c r="U49" s="3549"/>
      <c r="V49" s="3549"/>
      <c r="W49" s="3549"/>
      <c r="X49" s="698"/>
      <c r="Y49" s="698"/>
      <c r="Z49" s="698"/>
      <c r="AA49" s="698"/>
      <c r="AB49" s="698"/>
      <c r="AC49" s="698"/>
    </row>
    <row r="50" spans="1:29">
      <c r="A50" s="2947"/>
      <c r="B50" s="2947"/>
      <c r="C50" s="2947"/>
      <c r="D50" s="2947"/>
      <c r="E50" s="2947"/>
      <c r="F50" s="2947"/>
      <c r="G50" s="3174"/>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3" t="s">
        <v>2400</v>
      </c>
      <c r="D52" s="454"/>
      <c r="E52" s="455">
        <f>IF(E47&lt;E48,E48/E47-1,E47/E48-1)</f>
        <v>0.15796501535585517</v>
      </c>
      <c r="F52" s="456" t="str">
        <f>IF(OR(E52&gt;=0.3,E52&lt;=-0.3),"超过30%","")</f>
        <v/>
      </c>
      <c r="G52" s="455">
        <f>IF(G47&lt;G48,G48/G47-1,G47/G48-1)</f>
        <v>2.9631607047517328E-2</v>
      </c>
      <c r="H52" s="456" t="str">
        <f>IF(OR(G52&gt;=0.3,G52&lt;=-0.3),"超过30%","")</f>
        <v/>
      </c>
      <c r="I52" s="455">
        <f>IF(I47&lt;I48,I48/I47-1,I47/I48-1)</f>
        <v>2.8801021366077206E-2</v>
      </c>
      <c r="J52" s="456" t="str">
        <f>IF(OR(I52&gt;=0.3,I52&lt;=-0.3),"超过30%","")</f>
        <v/>
      </c>
      <c r="K52" s="2952"/>
      <c r="L52" s="2948"/>
      <c r="M52" s="2947"/>
      <c r="N52" s="2947"/>
      <c r="O52" s="2947"/>
    </row>
    <row r="53" spans="1:29" ht="13.5" customHeight="1">
      <c r="A53" s="2947"/>
      <c r="B53" s="2947"/>
      <c r="C53" s="453" t="s">
        <v>2401</v>
      </c>
      <c r="D53" s="457"/>
      <c r="E53" s="455">
        <f>IF(E48&lt;G48,G48/E48-1,E48/G48-1)</f>
        <v>4.0058752837501821E-4</v>
      </c>
      <c r="F53" s="456" t="str">
        <f>IF(OR(E53&gt;=0.2,E53&lt;=-0.2),"超过20%","")</f>
        <v/>
      </c>
      <c r="G53" s="455">
        <f>IF(G48&lt;I48,I48/G48-1,G48/I48-1)</f>
        <v>1.5597589810083079E-2</v>
      </c>
      <c r="H53" s="456" t="str">
        <f>IF(OR(G53&gt;=0.2,G53&lt;=-0.2),"超过20%","")</f>
        <v/>
      </c>
      <c r="I53" s="455">
        <f>IF(I48&lt;E48,E48/I48-1,I48/E48-1)</f>
        <v>1.600442553840864E-2</v>
      </c>
      <c r="J53" s="456" t="str">
        <f>IF(OR(I53&gt;=0.2,I53&lt;=-0.2),"超过20%","")</f>
        <v/>
      </c>
      <c r="K53" s="2952"/>
      <c r="L53" s="2948"/>
      <c r="M53" s="2947"/>
      <c r="N53" s="2947"/>
      <c r="O53" s="2947"/>
    </row>
    <row r="54" spans="1:29" s="458" customFormat="1" ht="13.5" customHeight="1">
      <c r="A54" s="2950"/>
      <c r="B54" s="2950"/>
      <c r="C54" s="453" t="s">
        <v>2402</v>
      </c>
      <c r="D54" s="457"/>
      <c r="E54" s="455">
        <f>IF(E47&lt;G47,G47/E47-1,E47/G47-1)</f>
        <v>0.12418978480684473</v>
      </c>
      <c r="F54" s="456" t="str">
        <f>IF(OR(E54&gt;=0.3,E54&lt;=-0.3),"超过30%","")</f>
        <v/>
      </c>
      <c r="G54" s="455">
        <f>IF(G47&lt;I47,I47/G47-1,G47/I47-1)</f>
        <v>1.4778325123152802E-2</v>
      </c>
      <c r="H54" s="456" t="str">
        <f>IF(OR(G54&gt;=0.3,G54&lt;=-0.3),"超过30%","")</f>
        <v/>
      </c>
      <c r="I54" s="455">
        <f>IF(I47&lt;E47,E47/I47-1,I47/E47-1)</f>
        <v>0.10781808891159939</v>
      </c>
      <c r="J54" s="456" t="str">
        <f>IF(OR(I54&gt;=0.3,I54&lt;=-0.3),"超过30%","")</f>
        <v/>
      </c>
      <c r="K54" s="2955"/>
      <c r="L54" s="2949"/>
      <c r="M54" s="2950"/>
      <c r="N54" s="2950"/>
      <c r="O54" s="2950"/>
      <c r="P54" s="2100"/>
    </row>
    <row r="55" spans="1:29" s="458" customFormat="1">
      <c r="A55" s="2950"/>
      <c r="B55" s="2953"/>
      <c r="C55" s="2954"/>
      <c r="D55" s="2950"/>
      <c r="E55" s="2950"/>
      <c r="F55" s="2950"/>
      <c r="G55" s="2950"/>
      <c r="H55" s="2950"/>
      <c r="I55" s="2950"/>
      <c r="J55" s="2950"/>
      <c r="K55" s="2955"/>
      <c r="L55" s="2949"/>
      <c r="M55" s="2950"/>
      <c r="N55" s="2950"/>
      <c r="O55" s="2950"/>
      <c r="P55" s="2100"/>
    </row>
    <row r="56" spans="1:29">
      <c r="A56" s="2947"/>
      <c r="B56" s="2953"/>
      <c r="C56" s="2954"/>
      <c r="D56" s="2947"/>
      <c r="E56" s="2947"/>
      <c r="F56" s="2947"/>
      <c r="G56" s="2947"/>
      <c r="H56" s="2947"/>
      <c r="I56" s="2947"/>
      <c r="J56" s="2947"/>
      <c r="K56" s="2952"/>
      <c r="L56" s="2948"/>
      <c r="M56" s="2947"/>
      <c r="N56" s="2947"/>
      <c r="O56" s="2947"/>
    </row>
    <row r="57" spans="1:29" ht="21.75" thickBot="1">
      <c r="A57" s="702" t="s">
        <v>2403</v>
      </c>
      <c r="B57" s="698"/>
      <c r="C57" s="703"/>
      <c r="D57" s="703"/>
      <c r="E57" s="703"/>
      <c r="F57" s="704"/>
      <c r="G57" s="704"/>
      <c r="H57" s="703"/>
      <c r="I57" s="703"/>
      <c r="J57" s="703"/>
      <c r="K57" s="1071"/>
      <c r="L57" s="1072"/>
      <c r="M57" s="1070"/>
      <c r="N57" s="1070"/>
      <c r="O57" s="1070"/>
      <c r="P57" s="2101"/>
      <c r="Q57" s="460"/>
    </row>
    <row r="58" spans="1:29" s="464" customFormat="1" ht="15">
      <c r="A58" s="461" t="s">
        <v>2404</v>
      </c>
      <c r="B58" s="462"/>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2" customFormat="1" ht="15">
      <c r="A59" s="465"/>
      <c r="B59" s="2102"/>
      <c r="C59" s="1343">
        <v>100</v>
      </c>
      <c r="D59" s="467">
        <f>C59</f>
        <v>100</v>
      </c>
      <c r="E59" s="467">
        <f t="shared" ref="E59:M59" si="20">D59</f>
        <v>100</v>
      </c>
      <c r="F59" s="467">
        <f t="shared" si="20"/>
        <v>100</v>
      </c>
      <c r="G59" s="467">
        <f t="shared" si="20"/>
        <v>100</v>
      </c>
      <c r="H59" s="467">
        <f t="shared" si="20"/>
        <v>100</v>
      </c>
      <c r="I59" s="467">
        <f t="shared" si="20"/>
        <v>100</v>
      </c>
      <c r="J59" s="467">
        <f t="shared" si="20"/>
        <v>100</v>
      </c>
      <c r="K59" s="467">
        <f t="shared" si="20"/>
        <v>100</v>
      </c>
      <c r="L59" s="467">
        <f t="shared" si="20"/>
        <v>100</v>
      </c>
      <c r="M59" s="467">
        <f t="shared" si="20"/>
        <v>100</v>
      </c>
      <c r="N59" s="468"/>
      <c r="O59" s="469"/>
      <c r="P59" s="2103"/>
    </row>
    <row r="60" spans="1:29" s="112" customFormat="1" ht="15.75" thickBot="1">
      <c r="A60" s="471" t="s">
        <v>2405</v>
      </c>
      <c r="B60" s="472"/>
      <c r="C60" s="473"/>
      <c r="D60" s="474"/>
      <c r="E60" s="474"/>
      <c r="F60" s="474"/>
      <c r="G60" s="474"/>
      <c r="H60" s="474"/>
      <c r="I60" s="474"/>
      <c r="J60" s="474"/>
      <c r="K60" s="474"/>
      <c r="L60" s="474"/>
      <c r="M60" s="475"/>
      <c r="N60" s="474"/>
      <c r="O60" s="475"/>
      <c r="P60" s="2103"/>
      <c r="Q60" s="460"/>
    </row>
    <row r="61" spans="1:29" s="112" customFormat="1" ht="15">
      <c r="A61" s="477" t="s">
        <v>2406</v>
      </c>
      <c r="B61" s="466"/>
      <c r="C61" s="478" t="s">
        <v>2407</v>
      </c>
      <c r="D61" s="479"/>
      <c r="E61" s="479"/>
      <c r="F61" s="479"/>
      <c r="G61" s="479"/>
      <c r="H61" s="479"/>
      <c r="I61" s="479"/>
      <c r="J61" s="479"/>
      <c r="K61" s="479"/>
      <c r="L61" s="480"/>
      <c r="M61" s="481"/>
      <c r="N61" s="1062"/>
      <c r="O61" s="1062"/>
      <c r="P61" s="2104"/>
      <c r="Q61" s="460"/>
    </row>
    <row r="62" spans="1:29" s="112"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2408</v>
      </c>
      <c r="B63" s="484" t="s">
        <v>2374</v>
      </c>
      <c r="C63" s="485" t="str">
        <f>C9</f>
        <v>住宅</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3"/>
      <c r="O65" s="1063"/>
      <c r="P65" s="2105"/>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4"/>
      <c r="O66" s="1064"/>
      <c r="P66" s="2105"/>
      <c r="Q66" s="460"/>
    </row>
    <row r="67" spans="1:17" ht="15.75" thickTop="1">
      <c r="A67" s="490"/>
      <c r="B67" s="502" t="s">
        <v>2378</v>
      </c>
      <c r="C67" s="503" t="str">
        <f>C68&amp;"（含）"&amp;"-"&amp;D68</f>
        <v>0（含）-1</v>
      </c>
      <c r="D67" s="503" t="str">
        <f t="shared" ref="D67:L67" si="22">D68&amp;"（含）"&amp;"-"&amp;E68</f>
        <v>1（含）-1.5</v>
      </c>
      <c r="E67" s="503" t="str">
        <f t="shared" si="22"/>
        <v>1.5（含）-2</v>
      </c>
      <c r="F67" s="503" t="str">
        <f t="shared" si="22"/>
        <v>2（含）-2.5</v>
      </c>
      <c r="G67" s="503" t="str">
        <f t="shared" si="22"/>
        <v>2.5（含）-3</v>
      </c>
      <c r="H67" s="503" t="str">
        <f t="shared" si="22"/>
        <v>3（含）-</v>
      </c>
      <c r="I67" s="503" t="str">
        <f t="shared" si="22"/>
        <v>（含）-</v>
      </c>
      <c r="J67" s="503" t="str">
        <f t="shared" si="22"/>
        <v>（含）-</v>
      </c>
      <c r="K67" s="503" t="str">
        <f>K68&amp;"（含）"&amp;"-"&amp;L68</f>
        <v>（含）-</v>
      </c>
      <c r="L67" s="503" t="str">
        <f t="shared" si="22"/>
        <v>（含）-</v>
      </c>
      <c r="M67" s="406" t="str">
        <f>M68&amp;"（含）"&amp;"-"&amp;P68</f>
        <v>（含）-</v>
      </c>
      <c r="N67" s="1064"/>
      <c r="O67" s="1064"/>
      <c r="P67" s="2105"/>
      <c r="Q67" s="460"/>
    </row>
    <row r="68" spans="1:17" ht="15">
      <c r="A68" s="490"/>
      <c r="B68" s="504"/>
      <c r="C68" s="505">
        <v>0</v>
      </c>
      <c r="D68" s="505">
        <v>1</v>
      </c>
      <c r="E68" s="505">
        <v>1.5</v>
      </c>
      <c r="F68" s="505">
        <v>2</v>
      </c>
      <c r="G68" s="505">
        <v>2.5</v>
      </c>
      <c r="H68" s="505">
        <v>3</v>
      </c>
      <c r="I68" s="505"/>
      <c r="J68" s="505"/>
      <c r="K68" s="506"/>
      <c r="L68" s="507"/>
      <c r="M68" s="508"/>
      <c r="N68" s="1063"/>
      <c r="O68" s="1063"/>
      <c r="P68" s="2105"/>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4"/>
      <c r="O69" s="1064"/>
      <c r="P69" s="2105"/>
      <c r="Q69" s="460"/>
    </row>
    <row r="70" spans="1:17" s="429" customFormat="1" ht="15.75" thickTop="1">
      <c r="A70" s="509"/>
      <c r="B70" s="494" t="str">
        <f>B12</f>
        <v>是否为限价房</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3"/>
      <c r="O76" s="1063"/>
      <c r="P76" s="2109"/>
      <c r="Q76" s="460"/>
    </row>
    <row r="77" spans="1:17" ht="15.75" thickBot="1">
      <c r="A77" s="490"/>
      <c r="B77" s="499"/>
      <c r="C77" s="500">
        <v>100</v>
      </c>
      <c r="D77" s="500">
        <f>C77-$K15</f>
        <v>95</v>
      </c>
      <c r="E77" s="500">
        <f>D77-$K15</f>
        <v>90</v>
      </c>
      <c r="F77" s="500">
        <f>E77-$K15</f>
        <v>85</v>
      </c>
      <c r="G77" s="500">
        <f>F77-$K15</f>
        <v>80</v>
      </c>
      <c r="H77" s="500"/>
      <c r="I77" s="500"/>
      <c r="J77" s="500"/>
      <c r="K77" s="500"/>
      <c r="L77" s="500"/>
      <c r="M77" s="501"/>
      <c r="N77" s="1064"/>
      <c r="O77" s="1064"/>
      <c r="P77" s="2105"/>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3"/>
      <c r="O78" s="1063"/>
      <c r="P78" s="2105"/>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4"/>
      <c r="O79" s="1064"/>
      <c r="P79" s="2105"/>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3"/>
      <c r="O80" s="1063"/>
      <c r="P80" s="2105"/>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4"/>
      <c r="O81" s="1064"/>
      <c r="P81" s="2105"/>
      <c r="Q81" s="460"/>
    </row>
    <row r="82" spans="1:17" ht="15.75" thickTop="1">
      <c r="A82" s="490"/>
      <c r="B82" s="502" t="s">
        <v>1945</v>
      </c>
      <c r="C82" s="495" t="s">
        <v>2424</v>
      </c>
      <c r="D82" s="495" t="s">
        <v>2425</v>
      </c>
      <c r="E82" s="495" t="s">
        <v>2426</v>
      </c>
      <c r="F82" s="495" t="s">
        <v>2427</v>
      </c>
      <c r="G82" s="495" t="s">
        <v>2428</v>
      </c>
      <c r="H82" s="495"/>
      <c r="I82" s="495"/>
      <c r="J82" s="495"/>
      <c r="K82" s="495"/>
      <c r="L82" s="495"/>
      <c r="M82" s="1290"/>
      <c r="N82" s="1064"/>
      <c r="O82" s="1064"/>
      <c r="P82" s="2105"/>
      <c r="Q82" s="460"/>
    </row>
    <row r="83" spans="1:17" ht="15.75" thickBot="1">
      <c r="A83" s="490"/>
      <c r="B83" s="502"/>
      <c r="C83" s="615">
        <v>100</v>
      </c>
      <c r="D83" s="615">
        <f>C83-$K21</f>
        <v>98</v>
      </c>
      <c r="E83" s="615">
        <f t="shared" ref="E83:G83" si="24">D83-$K21</f>
        <v>96</v>
      </c>
      <c r="F83" s="615">
        <f t="shared" si="24"/>
        <v>94</v>
      </c>
      <c r="G83" s="615">
        <f t="shared" si="24"/>
        <v>92</v>
      </c>
      <c r="H83" s="615"/>
      <c r="I83" s="615"/>
      <c r="J83" s="615"/>
      <c r="K83" s="615"/>
      <c r="L83" s="615"/>
      <c r="M83" s="408"/>
      <c r="N83" s="1064"/>
      <c r="O83" s="1064"/>
      <c r="P83" s="2105"/>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3"/>
      <c r="O84" s="1063"/>
      <c r="P84" s="2105"/>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64"/>
      <c r="O85" s="1064"/>
      <c r="P85" s="2105"/>
      <c r="Q85" s="460"/>
    </row>
    <row r="86" spans="1:17" s="112" customFormat="1" ht="15.75" thickTop="1">
      <c r="A86" s="535"/>
      <c r="B86" s="494" t="s">
        <v>2430</v>
      </c>
      <c r="C86" s="510"/>
      <c r="D86" s="510"/>
      <c r="E86" s="510"/>
      <c r="F86" s="510"/>
      <c r="G86" s="510"/>
      <c r="H86" s="510"/>
      <c r="I86" s="510"/>
      <c r="J86" s="510"/>
      <c r="K86" s="510"/>
      <c r="L86" s="536"/>
      <c r="M86" s="537"/>
      <c r="N86" s="1062"/>
      <c r="O86" s="1062"/>
      <c r="P86" s="2105"/>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4"/>
      <c r="O87" s="1064"/>
      <c r="P87" s="2105"/>
      <c r="Q87" s="460"/>
    </row>
    <row r="88" spans="1:17" s="112" customFormat="1" ht="15.75" thickTop="1">
      <c r="A88" s="535"/>
      <c r="B88" s="494" t="s">
        <v>2431</v>
      </c>
      <c r="C88" s="510"/>
      <c r="D88" s="510"/>
      <c r="E88" s="510"/>
      <c r="F88" s="2110"/>
      <c r="G88" s="510"/>
      <c r="H88" s="510"/>
      <c r="I88" s="510"/>
      <c r="J88" s="510"/>
      <c r="K88" s="510"/>
      <c r="L88" s="510"/>
      <c r="M88" s="537"/>
      <c r="N88" s="1062"/>
      <c r="O88" s="1062"/>
      <c r="P88" s="2105"/>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2383</v>
      </c>
      <c r="B100" s="484" t="s">
        <v>2432</v>
      </c>
      <c r="C100" s="3141" t="s">
        <v>4444</v>
      </c>
      <c r="D100" s="3141" t="s">
        <v>4446</v>
      </c>
      <c r="E100" s="3141" t="s">
        <v>4441</v>
      </c>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7">C101-$K32</f>
        <v>90</v>
      </c>
      <c r="E101" s="500">
        <f t="shared" si="27"/>
        <v>80</v>
      </c>
      <c r="F101" s="500">
        <f t="shared" si="27"/>
        <v>70</v>
      </c>
      <c r="G101" s="500">
        <f t="shared" si="27"/>
        <v>60</v>
      </c>
      <c r="H101" s="500">
        <f t="shared" si="27"/>
        <v>50</v>
      </c>
      <c r="I101" s="500">
        <f t="shared" si="27"/>
        <v>40</v>
      </c>
      <c r="J101" s="500">
        <f t="shared" si="27"/>
        <v>30</v>
      </c>
      <c r="K101" s="500">
        <f t="shared" si="27"/>
        <v>20</v>
      </c>
      <c r="L101" s="500">
        <f t="shared" si="27"/>
        <v>10</v>
      </c>
      <c r="M101" s="500">
        <f t="shared" si="27"/>
        <v>0</v>
      </c>
      <c r="N101" s="1064"/>
      <c r="O101" s="1064"/>
      <c r="P101" s="2105"/>
      <c r="Q101" s="460"/>
    </row>
    <row r="102" spans="1:17" ht="29.25" thickTop="1">
      <c r="A102" s="490"/>
      <c r="B102" s="494" t="s">
        <v>2433</v>
      </c>
      <c r="C102" s="534" t="str">
        <f>C103&amp;"(含)"&amp;"-"&amp;D103</f>
        <v>0(含)-50000</v>
      </c>
      <c r="D102" s="534" t="str">
        <f t="shared" ref="D102:L102" si="28">D103&amp;"(含)"&amp;"-"&amp;E103</f>
        <v>50000(含)-100000</v>
      </c>
      <c r="E102" s="534" t="str">
        <f t="shared" si="28"/>
        <v>100000(含)-150000</v>
      </c>
      <c r="F102" s="534" t="str">
        <f t="shared" si="28"/>
        <v>150000(含)-200000</v>
      </c>
      <c r="G102" s="534" t="str">
        <f t="shared" si="28"/>
        <v>200000(含)-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2"/>
      <c r="O102" s="1062"/>
      <c r="P102" s="2105"/>
      <c r="Q102" s="460"/>
    </row>
    <row r="103" spans="1:17" s="429" customFormat="1">
      <c r="A103" s="549"/>
      <c r="B103" s="550"/>
      <c r="C103" s="551">
        <v>0</v>
      </c>
      <c r="D103" s="551">
        <v>50000</v>
      </c>
      <c r="E103" s="551">
        <v>100000</v>
      </c>
      <c r="F103" s="551">
        <v>150000</v>
      </c>
      <c r="G103" s="551">
        <v>200000</v>
      </c>
      <c r="H103" s="551"/>
      <c r="I103" s="551"/>
      <c r="J103" s="552"/>
      <c r="K103" s="552"/>
      <c r="L103" s="553"/>
      <c r="M103" s="554"/>
      <c r="N103" s="1065"/>
      <c r="O103" s="1065"/>
      <c r="P103" s="2106"/>
      <c r="Q103" s="515"/>
    </row>
    <row r="104" spans="1:17" s="429" customFormat="1" ht="15.75" thickBot="1">
      <c r="A104" s="509"/>
      <c r="B104" s="499"/>
      <c r="C104" s="516">
        <v>100</v>
      </c>
      <c r="D104" s="492">
        <v>102</v>
      </c>
      <c r="E104" s="492">
        <v>104</v>
      </c>
      <c r="F104" s="492">
        <v>106</v>
      </c>
      <c r="G104" s="492">
        <v>108</v>
      </c>
      <c r="H104" s="492"/>
      <c r="I104" s="492"/>
      <c r="J104" s="492"/>
      <c r="K104" s="492"/>
      <c r="L104" s="492"/>
      <c r="M104" s="492"/>
      <c r="N104" s="1064"/>
      <c r="O104" s="1064"/>
      <c r="P104" s="2106"/>
      <c r="Q104" s="515"/>
    </row>
    <row r="105" spans="1:17" ht="15" thickTop="1">
      <c r="A105" s="555"/>
      <c r="B105" s="494" t="s">
        <v>2434</v>
      </c>
      <c r="C105" s="3140" t="s">
        <v>4424</v>
      </c>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9">C106-$K34</f>
        <v>98</v>
      </c>
      <c r="E106" s="500">
        <f t="shared" si="29"/>
        <v>96</v>
      </c>
      <c r="F106" s="500">
        <f t="shared" si="29"/>
        <v>94</v>
      </c>
      <c r="G106" s="500">
        <f t="shared" si="29"/>
        <v>92</v>
      </c>
      <c r="H106" s="500">
        <f t="shared" si="29"/>
        <v>90</v>
      </c>
      <c r="I106" s="500">
        <f t="shared" si="29"/>
        <v>88</v>
      </c>
      <c r="J106" s="500">
        <f t="shared" si="29"/>
        <v>86</v>
      </c>
      <c r="K106" s="500">
        <f t="shared" si="29"/>
        <v>84</v>
      </c>
      <c r="L106" s="500">
        <f t="shared" si="29"/>
        <v>82</v>
      </c>
      <c r="M106" s="500">
        <f t="shared" si="29"/>
        <v>80</v>
      </c>
      <c r="N106" s="1064"/>
      <c r="O106" s="1064"/>
      <c r="P106" s="2105"/>
      <c r="Q106" s="460"/>
    </row>
    <row r="107" spans="1:17" ht="15" thickTop="1">
      <c r="A107" s="555"/>
      <c r="B107" s="494" t="s">
        <v>2435</v>
      </c>
      <c r="C107" s="3139" t="s">
        <v>4426</v>
      </c>
      <c r="D107" s="3139" t="s">
        <v>4427</v>
      </c>
      <c r="E107" s="3139" t="s">
        <v>4428</v>
      </c>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30">C108-$K35</f>
        <v>98</v>
      </c>
      <c r="E108" s="500">
        <f t="shared" si="30"/>
        <v>96</v>
      </c>
      <c r="F108" s="500">
        <f t="shared" si="30"/>
        <v>94</v>
      </c>
      <c r="G108" s="500">
        <f t="shared" si="30"/>
        <v>92</v>
      </c>
      <c r="H108" s="500">
        <f t="shared" si="30"/>
        <v>90</v>
      </c>
      <c r="I108" s="500">
        <f t="shared" si="30"/>
        <v>88</v>
      </c>
      <c r="J108" s="500">
        <f t="shared" si="30"/>
        <v>86</v>
      </c>
      <c r="K108" s="500">
        <f t="shared" si="30"/>
        <v>84</v>
      </c>
      <c r="L108" s="500">
        <f t="shared" si="30"/>
        <v>82</v>
      </c>
      <c r="M108" s="500">
        <f t="shared" si="30"/>
        <v>80</v>
      </c>
      <c r="N108" s="1064"/>
      <c r="O108" s="1064"/>
      <c r="P108" s="2105"/>
      <c r="Q108" s="460"/>
    </row>
    <row r="109" spans="1:17" ht="15" thickTop="1">
      <c r="A109" s="555"/>
      <c r="B109" s="494" t="s">
        <v>2436</v>
      </c>
      <c r="C109" s="3140" t="s">
        <v>4400</v>
      </c>
      <c r="D109" s="3140" t="s">
        <v>4401</v>
      </c>
      <c r="E109" s="3139" t="s">
        <v>4402</v>
      </c>
      <c r="F109" s="3139" t="s">
        <v>4404</v>
      </c>
      <c r="G109" s="539"/>
      <c r="H109" s="539"/>
      <c r="I109" s="539"/>
      <c r="J109" s="539"/>
      <c r="K109" s="540"/>
      <c r="L109" s="541"/>
      <c r="M109" s="542"/>
      <c r="N109" s="1063"/>
      <c r="O109" s="1063"/>
      <c r="P109" s="2105"/>
      <c r="Q109" s="460"/>
    </row>
    <row r="110" spans="1:17" ht="15.75" thickBot="1">
      <c r="A110" s="490"/>
      <c r="B110" s="499"/>
      <c r="C110" s="500">
        <v>100</v>
      </c>
      <c r="D110" s="500">
        <f t="shared" ref="D110:M110" si="31">C110-$K36</f>
        <v>100</v>
      </c>
      <c r="E110" s="500">
        <f t="shared" si="31"/>
        <v>100</v>
      </c>
      <c r="F110" s="500">
        <f t="shared" si="31"/>
        <v>100</v>
      </c>
      <c r="G110" s="500">
        <f t="shared" si="31"/>
        <v>100</v>
      </c>
      <c r="H110" s="500">
        <f t="shared" si="31"/>
        <v>100</v>
      </c>
      <c r="I110" s="500">
        <f t="shared" si="31"/>
        <v>100</v>
      </c>
      <c r="J110" s="500">
        <f t="shared" si="31"/>
        <v>100</v>
      </c>
      <c r="K110" s="500">
        <f t="shared" si="31"/>
        <v>100</v>
      </c>
      <c r="L110" s="500">
        <f t="shared" si="31"/>
        <v>100</v>
      </c>
      <c r="M110" s="500">
        <f t="shared" si="31"/>
        <v>100</v>
      </c>
      <c r="N110" s="1064"/>
      <c r="O110" s="1064"/>
      <c r="P110" s="2105"/>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106"/>
      <c r="Q113" s="515"/>
    </row>
    <row r="114" spans="1:17" ht="15" thickTop="1">
      <c r="A114" s="555"/>
      <c r="B114" s="494" t="s">
        <v>2437</v>
      </c>
      <c r="C114" s="3140" t="s">
        <v>4429</v>
      </c>
      <c r="D114" s="3140" t="s">
        <v>4383</v>
      </c>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2">C115-$K38</f>
        <v>98</v>
      </c>
      <c r="E115" s="500">
        <f t="shared" si="32"/>
        <v>96</v>
      </c>
      <c r="F115" s="500">
        <f t="shared" si="32"/>
        <v>94</v>
      </c>
      <c r="G115" s="500">
        <f t="shared" si="32"/>
        <v>92</v>
      </c>
      <c r="H115" s="500">
        <f t="shared" si="32"/>
        <v>90</v>
      </c>
      <c r="I115" s="500">
        <f t="shared" si="32"/>
        <v>88</v>
      </c>
      <c r="J115" s="500">
        <f t="shared" si="32"/>
        <v>86</v>
      </c>
      <c r="K115" s="500">
        <f t="shared" si="32"/>
        <v>84</v>
      </c>
      <c r="L115" s="500">
        <f t="shared" si="32"/>
        <v>82</v>
      </c>
      <c r="M115" s="500">
        <f t="shared" si="32"/>
        <v>80</v>
      </c>
      <c r="N115" s="1064"/>
      <c r="O115" s="1064"/>
      <c r="P115" s="2105"/>
      <c r="Q115" s="460"/>
    </row>
    <row r="116" spans="1:17" ht="15" thickTop="1">
      <c r="A116" s="555"/>
      <c r="B116" s="494" t="s">
        <v>2438</v>
      </c>
      <c r="C116" s="510"/>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5"/>
      <c r="Q117" s="460"/>
    </row>
    <row r="118" spans="1:17" ht="15" thickTop="1">
      <c r="A118" s="555"/>
      <c r="B118" s="494" t="s">
        <v>2439</v>
      </c>
      <c r="C118" s="539"/>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4"/>
      <c r="O119" s="1064"/>
      <c r="P119" s="2105"/>
      <c r="Q119" s="460"/>
    </row>
    <row r="120" spans="1:17" s="429" customFormat="1" ht="28.5" thickTop="1">
      <c r="A120" s="549"/>
      <c r="B120" s="494" t="s">
        <v>2394</v>
      </c>
      <c r="C120" s="510"/>
      <c r="D120" s="510"/>
      <c r="E120" s="510"/>
      <c r="F120" s="510"/>
      <c r="G120" s="510"/>
      <c r="H120" s="510"/>
      <c r="I120" s="510"/>
      <c r="J120" s="510"/>
      <c r="K120" s="510"/>
      <c r="L120" s="536"/>
      <c r="M120" s="537"/>
      <c r="N120" s="1065"/>
      <c r="O120" s="1065"/>
      <c r="P120" s="210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6"/>
      <c r="Q121" s="515"/>
    </row>
    <row r="122" spans="1:17" ht="15" thickTop="1">
      <c r="A122" s="555"/>
      <c r="B122" s="494" t="s">
        <v>2440</v>
      </c>
      <c r="C122" s="3140" t="s">
        <v>4400</v>
      </c>
      <c r="D122" s="3140" t="s">
        <v>4401</v>
      </c>
      <c r="E122" s="3139" t="s">
        <v>4402</v>
      </c>
      <c r="F122" s="3139" t="s">
        <v>4404</v>
      </c>
      <c r="G122" s="539"/>
      <c r="H122" s="539"/>
      <c r="I122" s="539"/>
      <c r="J122" s="539"/>
      <c r="K122" s="540"/>
      <c r="L122" s="541"/>
      <c r="M122" s="542"/>
      <c r="N122" s="1063"/>
      <c r="O122" s="1063"/>
      <c r="P122" s="2105"/>
      <c r="Q122" s="460"/>
    </row>
    <row r="123" spans="1:17" ht="15.75" thickBot="1">
      <c r="A123" s="490"/>
      <c r="B123" s="499"/>
      <c r="C123" s="500">
        <v>100</v>
      </c>
      <c r="D123" s="500">
        <f t="shared" ref="D123:M123" si="34">C123-$K42</f>
        <v>97</v>
      </c>
      <c r="E123" s="500">
        <f t="shared" si="34"/>
        <v>94</v>
      </c>
      <c r="F123" s="500">
        <f t="shared" si="34"/>
        <v>91</v>
      </c>
      <c r="G123" s="500">
        <f t="shared" si="34"/>
        <v>88</v>
      </c>
      <c r="H123" s="500">
        <f t="shared" si="34"/>
        <v>85</v>
      </c>
      <c r="I123" s="500">
        <f t="shared" si="34"/>
        <v>82</v>
      </c>
      <c r="J123" s="500">
        <f t="shared" si="34"/>
        <v>79</v>
      </c>
      <c r="K123" s="500">
        <f t="shared" si="34"/>
        <v>76</v>
      </c>
      <c r="L123" s="500">
        <f t="shared" si="34"/>
        <v>73</v>
      </c>
      <c r="M123" s="500">
        <f t="shared" si="34"/>
        <v>70</v>
      </c>
      <c r="N123" s="1064"/>
      <c r="O123" s="1064"/>
      <c r="P123" s="2105"/>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3"/>
      <c r="O124" s="1063"/>
      <c r="P124" s="210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1" t="s">
        <v>2445</v>
      </c>
      <c r="D138" s="141" t="s">
        <v>2446</v>
      </c>
      <c r="E138" s="2120" t="s">
        <v>2447</v>
      </c>
      <c r="F138" s="2121" t="s">
        <v>2448</v>
      </c>
      <c r="G138" s="141" t="s">
        <v>2446</v>
      </c>
      <c r="H138" s="142" t="s">
        <v>2447</v>
      </c>
      <c r="I138" s="2122"/>
      <c r="J138" s="141" t="s">
        <v>2449</v>
      </c>
      <c r="K138" s="142"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6">
        <f>ROUNDUP((J139-1)/2,0)</f>
        <v>10</v>
      </c>
      <c r="K140" s="1008">
        <v>100</v>
      </c>
    </row>
    <row r="141" spans="1:17" ht="15">
      <c r="B141" s="1003">
        <v>4</v>
      </c>
      <c r="C141" s="1004">
        <v>102</v>
      </c>
      <c r="D141" s="1004"/>
      <c r="E141" s="1005"/>
      <c r="F141" s="1006">
        <v>101.5</v>
      </c>
      <c r="G141" s="1004"/>
      <c r="H141" s="1007"/>
      <c r="I141" s="2125" t="s">
        <v>2454</v>
      </c>
      <c r="J141" s="276">
        <v>1</v>
      </c>
      <c r="K141" s="1009">
        <f>ROUND(100+(J141-J140)*K139*100,1)</f>
        <v>96.4</v>
      </c>
    </row>
    <row r="142" spans="1:17" ht="15">
      <c r="B142" s="1003">
        <v>3</v>
      </c>
      <c r="C142" s="1004">
        <v>103</v>
      </c>
      <c r="D142" s="1004"/>
      <c r="E142" s="1005"/>
      <c r="F142" s="1006">
        <v>101</v>
      </c>
      <c r="G142" s="1004"/>
      <c r="H142" s="1007"/>
      <c r="I142" s="2125" t="s">
        <v>2455</v>
      </c>
      <c r="J142" s="276">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48"/>
  <sheetViews>
    <sheetView view="pageBreakPreview" zoomScaleNormal="60" zoomScaleSheetLayoutView="100" workbookViewId="0">
      <selection activeCell="F42" sqref="F42"/>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2348</v>
      </c>
      <c r="B1" s="2061" t="s">
        <v>2349</v>
      </c>
      <c r="C1" s="1404" t="s">
        <v>2350</v>
      </c>
      <c r="D1" s="1391" t="s">
        <v>4182</v>
      </c>
      <c r="E1" s="2541"/>
      <c r="F1" s="2062" t="s">
        <v>2351</v>
      </c>
      <c r="G1" s="1401" t="s">
        <v>2352</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5">
        <f>IF(C2="——",ROUND(C49*D3/10000,0),ROUND(C49*D3/10000,0)-D2)</f>
        <v>81721</v>
      </c>
      <c r="C2" s="2064" t="s">
        <v>70</v>
      </c>
      <c r="D2" s="1274" t="e">
        <f ca="1">SUMIF(INDIRECT("'"&amp;F2&amp;"'"&amp;"!A:A"),"承租人权益价值",INDIRECT("'"&amp;F2&amp;"'"&amp;"!c:c"))</f>
        <v>#REF!</v>
      </c>
      <c r="E2" s="2065" t="s">
        <v>2148</v>
      </c>
      <c r="F2" s="2066"/>
      <c r="G2" s="1037"/>
      <c r="H2" s="1037"/>
      <c r="I2" s="1037"/>
      <c r="J2" s="1037"/>
      <c r="K2" s="2067"/>
      <c r="L2" s="2935"/>
      <c r="M2" s="2936"/>
      <c r="N2" s="2936"/>
      <c r="O2" s="2936"/>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52023</v>
      </c>
      <c r="C3" s="359" t="s">
        <v>2354</v>
      </c>
      <c r="D3" s="358">
        <f>IF(D1="",'数据-汇总表'!E3,SUMIF('数据-汇总表'!$C19:$C33,D1,'数据-汇总表'!$E19:$E33))</f>
        <v>15708.62</v>
      </c>
      <c r="E3" s="1037"/>
      <c r="F3" s="2071"/>
      <c r="G3" s="1037"/>
      <c r="H3" s="1037"/>
      <c r="I3" s="1037"/>
      <c r="J3" s="1037"/>
      <c r="K3" s="2067"/>
      <c r="L3" s="2935"/>
      <c r="M3" s="2936"/>
      <c r="N3" s="2936"/>
      <c r="O3" s="2936"/>
      <c r="P3" s="2068"/>
      <c r="Q3" s="2069"/>
      <c r="R3" s="2069"/>
      <c r="S3" s="2069"/>
      <c r="T3" s="2069"/>
      <c r="U3" s="2069"/>
      <c r="V3" s="2069"/>
      <c r="W3" s="2069"/>
      <c r="X3" s="2069"/>
      <c r="Y3" s="2069"/>
      <c r="Z3" s="2069"/>
      <c r="AA3" s="2069"/>
      <c r="AB3" s="2069"/>
      <c r="AC3" s="1191"/>
    </row>
    <row r="4" spans="1:29" ht="15">
      <c r="A4" s="360" t="s">
        <v>2355</v>
      </c>
      <c r="B4" s="361"/>
      <c r="C4" s="3516" t="s">
        <v>2356</v>
      </c>
      <c r="D4" s="3517"/>
      <c r="E4" s="3518" t="s">
        <v>2357</v>
      </c>
      <c r="F4" s="3519"/>
      <c r="G4" s="3516" t="s">
        <v>2358</v>
      </c>
      <c r="H4" s="3517"/>
      <c r="I4" s="3516" t="s">
        <v>2359</v>
      </c>
      <c r="J4" s="3517"/>
      <c r="K4" s="2072" t="s">
        <v>2360</v>
      </c>
      <c r="L4" s="2937"/>
      <c r="M4" s="2938"/>
      <c r="N4" s="2938"/>
      <c r="O4" s="2938"/>
      <c r="P4" s="3520" t="s">
        <v>2361</v>
      </c>
      <c r="Q4" s="3521"/>
      <c r="R4" s="3503" t="s">
        <v>2357</v>
      </c>
      <c r="S4" s="3504"/>
      <c r="T4" s="3503" t="s">
        <v>2358</v>
      </c>
      <c r="U4" s="3504"/>
      <c r="V4" s="3528" t="s">
        <v>2359</v>
      </c>
      <c r="W4" s="3528"/>
      <c r="X4" s="3225"/>
      <c r="Y4" s="3503" t="s">
        <v>2361</v>
      </c>
      <c r="Z4" s="3504"/>
      <c r="AA4" s="3498" t="s">
        <v>2357</v>
      </c>
      <c r="AB4" s="3498" t="s">
        <v>2358</v>
      </c>
      <c r="AC4" s="3498" t="s">
        <v>2359</v>
      </c>
    </row>
    <row r="5" spans="1:29" ht="15">
      <c r="A5" s="363"/>
      <c r="B5" s="364"/>
      <c r="C5" s="3543" t="s">
        <v>2362</v>
      </c>
      <c r="D5" s="3544"/>
      <c r="E5" s="3541" t="str">
        <f>住宅案例!A33</f>
        <v>龙湾别墅·棠尚</v>
      </c>
      <c r="F5" s="3542"/>
      <c r="G5" s="3543" t="str">
        <f>住宅案例!A11</f>
        <v>建邦顺颐府</v>
      </c>
      <c r="H5" s="3544"/>
      <c r="I5" s="3543" t="str">
        <f>住宅案例!A5</f>
        <v>公园十七区</v>
      </c>
      <c r="J5" s="3544"/>
      <c r="K5" s="2073"/>
      <c r="L5" s="2937"/>
      <c r="M5" s="2938"/>
      <c r="N5" s="2938"/>
      <c r="O5" s="2938"/>
      <c r="P5" s="3522"/>
      <c r="Q5" s="3523"/>
      <c r="R5" s="3505"/>
      <c r="S5" s="3506"/>
      <c r="T5" s="3505"/>
      <c r="U5" s="3506"/>
      <c r="V5" s="3528"/>
      <c r="W5" s="3528"/>
      <c r="X5" s="3225"/>
      <c r="Y5" s="3505"/>
      <c r="Z5" s="3506"/>
      <c r="AA5" s="3499"/>
      <c r="AB5" s="3499"/>
      <c r="AC5" s="3499"/>
    </row>
    <row r="6" spans="1:29" ht="15.75" thickBot="1">
      <c r="A6" s="365"/>
      <c r="B6" s="366"/>
      <c r="C6" s="3545" t="s">
        <v>2366</v>
      </c>
      <c r="D6" s="3546"/>
      <c r="E6" s="3547" t="s">
        <v>2366</v>
      </c>
      <c r="F6" s="3548"/>
      <c r="G6" s="3545" t="s">
        <v>2366</v>
      </c>
      <c r="H6" s="3546"/>
      <c r="I6" s="3545" t="s">
        <v>2366</v>
      </c>
      <c r="J6" s="3546"/>
      <c r="K6" s="2073" t="s">
        <v>2367</v>
      </c>
      <c r="L6" s="2937"/>
      <c r="M6" s="2938"/>
      <c r="N6" s="2938"/>
      <c r="O6" s="2938"/>
      <c r="P6" s="3524"/>
      <c r="Q6" s="3525"/>
      <c r="R6" s="3505"/>
      <c r="S6" s="3506"/>
      <c r="T6" s="3526"/>
      <c r="U6" s="3527"/>
      <c r="V6" s="3528"/>
      <c r="W6" s="3528"/>
      <c r="X6" s="3225"/>
      <c r="Y6" s="3526"/>
      <c r="Z6" s="3527"/>
      <c r="AA6" s="3500"/>
      <c r="AB6" s="3500"/>
      <c r="AC6" s="3500"/>
    </row>
    <row r="7" spans="1:29" s="112" customFormat="1" ht="15.75" thickBot="1">
      <c r="A7" s="367" t="s">
        <v>2368</v>
      </c>
      <c r="B7" s="368"/>
      <c r="C7" s="369">
        <f>'数据-取费表'!B2</f>
        <v>44495</v>
      </c>
      <c r="D7" s="370">
        <v>100</v>
      </c>
      <c r="E7" s="371">
        <f>C7</f>
        <v>44495</v>
      </c>
      <c r="F7" s="372">
        <f>SUMIF(58:58,YEAR(E7)&amp;"-"&amp;MONTH(E7),59:59)</f>
        <v>100</v>
      </c>
      <c r="G7" s="371">
        <f>C7</f>
        <v>44495</v>
      </c>
      <c r="H7" s="370">
        <f>SUMIF(58:58,YEAR(G7)&amp;"-"&amp;MONTH(G7),59:59)</f>
        <v>100</v>
      </c>
      <c r="I7" s="371">
        <f>C7</f>
        <v>44495</v>
      </c>
      <c r="J7" s="370">
        <f>SUMIF(58:58,YEAR(I7)&amp;"-"&amp;MONTH(I7),59:59)</f>
        <v>100</v>
      </c>
      <c r="K7" s="2074"/>
      <c r="L7" s="2939"/>
      <c r="M7" s="2940"/>
      <c r="N7" s="2940"/>
      <c r="O7" s="2940"/>
      <c r="P7" s="3501" t="s">
        <v>2369</v>
      </c>
      <c r="Q7" s="3529"/>
      <c r="R7" s="709" t="s">
        <v>17</v>
      </c>
      <c r="S7" s="710">
        <f t="shared" ref="S7:S15" si="0">F7</f>
        <v>100</v>
      </c>
      <c r="T7" s="709" t="s">
        <v>17</v>
      </c>
      <c r="U7" s="710">
        <f t="shared" ref="U7:U15" si="1">H7</f>
        <v>100</v>
      </c>
      <c r="V7" s="709" t="s">
        <v>17</v>
      </c>
      <c r="W7" s="710">
        <f t="shared" ref="W7:W15" si="2">J7</f>
        <v>100</v>
      </c>
      <c r="X7" s="711"/>
      <c r="Y7" s="3501" t="s">
        <v>2369</v>
      </c>
      <c r="Z7" s="3502"/>
      <c r="AA7" s="712">
        <f>D7/F7</f>
        <v>1</v>
      </c>
      <c r="AB7" s="712">
        <f>D7/H7</f>
        <v>1</v>
      </c>
      <c r="AC7" s="712">
        <f>D7/J7</f>
        <v>1</v>
      </c>
    </row>
    <row r="8" spans="1:29" s="112" customFormat="1" ht="15.75" thickBot="1">
      <c r="A8" s="367" t="s">
        <v>2370</v>
      </c>
      <c r="B8" s="368"/>
      <c r="C8" s="373" t="s">
        <v>2371</v>
      </c>
      <c r="D8" s="370">
        <v>100</v>
      </c>
      <c r="E8" s="2075" t="s">
        <v>4215</v>
      </c>
      <c r="F8" s="372">
        <f>SUMIF(61:61,E8,62:62)-SUMIF(61:61,C8,62:62)+100</f>
        <v>100</v>
      </c>
      <c r="G8" s="373" t="s">
        <v>4215</v>
      </c>
      <c r="H8" s="370">
        <f>SUMIF(61:61,G8,62:62)-SUMIF(61:61,C8,62:62)+100</f>
        <v>100</v>
      </c>
      <c r="I8" s="2075" t="s">
        <v>4215</v>
      </c>
      <c r="J8" s="370">
        <f>SUMIF(61:61,I8,62:62)-SUMIF(61:61,C8,62:62)+100</f>
        <v>100</v>
      </c>
      <c r="K8" s="2074"/>
      <c r="L8" s="2939"/>
      <c r="M8" s="2940"/>
      <c r="N8" s="2940"/>
      <c r="O8" s="2940"/>
      <c r="P8" s="3501" t="s">
        <v>2372</v>
      </c>
      <c r="Q8" s="3502"/>
      <c r="R8" s="709" t="s">
        <v>17</v>
      </c>
      <c r="S8" s="710">
        <f t="shared" si="0"/>
        <v>100</v>
      </c>
      <c r="T8" s="709" t="s">
        <v>17</v>
      </c>
      <c r="U8" s="710">
        <f t="shared" si="1"/>
        <v>100</v>
      </c>
      <c r="V8" s="709" t="s">
        <v>17</v>
      </c>
      <c r="W8" s="710">
        <f t="shared" si="2"/>
        <v>100</v>
      </c>
      <c r="X8" s="711"/>
      <c r="Y8" s="3501" t="s">
        <v>2372</v>
      </c>
      <c r="Z8" s="3502"/>
      <c r="AA8" s="712">
        <f t="shared" ref="AA8:AA19" si="3">D8/F8</f>
        <v>1</v>
      </c>
      <c r="AB8" s="712">
        <f t="shared" ref="AB8:AB19" si="4">D8/H8</f>
        <v>1</v>
      </c>
      <c r="AC8" s="712">
        <f t="shared" ref="AC8:AC19" si="5">D8/J8</f>
        <v>1</v>
      </c>
    </row>
    <row r="9" spans="1:29" s="112" customFormat="1">
      <c r="A9" s="374" t="s">
        <v>2373</v>
      </c>
      <c r="B9" s="66" t="s">
        <v>2374</v>
      </c>
      <c r="C9" s="3159" t="s">
        <v>4421</v>
      </c>
      <c r="D9" s="130">
        <v>100</v>
      </c>
      <c r="E9" s="376" t="s">
        <v>3061</v>
      </c>
      <c r="F9" s="377">
        <f>SUMIF(63:63,E9,64:64)-SUMIF(63:63,C9,64:64)+100</f>
        <v>100</v>
      </c>
      <c r="G9" s="378" t="s">
        <v>3061</v>
      </c>
      <c r="H9" s="130">
        <f>SUMIF(63:63,G9,64:64)-SUMIF(63:63,C9,64:64)+100</f>
        <v>100</v>
      </c>
      <c r="I9" s="378" t="s">
        <v>3061</v>
      </c>
      <c r="J9" s="130">
        <f>SUMIF(63:63,I9,64:64)-SUMIF(63:63,C9,64:64)+100</f>
        <v>100</v>
      </c>
      <c r="K9" s="2074"/>
      <c r="L9" s="2939"/>
      <c r="M9" s="2940"/>
      <c r="N9" s="2940"/>
      <c r="O9" s="2940"/>
      <c r="P9" s="3539" t="s">
        <v>2375</v>
      </c>
      <c r="Q9" s="3222" t="str">
        <f t="shared" ref="Q9:Q15" si="6">B9</f>
        <v>用途</v>
      </c>
      <c r="R9" s="709" t="s">
        <v>17</v>
      </c>
      <c r="S9" s="710">
        <f t="shared" si="0"/>
        <v>100</v>
      </c>
      <c r="T9" s="709" t="s">
        <v>17</v>
      </c>
      <c r="U9" s="710">
        <f t="shared" si="1"/>
        <v>100</v>
      </c>
      <c r="V9" s="709" t="s">
        <v>17</v>
      </c>
      <c r="W9" s="710">
        <f t="shared" si="2"/>
        <v>100</v>
      </c>
      <c r="X9" s="711"/>
      <c r="Y9" s="3443" t="s">
        <v>2376</v>
      </c>
      <c r="Z9" s="3221" t="str">
        <f t="shared" ref="Z9:Z15" si="7">Q9</f>
        <v>用途</v>
      </c>
      <c r="AA9" s="712">
        <f t="shared" si="3"/>
        <v>1</v>
      </c>
      <c r="AB9" s="712">
        <f t="shared" si="4"/>
        <v>1</v>
      </c>
      <c r="AC9" s="712">
        <f t="shared" si="5"/>
        <v>1</v>
      </c>
    </row>
    <row r="10" spans="1:29" s="385" customFormat="1" ht="27">
      <c r="A10" s="379"/>
      <c r="B10" s="380" t="s">
        <v>2377</v>
      </c>
      <c r="C10" s="381" t="s">
        <v>4422</v>
      </c>
      <c r="D10" s="131">
        <v>100</v>
      </c>
      <c r="E10" s="382" t="s">
        <v>4422</v>
      </c>
      <c r="F10" s="383">
        <f>SUMIF(65:65,E10,66:66)-SUMIF(65:65,C10,66:66)+100</f>
        <v>100</v>
      </c>
      <c r="G10" s="381" t="s">
        <v>4422</v>
      </c>
      <c r="H10" s="131">
        <f>SUMIF(65:65,G10,66:66)-SUMIF(65:65,C10,66:66)+100</f>
        <v>100</v>
      </c>
      <c r="I10" s="381" t="s">
        <v>4422</v>
      </c>
      <c r="J10" s="131">
        <f>SUMIF(65:65,I10,66:66)-SUMIF(65:65,C10,66:66)+100</f>
        <v>100</v>
      </c>
      <c r="K10" s="384">
        <v>2</v>
      </c>
      <c r="L10" s="2941"/>
      <c r="M10" s="2942"/>
      <c r="N10" s="2942"/>
      <c r="O10" s="2942"/>
      <c r="P10" s="3539"/>
      <c r="Q10" s="3222" t="str">
        <f t="shared" si="6"/>
        <v>土地使用年限（年）</v>
      </c>
      <c r="R10" s="709" t="s">
        <v>17</v>
      </c>
      <c r="S10" s="710">
        <f t="shared" si="0"/>
        <v>100</v>
      </c>
      <c r="T10" s="709" t="s">
        <v>17</v>
      </c>
      <c r="U10" s="710">
        <f t="shared" si="1"/>
        <v>100</v>
      </c>
      <c r="V10" s="709" t="s">
        <v>17</v>
      </c>
      <c r="W10" s="710">
        <f t="shared" si="2"/>
        <v>100</v>
      </c>
      <c r="X10" s="711"/>
      <c r="Y10" s="3443"/>
      <c r="Z10" s="3221" t="str">
        <f t="shared" si="7"/>
        <v>土地使用年限（年）</v>
      </c>
      <c r="AA10" s="712">
        <f t="shared" si="3"/>
        <v>1</v>
      </c>
      <c r="AB10" s="712">
        <f t="shared" si="4"/>
        <v>1</v>
      </c>
      <c r="AC10" s="712">
        <f t="shared" si="5"/>
        <v>1</v>
      </c>
    </row>
    <row r="11" spans="1:29" ht="15">
      <c r="A11" s="386"/>
      <c r="B11" s="380" t="s">
        <v>2378</v>
      </c>
      <c r="C11" s="387">
        <v>1.01</v>
      </c>
      <c r="D11" s="131">
        <v>100</v>
      </c>
      <c r="E11" s="388">
        <v>0.62</v>
      </c>
      <c r="F11" s="383">
        <f>LOOKUP(E11,68:68,69:69)-LOOKUP(C11,68:68,69:69)+100</f>
        <v>102</v>
      </c>
      <c r="G11" s="387">
        <v>1.8</v>
      </c>
      <c r="H11" s="131">
        <f>LOOKUP(G11,68:68,69:69)-LOOKUP(C11,68:68,69:69)+100</f>
        <v>98</v>
      </c>
      <c r="I11" s="387">
        <v>2</v>
      </c>
      <c r="J11" s="131">
        <f>LOOKUP(I11,68:68,69:69)-LOOKUP(C11,68:68,69:69)+100</f>
        <v>96</v>
      </c>
      <c r="K11" s="384">
        <v>2</v>
      </c>
      <c r="L11" s="2943"/>
      <c r="M11" s="2938"/>
      <c r="N11" s="2938"/>
      <c r="O11" s="2938"/>
      <c r="P11" s="3539"/>
      <c r="Q11" s="3222" t="str">
        <f t="shared" si="6"/>
        <v>容积率</v>
      </c>
      <c r="R11" s="709" t="s">
        <v>17</v>
      </c>
      <c r="S11" s="710">
        <f t="shared" si="0"/>
        <v>102</v>
      </c>
      <c r="T11" s="709" t="s">
        <v>17</v>
      </c>
      <c r="U11" s="710">
        <f t="shared" si="1"/>
        <v>98</v>
      </c>
      <c r="V11" s="709" t="s">
        <v>17</v>
      </c>
      <c r="W11" s="710">
        <f t="shared" si="2"/>
        <v>96</v>
      </c>
      <c r="X11" s="711"/>
      <c r="Y11" s="3443"/>
      <c r="Z11" s="3221" t="str">
        <f t="shared" si="7"/>
        <v>容积率</v>
      </c>
      <c r="AA11" s="712">
        <f t="shared" si="3"/>
        <v>0.98039215686274506</v>
      </c>
      <c r="AB11" s="712">
        <f t="shared" si="4"/>
        <v>1.0204081632653061</v>
      </c>
      <c r="AC11" s="712">
        <f t="shared" si="5"/>
        <v>1.0416666666666667</v>
      </c>
    </row>
    <row r="12" spans="1:29" s="112" customFormat="1" ht="15">
      <c r="A12" s="389"/>
      <c r="B12" s="3134" t="s">
        <v>4430</v>
      </c>
      <c r="C12" s="390"/>
      <c r="D12" s="391">
        <v>100</v>
      </c>
      <c r="E12" s="390"/>
      <c r="F12" s="383">
        <f>SUMIF(70:70,E12,71:71)-SUMIF(70:70,C12,71:71)+100</f>
        <v>100</v>
      </c>
      <c r="G12" s="390"/>
      <c r="H12" s="131">
        <f>SUMIF(70:70,G12,71:71)-SUMIF(70:70,C12,71:71)+100</f>
        <v>100</v>
      </c>
      <c r="I12" s="390"/>
      <c r="J12" s="131">
        <f>SUMIF(70:70,I12,71:71)-SUMIF(70:70,C12,71:71)+100</f>
        <v>100</v>
      </c>
      <c r="K12" s="2077"/>
      <c r="L12" s="2939"/>
      <c r="M12" s="2940"/>
      <c r="N12" s="2940"/>
      <c r="O12" s="2940"/>
      <c r="P12" s="3539"/>
      <c r="Q12" s="3222" t="str">
        <f t="shared" si="6"/>
        <v>是否为限价房</v>
      </c>
      <c r="R12" s="709" t="s">
        <v>17</v>
      </c>
      <c r="S12" s="710">
        <f t="shared" si="0"/>
        <v>100</v>
      </c>
      <c r="T12" s="709" t="s">
        <v>17</v>
      </c>
      <c r="U12" s="710">
        <f t="shared" si="1"/>
        <v>100</v>
      </c>
      <c r="V12" s="709" t="s">
        <v>17</v>
      </c>
      <c r="W12" s="710">
        <f t="shared" si="2"/>
        <v>100</v>
      </c>
      <c r="X12" s="711"/>
      <c r="Y12" s="3443"/>
      <c r="Z12" s="3221" t="str">
        <f t="shared" si="7"/>
        <v>是否为限价房</v>
      </c>
      <c r="AA12" s="712">
        <f>D12/F12</f>
        <v>1</v>
      </c>
      <c r="AB12" s="712">
        <f>D12/H12</f>
        <v>1</v>
      </c>
      <c r="AC12" s="712">
        <f>D12/J12</f>
        <v>1</v>
      </c>
    </row>
    <row r="13" spans="1:29" ht="15">
      <c r="A13" s="386"/>
      <c r="B13" s="2076">
        <v>111</v>
      </c>
      <c r="C13" s="392"/>
      <c r="D13" s="393">
        <v>100</v>
      </c>
      <c r="E13" s="392"/>
      <c r="F13" s="383">
        <f>SUMIF(72:72,E13,73:73)-SUMIF(72:72,C13,73:73)+100</f>
        <v>100</v>
      </c>
      <c r="G13" s="392"/>
      <c r="H13" s="393">
        <f>SUMIF(72:72,G13,73:73)-SUMIF(72:72,C13,73:73)+100</f>
        <v>100</v>
      </c>
      <c r="I13" s="392"/>
      <c r="J13" s="393">
        <f>SUMIF(72:72,I13,73:73)-SUMIF(72:72,C13,73:73)+100</f>
        <v>100</v>
      </c>
      <c r="K13" s="2077"/>
      <c r="L13" s="2944"/>
      <c r="M13" s="2938"/>
      <c r="N13" s="2938"/>
      <c r="O13" s="2938"/>
      <c r="P13" s="3539"/>
      <c r="Q13" s="3222">
        <f t="shared" si="6"/>
        <v>111</v>
      </c>
      <c r="R13" s="709" t="s">
        <v>17</v>
      </c>
      <c r="S13" s="710">
        <f t="shared" si="0"/>
        <v>100</v>
      </c>
      <c r="T13" s="709" t="s">
        <v>17</v>
      </c>
      <c r="U13" s="710">
        <f t="shared" si="1"/>
        <v>100</v>
      </c>
      <c r="V13" s="709" t="s">
        <v>17</v>
      </c>
      <c r="W13" s="710">
        <f t="shared" si="2"/>
        <v>100</v>
      </c>
      <c r="X13" s="711"/>
      <c r="Y13" s="3443"/>
      <c r="Z13" s="3221">
        <f t="shared" si="7"/>
        <v>111</v>
      </c>
      <c r="AA13" s="712">
        <f t="shared" si="3"/>
        <v>1</v>
      </c>
      <c r="AB13" s="712">
        <f t="shared" si="4"/>
        <v>1</v>
      </c>
      <c r="AC13" s="712">
        <f t="shared" si="5"/>
        <v>1</v>
      </c>
    </row>
    <row r="14" spans="1:29" ht="15.75" thickBot="1">
      <c r="A14" s="394"/>
      <c r="B14" s="2078">
        <v>111</v>
      </c>
      <c r="C14" s="395"/>
      <c r="D14" s="396">
        <v>100</v>
      </c>
      <c r="E14" s="395"/>
      <c r="F14" s="397">
        <f>SUMIF(74:74,E14,75:75)-SUMIF(74:74,C14,75:75)+100</f>
        <v>100</v>
      </c>
      <c r="G14" s="395"/>
      <c r="H14" s="396">
        <f>SUMIF(74:74,G14,75:75)-SUMIF(74:74,C14,75:75)+100</f>
        <v>100</v>
      </c>
      <c r="I14" s="395"/>
      <c r="J14" s="396">
        <f>SUMIF(74:74,I14,75:75)-SUMIF(74:74,C14,75:75)+100</f>
        <v>100</v>
      </c>
      <c r="K14" s="2077"/>
      <c r="L14" s="2944"/>
      <c r="M14" s="2938"/>
      <c r="N14" s="2938"/>
      <c r="O14" s="2938"/>
      <c r="P14" s="3539"/>
      <c r="Q14" s="3222">
        <f t="shared" si="6"/>
        <v>111</v>
      </c>
      <c r="R14" s="709" t="s">
        <v>17</v>
      </c>
      <c r="S14" s="710">
        <f t="shared" si="0"/>
        <v>100</v>
      </c>
      <c r="T14" s="709" t="s">
        <v>17</v>
      </c>
      <c r="U14" s="710">
        <f t="shared" si="1"/>
        <v>100</v>
      </c>
      <c r="V14" s="709" t="s">
        <v>17</v>
      </c>
      <c r="W14" s="710">
        <f t="shared" si="2"/>
        <v>100</v>
      </c>
      <c r="X14" s="711"/>
      <c r="Y14" s="3443"/>
      <c r="Z14" s="3221">
        <f t="shared" si="7"/>
        <v>111</v>
      </c>
      <c r="AA14" s="712">
        <f t="shared" si="3"/>
        <v>1</v>
      </c>
      <c r="AB14" s="712">
        <f t="shared" si="4"/>
        <v>1</v>
      </c>
      <c r="AC14" s="712">
        <f t="shared" si="5"/>
        <v>1</v>
      </c>
    </row>
    <row r="15" spans="1:29" ht="15">
      <c r="A15" s="398" t="s">
        <v>2379</v>
      </c>
      <c r="B15" s="64" t="s">
        <v>1942</v>
      </c>
      <c r="C15" s="2079" t="str">
        <f>估价对象房地状况!C3</f>
        <v>一般</v>
      </c>
      <c r="D15" s="399">
        <v>100</v>
      </c>
      <c r="E15" s="402"/>
      <c r="F15" s="399">
        <f>SUMIF(76:76,E16,77:77)-SUMIF(76:76,C16,77:77)+100</f>
        <v>105</v>
      </c>
      <c r="G15" s="400"/>
      <c r="H15" s="399">
        <f>SUMIF(76:76,G16,77:77)-SUMIF(76:76,C16,77:77)+100</f>
        <v>105</v>
      </c>
      <c r="I15" s="400"/>
      <c r="J15" s="399">
        <f>SUMIF(76:76,I16,77:77)-SUMIF(76:76,C16,77:77)+100</f>
        <v>105</v>
      </c>
      <c r="K15" s="403">
        <v>5</v>
      </c>
      <c r="L15" s="2944"/>
      <c r="M15" s="2938"/>
      <c r="N15" s="2938"/>
      <c r="O15" s="2938"/>
      <c r="P15" s="3555" t="s">
        <v>2380</v>
      </c>
      <c r="Q15" s="3223" t="str">
        <f t="shared" si="6"/>
        <v>居住社区成熟度</v>
      </c>
      <c r="R15" s="713" t="s">
        <v>17</v>
      </c>
      <c r="S15" s="714">
        <f t="shared" si="0"/>
        <v>105</v>
      </c>
      <c r="T15" s="713" t="s">
        <v>17</v>
      </c>
      <c r="U15" s="714">
        <f t="shared" si="1"/>
        <v>105</v>
      </c>
      <c r="V15" s="713" t="s">
        <v>17</v>
      </c>
      <c r="W15" s="714">
        <f t="shared" si="2"/>
        <v>105</v>
      </c>
      <c r="X15" s="3225"/>
      <c r="Y15" s="3530" t="s">
        <v>2380</v>
      </c>
      <c r="Z15" s="3224" t="str">
        <f t="shared" si="7"/>
        <v>居住社区成熟度</v>
      </c>
      <c r="AA15" s="3226">
        <f t="shared" si="3"/>
        <v>0.95238095238095233</v>
      </c>
      <c r="AB15" s="3226">
        <f t="shared" si="4"/>
        <v>0.95238095238095233</v>
      </c>
      <c r="AC15" s="3226">
        <f t="shared" si="5"/>
        <v>0.95238095238095233</v>
      </c>
    </row>
    <row r="16" spans="1:29" ht="15">
      <c r="A16" s="386"/>
      <c r="B16" s="404"/>
      <c r="C16" s="405" t="s">
        <v>4350</v>
      </c>
      <c r="D16" s="406"/>
      <c r="E16" s="2080" t="s">
        <v>4351</v>
      </c>
      <c r="F16" s="406"/>
      <c r="G16" s="2081" t="s">
        <v>4351</v>
      </c>
      <c r="H16" s="408"/>
      <c r="I16" s="2081" t="s">
        <v>4351</v>
      </c>
      <c r="J16" s="406"/>
      <c r="K16" s="2082"/>
      <c r="L16" s="2944"/>
      <c r="M16" s="2938"/>
      <c r="N16" s="2938"/>
      <c r="O16" s="2938"/>
      <c r="P16" s="3556"/>
      <c r="Q16" s="3223"/>
      <c r="R16" s="713"/>
      <c r="S16" s="714"/>
      <c r="T16" s="713"/>
      <c r="U16" s="714"/>
      <c r="V16" s="713"/>
      <c r="W16" s="714"/>
      <c r="X16" s="3225"/>
      <c r="Y16" s="3531"/>
      <c r="Z16" s="3224"/>
      <c r="AA16" s="3226">
        <v>1</v>
      </c>
      <c r="AB16" s="3226">
        <v>1</v>
      </c>
      <c r="AC16" s="3226">
        <v>1</v>
      </c>
    </row>
    <row r="17" spans="1:29" ht="15">
      <c r="A17" s="386"/>
      <c r="B17" s="409" t="s">
        <v>1944</v>
      </c>
      <c r="C17" s="2083" t="str">
        <f>估价对象房地状况!C6</f>
        <v>一般</v>
      </c>
      <c r="D17" s="408">
        <v>100</v>
      </c>
      <c r="E17" s="412"/>
      <c r="F17" s="408">
        <f>SUMIF(78:78,E18,79:79)-SUMIF(78:78,C18,79:79)+100</f>
        <v>100</v>
      </c>
      <c r="G17" s="410"/>
      <c r="H17" s="413">
        <f>SUMIF(78:78,G18,79:79)-SUMIF(78:78,C18,79:79)+100</f>
        <v>100</v>
      </c>
      <c r="I17" s="410"/>
      <c r="J17" s="413">
        <f>SUMIF(78:78,I18,79:79)-SUMIF(78:78,C18,79:79)+100</f>
        <v>100</v>
      </c>
      <c r="K17" s="403">
        <v>2</v>
      </c>
      <c r="L17" s="2944"/>
      <c r="M17" s="2938"/>
      <c r="N17" s="2938"/>
      <c r="O17" s="2938"/>
      <c r="P17" s="3556"/>
      <c r="Q17" s="3223" t="str">
        <f>B17</f>
        <v>交通便捷度</v>
      </c>
      <c r="R17" s="713" t="s">
        <v>17</v>
      </c>
      <c r="S17" s="714">
        <f>F17</f>
        <v>100</v>
      </c>
      <c r="T17" s="713" t="s">
        <v>17</v>
      </c>
      <c r="U17" s="714">
        <f>H17</f>
        <v>100</v>
      </c>
      <c r="V17" s="713" t="s">
        <v>17</v>
      </c>
      <c r="W17" s="714">
        <f>J17</f>
        <v>100</v>
      </c>
      <c r="X17" s="3225"/>
      <c r="Y17" s="3531"/>
      <c r="Z17" s="3224" t="str">
        <f>Q17</f>
        <v>交通便捷度</v>
      </c>
      <c r="AA17" s="3226">
        <f t="shared" si="3"/>
        <v>1</v>
      </c>
      <c r="AB17" s="3226">
        <f t="shared" si="4"/>
        <v>1</v>
      </c>
      <c r="AC17" s="3226">
        <f t="shared" si="5"/>
        <v>1</v>
      </c>
    </row>
    <row r="18" spans="1:29" ht="15">
      <c r="A18" s="386"/>
      <c r="B18" s="414"/>
      <c r="C18" s="2084" t="s">
        <v>4350</v>
      </c>
      <c r="D18" s="408"/>
      <c r="E18" s="2085" t="s">
        <v>4350</v>
      </c>
      <c r="F18" s="408"/>
      <c r="G18" s="2086" t="s">
        <v>4350</v>
      </c>
      <c r="H18" s="406"/>
      <c r="I18" s="2086" t="s">
        <v>4350</v>
      </c>
      <c r="J18" s="406"/>
      <c r="K18" s="2082"/>
      <c r="L18" s="2944"/>
      <c r="M18" s="2938"/>
      <c r="N18" s="2938"/>
      <c r="O18" s="2938"/>
      <c r="P18" s="3556"/>
      <c r="Q18" s="3223"/>
      <c r="R18" s="713"/>
      <c r="S18" s="714"/>
      <c r="T18" s="713"/>
      <c r="U18" s="714"/>
      <c r="V18" s="713"/>
      <c r="W18" s="714"/>
      <c r="X18" s="3225"/>
      <c r="Y18" s="3531"/>
      <c r="Z18" s="3224"/>
      <c r="AA18" s="3226">
        <v>1</v>
      </c>
      <c r="AB18" s="3226">
        <v>1</v>
      </c>
      <c r="AC18" s="3226">
        <v>1</v>
      </c>
    </row>
    <row r="19" spans="1:29" ht="15">
      <c r="A19" s="386"/>
      <c r="B19" s="409" t="s">
        <v>1943</v>
      </c>
      <c r="C19" s="2083" t="str">
        <f>估价对象房地状况!C7</f>
        <v>一般</v>
      </c>
      <c r="D19" s="413">
        <v>100</v>
      </c>
      <c r="E19" s="417"/>
      <c r="F19" s="413">
        <f>SUMIF(80:80,E20,81:81)-SUMIF(80:80,C20,81:81)+100</f>
        <v>102</v>
      </c>
      <c r="G19" s="415"/>
      <c r="H19" s="408">
        <f>SUMIF(80:80,G20,81:81)-SUMIF(80:80,C20,81:81)+100</f>
        <v>102</v>
      </c>
      <c r="I19" s="415"/>
      <c r="J19" s="408">
        <f>SUMIF(80:80,I20,81:81)-SUMIF(80:80,C20,81:81)+100</f>
        <v>102</v>
      </c>
      <c r="K19" s="403">
        <v>2</v>
      </c>
      <c r="L19" s="2944"/>
      <c r="M19" s="2938"/>
      <c r="N19" s="2938"/>
      <c r="O19" s="2938"/>
      <c r="P19" s="3556"/>
      <c r="Q19" s="3223" t="str">
        <f>B19</f>
        <v>公共配套设施</v>
      </c>
      <c r="R19" s="713" t="s">
        <v>17</v>
      </c>
      <c r="S19" s="714">
        <f>F19</f>
        <v>102</v>
      </c>
      <c r="T19" s="713" t="s">
        <v>17</v>
      </c>
      <c r="U19" s="714">
        <f>H19</f>
        <v>102</v>
      </c>
      <c r="V19" s="713" t="s">
        <v>17</v>
      </c>
      <c r="W19" s="714">
        <f>J19</f>
        <v>102</v>
      </c>
      <c r="X19" s="3225"/>
      <c r="Y19" s="3531"/>
      <c r="Z19" s="3224" t="str">
        <f>Q19</f>
        <v>公共配套设施</v>
      </c>
      <c r="AA19" s="3226">
        <f t="shared" si="3"/>
        <v>0.98039215686274506</v>
      </c>
      <c r="AB19" s="3226">
        <f t="shared" si="4"/>
        <v>0.98039215686274506</v>
      </c>
      <c r="AC19" s="3226">
        <f t="shared" si="5"/>
        <v>0.98039215686274506</v>
      </c>
    </row>
    <row r="20" spans="1:29" ht="15">
      <c r="A20" s="386"/>
      <c r="B20" s="414"/>
      <c r="C20" s="405" t="s">
        <v>4350</v>
      </c>
      <c r="D20" s="406"/>
      <c r="E20" s="2080" t="s">
        <v>4351</v>
      </c>
      <c r="F20" s="406"/>
      <c r="G20" s="2081" t="s">
        <v>4351</v>
      </c>
      <c r="H20" s="406"/>
      <c r="I20" s="2081" t="s">
        <v>4351</v>
      </c>
      <c r="J20" s="406"/>
      <c r="K20" s="2082"/>
      <c r="L20" s="2944"/>
      <c r="M20" s="2938"/>
      <c r="N20" s="2938"/>
      <c r="O20" s="2938"/>
      <c r="P20" s="3556"/>
      <c r="Q20" s="3223"/>
      <c r="R20" s="713"/>
      <c r="S20" s="714"/>
      <c r="T20" s="713"/>
      <c r="U20" s="714"/>
      <c r="V20" s="713"/>
      <c r="W20" s="714"/>
      <c r="X20" s="3225"/>
      <c r="Y20" s="3531"/>
      <c r="Z20" s="3224"/>
      <c r="AA20" s="3226">
        <v>1</v>
      </c>
      <c r="AB20" s="3226">
        <v>1</v>
      </c>
      <c r="AC20" s="3226">
        <v>1</v>
      </c>
    </row>
    <row r="21" spans="1:29" ht="15">
      <c r="A21" s="386"/>
      <c r="B21" s="1292" t="s">
        <v>1945</v>
      </c>
      <c r="C21" s="2083"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v>2</v>
      </c>
      <c r="L21" s="2944"/>
      <c r="M21" s="2938"/>
      <c r="N21" s="2938"/>
      <c r="O21" s="2938"/>
      <c r="P21" s="3556"/>
      <c r="Q21" s="3223" t="str">
        <f>B21</f>
        <v>基础设施水平</v>
      </c>
      <c r="R21" s="713" t="s">
        <v>17</v>
      </c>
      <c r="S21" s="714">
        <f>F21</f>
        <v>100</v>
      </c>
      <c r="T21" s="713" t="s">
        <v>17</v>
      </c>
      <c r="U21" s="714">
        <f>H21</f>
        <v>100</v>
      </c>
      <c r="V21" s="713" t="s">
        <v>17</v>
      </c>
      <c r="W21" s="714">
        <f>J21</f>
        <v>100</v>
      </c>
      <c r="X21" s="3225"/>
      <c r="Y21" s="3531"/>
      <c r="Z21" s="3224" t="str">
        <f>Q21</f>
        <v>基础设施水平</v>
      </c>
      <c r="AA21" s="3226">
        <f t="shared" ref="AA21" si="8">D21/F21</f>
        <v>1</v>
      </c>
      <c r="AB21" s="3226">
        <f t="shared" ref="AB21" si="9">D21/H21</f>
        <v>1</v>
      </c>
      <c r="AC21" s="3226">
        <f t="shared" ref="AC21" si="10">D21/J21</f>
        <v>1</v>
      </c>
    </row>
    <row r="22" spans="1:29" ht="15">
      <c r="A22" s="386"/>
      <c r="B22" s="1292"/>
      <c r="C22" s="2084" t="s">
        <v>4316</v>
      </c>
      <c r="D22" s="406"/>
      <c r="E22" s="405" t="s">
        <v>4316</v>
      </c>
      <c r="F22" s="406"/>
      <c r="G22" s="2087" t="s">
        <v>4316</v>
      </c>
      <c r="H22" s="406"/>
      <c r="I22" s="405" t="s">
        <v>4316</v>
      </c>
      <c r="J22" s="406"/>
      <c r="K22" s="2088"/>
      <c r="L22" s="2944"/>
      <c r="M22" s="2938"/>
      <c r="N22" s="2938"/>
      <c r="O22" s="2938"/>
      <c r="P22" s="3556"/>
      <c r="Q22" s="3223"/>
      <c r="R22" s="713"/>
      <c r="S22" s="714"/>
      <c r="T22" s="713"/>
      <c r="U22" s="714"/>
      <c r="V22" s="713"/>
      <c r="W22" s="714"/>
      <c r="X22" s="3225"/>
      <c r="Y22" s="3531"/>
      <c r="Z22" s="3224"/>
      <c r="AA22" s="3226">
        <v>1</v>
      </c>
      <c r="AB22" s="3226">
        <v>1</v>
      </c>
      <c r="AC22" s="3226">
        <v>1</v>
      </c>
    </row>
    <row r="23" spans="1:29" ht="15">
      <c r="A23" s="386"/>
      <c r="B23" s="409" t="s">
        <v>1946</v>
      </c>
      <c r="C23" s="2083"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v>2</v>
      </c>
      <c r="L23" s="2944"/>
      <c r="M23" s="2938"/>
      <c r="N23" s="2938"/>
      <c r="O23" s="2938"/>
      <c r="P23" s="3556"/>
      <c r="Q23" s="3223" t="str">
        <f>B23</f>
        <v>自然及人文环境</v>
      </c>
      <c r="R23" s="713" t="s">
        <v>17</v>
      </c>
      <c r="S23" s="714">
        <f>F23</f>
        <v>100</v>
      </c>
      <c r="T23" s="713" t="s">
        <v>17</v>
      </c>
      <c r="U23" s="714">
        <f>H23</f>
        <v>100</v>
      </c>
      <c r="V23" s="713" t="s">
        <v>17</v>
      </c>
      <c r="W23" s="714">
        <f>J23</f>
        <v>100</v>
      </c>
      <c r="X23" s="3225"/>
      <c r="Y23" s="3531"/>
      <c r="Z23" s="3224" t="str">
        <f>Q23</f>
        <v>自然及人文环境</v>
      </c>
      <c r="AA23" s="3226">
        <f>D23/F23</f>
        <v>1</v>
      </c>
      <c r="AB23" s="3226">
        <f>D23/H23</f>
        <v>1</v>
      </c>
      <c r="AC23" s="3226">
        <f>D23/J23</f>
        <v>1</v>
      </c>
    </row>
    <row r="24" spans="1:29" ht="15">
      <c r="A24" s="386"/>
      <c r="B24" s="414"/>
      <c r="C24" s="405" t="s">
        <v>4350</v>
      </c>
      <c r="D24" s="406"/>
      <c r="E24" s="2080" t="s">
        <v>4350</v>
      </c>
      <c r="F24" s="406"/>
      <c r="G24" s="2081" t="s">
        <v>4350</v>
      </c>
      <c r="H24" s="406"/>
      <c r="I24" s="2081" t="s">
        <v>4350</v>
      </c>
      <c r="J24" s="406"/>
      <c r="K24" s="2082"/>
      <c r="L24" s="2944"/>
      <c r="M24" s="2938"/>
      <c r="N24" s="2938"/>
      <c r="O24" s="2938"/>
      <c r="P24" s="3556"/>
      <c r="Q24" s="3223"/>
      <c r="R24" s="713"/>
      <c r="S24" s="714"/>
      <c r="T24" s="713"/>
      <c r="U24" s="714"/>
      <c r="V24" s="713"/>
      <c r="W24" s="714"/>
      <c r="X24" s="3225"/>
      <c r="Y24" s="3531"/>
      <c r="Z24" s="3224"/>
      <c r="AA24" s="3226">
        <v>1</v>
      </c>
      <c r="AB24" s="3226">
        <v>1</v>
      </c>
      <c r="AC24" s="3226">
        <v>1</v>
      </c>
    </row>
    <row r="25" spans="1:29" ht="15">
      <c r="A25" s="386"/>
      <c r="B25" s="380" t="s">
        <v>2381</v>
      </c>
      <c r="C25" s="418"/>
      <c r="D25" s="393">
        <v>100</v>
      </c>
      <c r="E25" s="2089"/>
      <c r="F25" s="393">
        <f>SUMIF(86:86,E25,87:87)-SUMIF(86:86,C25,87:87)+100</f>
        <v>100</v>
      </c>
      <c r="G25" s="2090"/>
      <c r="H25" s="393">
        <f>SUMIF(86:86,G25,87:87)-SUMIF(86:86,C25,87:87)+100</f>
        <v>100</v>
      </c>
      <c r="I25" s="2090"/>
      <c r="J25" s="393">
        <f>SUMIF(86:86,I25,87:87)-SUMIF(86:86,C25,87:87)+100</f>
        <v>100</v>
      </c>
      <c r="K25" s="384"/>
      <c r="L25" s="2944"/>
      <c r="M25" s="2938"/>
      <c r="N25" s="2938"/>
      <c r="O25" s="2938"/>
      <c r="P25" s="3556"/>
      <c r="Q25" s="3223" t="str">
        <f t="shared" ref="Q25:Q46" si="11">B25</f>
        <v>楼层-1</v>
      </c>
      <c r="R25" s="713" t="s">
        <v>17</v>
      </c>
      <c r="S25" s="714">
        <f t="shared" ref="S25:S46" si="12">F25</f>
        <v>100</v>
      </c>
      <c r="T25" s="713" t="s">
        <v>17</v>
      </c>
      <c r="U25" s="714">
        <f t="shared" ref="U25:U46" si="13">H25</f>
        <v>100</v>
      </c>
      <c r="V25" s="713" t="s">
        <v>17</v>
      </c>
      <c r="W25" s="714">
        <f t="shared" ref="W25:W46" si="14">J25</f>
        <v>100</v>
      </c>
      <c r="X25" s="3225"/>
      <c r="Y25" s="3531"/>
      <c r="Z25" s="3224" t="str">
        <f>Q25</f>
        <v>楼层-1</v>
      </c>
      <c r="AA25" s="3226">
        <f t="shared" ref="AA25:AA46" si="15">D25/F25</f>
        <v>1</v>
      </c>
      <c r="AB25" s="3226">
        <f t="shared" ref="AB25:AB46" si="16">D25/H25</f>
        <v>1</v>
      </c>
      <c r="AC25" s="3226">
        <f t="shared" ref="AC25:AC46" si="17">D25/J25</f>
        <v>1</v>
      </c>
    </row>
    <row r="26" spans="1:29" ht="15">
      <c r="A26" s="386"/>
      <c r="B26" s="380" t="s">
        <v>2382</v>
      </c>
      <c r="C26" s="418"/>
      <c r="D26" s="393">
        <v>100</v>
      </c>
      <c r="E26" s="2089"/>
      <c r="F26" s="393">
        <f>SUMIF(88:88,E26,89:89)-SUMIF(88:88,C26,89:89)+100</f>
        <v>100</v>
      </c>
      <c r="G26" s="2090"/>
      <c r="H26" s="393">
        <f>SUMIF(88:88,G26,89:89)-SUMIF(88:88,C26,89:89)+100</f>
        <v>100</v>
      </c>
      <c r="I26" s="2090"/>
      <c r="J26" s="393">
        <f>SUMIF(88:88,I26,89:89)-SUMIF(88:88,C26,89:89)+100</f>
        <v>100</v>
      </c>
      <c r="K26" s="384"/>
      <c r="L26" s="2944"/>
      <c r="M26" s="2938"/>
      <c r="N26" s="2938"/>
      <c r="O26" s="2938"/>
      <c r="P26" s="3556"/>
      <c r="Q26" s="3223" t="str">
        <f t="shared" si="11"/>
        <v>朝向</v>
      </c>
      <c r="R26" s="713" t="s">
        <v>17</v>
      </c>
      <c r="S26" s="714">
        <f t="shared" si="12"/>
        <v>100</v>
      </c>
      <c r="T26" s="713" t="s">
        <v>17</v>
      </c>
      <c r="U26" s="714">
        <f t="shared" si="13"/>
        <v>100</v>
      </c>
      <c r="V26" s="713" t="s">
        <v>17</v>
      </c>
      <c r="W26" s="714">
        <f t="shared" si="14"/>
        <v>100</v>
      </c>
      <c r="X26" s="3225"/>
      <c r="Y26" s="3531"/>
      <c r="Z26" s="3224" t="str">
        <f>Q26</f>
        <v>朝向</v>
      </c>
      <c r="AA26" s="3226">
        <f t="shared" si="15"/>
        <v>1</v>
      </c>
      <c r="AB26" s="3226">
        <f t="shared" si="16"/>
        <v>1</v>
      </c>
      <c r="AC26" s="3226">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7"/>
      <c r="L27" s="2939"/>
      <c r="M27" s="2940"/>
      <c r="N27" s="2940"/>
      <c r="O27" s="2940"/>
      <c r="P27" s="3556"/>
      <c r="Q27" s="3222">
        <f t="shared" si="11"/>
        <v>111</v>
      </c>
      <c r="R27" s="709" t="s">
        <v>17</v>
      </c>
      <c r="S27" s="710">
        <f t="shared" si="12"/>
        <v>100</v>
      </c>
      <c r="T27" s="709" t="s">
        <v>17</v>
      </c>
      <c r="U27" s="710">
        <f t="shared" si="13"/>
        <v>100</v>
      </c>
      <c r="V27" s="709" t="s">
        <v>17</v>
      </c>
      <c r="W27" s="710">
        <f t="shared" si="14"/>
        <v>100</v>
      </c>
      <c r="X27" s="711"/>
      <c r="Y27" s="3531"/>
      <c r="Z27" s="3221">
        <f>Q27</f>
        <v>111</v>
      </c>
      <c r="AA27" s="3226">
        <f t="shared" si="15"/>
        <v>1</v>
      </c>
      <c r="AB27" s="3226">
        <f t="shared" si="16"/>
        <v>1</v>
      </c>
      <c r="AC27" s="3226">
        <f t="shared" si="17"/>
        <v>1</v>
      </c>
    </row>
    <row r="28" spans="1:29" ht="15">
      <c r="A28" s="386"/>
      <c r="B28" s="1294">
        <v>111</v>
      </c>
      <c r="C28" s="392"/>
      <c r="D28" s="393">
        <v>100</v>
      </c>
      <c r="E28" s="392"/>
      <c r="F28" s="393">
        <f>SUMIF(92:92,E28,93:93)-SUMIF(92:92,C28,93:93)+100</f>
        <v>100</v>
      </c>
      <c r="G28" s="2091"/>
      <c r="H28" s="393">
        <f>SUMIF(92:92,G28,93:93)-SUMIF(92:92,C28,93:93)+100</f>
        <v>100</v>
      </c>
      <c r="I28" s="392"/>
      <c r="J28" s="393">
        <f>SUMIF(92:92,I28,93:93)-SUMIF(92:92,C28,93:93)+100</f>
        <v>100</v>
      </c>
      <c r="K28" s="2077"/>
      <c r="L28" s="2944"/>
      <c r="M28" s="2938"/>
      <c r="N28" s="2938"/>
      <c r="O28" s="2938"/>
      <c r="P28" s="3556"/>
      <c r="Q28" s="3223">
        <f t="shared" si="11"/>
        <v>111</v>
      </c>
      <c r="R28" s="713" t="s">
        <v>17</v>
      </c>
      <c r="S28" s="714">
        <f t="shared" si="12"/>
        <v>100</v>
      </c>
      <c r="T28" s="713" t="s">
        <v>17</v>
      </c>
      <c r="U28" s="714">
        <f t="shared" si="13"/>
        <v>100</v>
      </c>
      <c r="V28" s="713" t="s">
        <v>17</v>
      </c>
      <c r="W28" s="714">
        <f t="shared" si="14"/>
        <v>100</v>
      </c>
      <c r="X28" s="3225"/>
      <c r="Y28" s="3531"/>
      <c r="Z28" s="3224">
        <f t="shared" ref="Z28:Z46" si="18">Q28</f>
        <v>111</v>
      </c>
      <c r="AA28" s="3226">
        <f t="shared" si="15"/>
        <v>1</v>
      </c>
      <c r="AB28" s="3226">
        <f t="shared" si="16"/>
        <v>1</v>
      </c>
      <c r="AC28" s="3226">
        <f t="shared" si="17"/>
        <v>1</v>
      </c>
    </row>
    <row r="29" spans="1:29" ht="15">
      <c r="A29" s="386"/>
      <c r="B29" s="1294">
        <v>111</v>
      </c>
      <c r="C29" s="392"/>
      <c r="D29" s="393">
        <v>100</v>
      </c>
      <c r="E29" s="392"/>
      <c r="F29" s="393">
        <f>SUMIF(94:94,E29,95:95)-SUMIF(94:94,C29,95:95)+100</f>
        <v>100</v>
      </c>
      <c r="G29" s="2091"/>
      <c r="H29" s="393">
        <f>SUMIF(94:94,G29,95:95)-SUMIF(94:94,C29,95:95)+100</f>
        <v>100</v>
      </c>
      <c r="I29" s="392"/>
      <c r="J29" s="393">
        <f>SUMIF(94:94,I29,95:95)-SUMIF(94:94,C29,95:95)+100</f>
        <v>100</v>
      </c>
      <c r="K29" s="2077"/>
      <c r="L29" s="2944"/>
      <c r="M29" s="2938"/>
      <c r="N29" s="2938"/>
      <c r="O29" s="2938"/>
      <c r="P29" s="3556"/>
      <c r="Q29" s="3223">
        <f t="shared" si="11"/>
        <v>111</v>
      </c>
      <c r="R29" s="713" t="s">
        <v>17</v>
      </c>
      <c r="S29" s="714">
        <f t="shared" si="12"/>
        <v>100</v>
      </c>
      <c r="T29" s="713" t="s">
        <v>17</v>
      </c>
      <c r="U29" s="714">
        <f t="shared" si="13"/>
        <v>100</v>
      </c>
      <c r="V29" s="713" t="s">
        <v>17</v>
      </c>
      <c r="W29" s="714">
        <f t="shared" si="14"/>
        <v>100</v>
      </c>
      <c r="X29" s="3225"/>
      <c r="Y29" s="3531"/>
      <c r="Z29" s="3224">
        <f t="shared" si="18"/>
        <v>111</v>
      </c>
      <c r="AA29" s="3226">
        <f t="shared" si="15"/>
        <v>1</v>
      </c>
      <c r="AB29" s="3226">
        <f t="shared" si="16"/>
        <v>1</v>
      </c>
      <c r="AC29" s="3226">
        <f t="shared" si="17"/>
        <v>1</v>
      </c>
    </row>
    <row r="30" spans="1:29" ht="15">
      <c r="A30" s="386"/>
      <c r="B30" s="1294">
        <v>111</v>
      </c>
      <c r="C30" s="392"/>
      <c r="D30" s="393">
        <v>100</v>
      </c>
      <c r="E30" s="392"/>
      <c r="F30" s="393">
        <f>SUMIF(96:96,E30,97:97)-SUMIF(96:96,C30,97:97)+100</f>
        <v>100</v>
      </c>
      <c r="G30" s="2091"/>
      <c r="H30" s="393">
        <f>SUMIF(96:96,G30,97:97)-SUMIF(96:96,C30,97:97)+100</f>
        <v>100</v>
      </c>
      <c r="I30" s="392"/>
      <c r="J30" s="393">
        <f>SUMIF(96:96,I30,97:97)-SUMIF(96:96,C30,97:97)+100</f>
        <v>100</v>
      </c>
      <c r="K30" s="2077"/>
      <c r="L30" s="2944"/>
      <c r="M30" s="2938"/>
      <c r="N30" s="2938"/>
      <c r="O30" s="2938"/>
      <c r="P30" s="3556"/>
      <c r="Q30" s="3223">
        <f t="shared" si="11"/>
        <v>111</v>
      </c>
      <c r="R30" s="713" t="s">
        <v>17</v>
      </c>
      <c r="S30" s="714">
        <f t="shared" si="12"/>
        <v>100</v>
      </c>
      <c r="T30" s="713" t="s">
        <v>17</v>
      </c>
      <c r="U30" s="714">
        <f t="shared" si="13"/>
        <v>100</v>
      </c>
      <c r="V30" s="713" t="s">
        <v>17</v>
      </c>
      <c r="W30" s="714">
        <f t="shared" si="14"/>
        <v>100</v>
      </c>
      <c r="X30" s="3225"/>
      <c r="Y30" s="3531"/>
      <c r="Z30" s="3224">
        <f t="shared" si="18"/>
        <v>111</v>
      </c>
      <c r="AA30" s="3226">
        <f t="shared" si="15"/>
        <v>1</v>
      </c>
      <c r="AB30" s="3226">
        <f t="shared" si="16"/>
        <v>1</v>
      </c>
      <c r="AC30" s="3226">
        <f t="shared" si="17"/>
        <v>1</v>
      </c>
    </row>
    <row r="31" spans="1:29" ht="15.75" thickBot="1">
      <c r="A31" s="394"/>
      <c r="B31" s="1294">
        <v>111</v>
      </c>
      <c r="C31" s="395"/>
      <c r="D31" s="396">
        <v>100</v>
      </c>
      <c r="E31" s="395"/>
      <c r="F31" s="396">
        <f>SUMIF(98:98,E31,99:99)-SUMIF(98:98,C31,99:99)+100</f>
        <v>100</v>
      </c>
      <c r="G31" s="2092"/>
      <c r="H31" s="396">
        <f>SUMIF(98:98,G31,99:99)-SUMIF(98:98,C31,99:99)+100</f>
        <v>100</v>
      </c>
      <c r="I31" s="395"/>
      <c r="J31" s="396">
        <f>SUMIF(98:98,I31,99:99)-SUMIF(98:98,C31,99:99)+100</f>
        <v>100</v>
      </c>
      <c r="K31" s="2077"/>
      <c r="L31" s="2944"/>
      <c r="M31" s="2938"/>
      <c r="N31" s="2938"/>
      <c r="O31" s="2938"/>
      <c r="P31" s="3556"/>
      <c r="Q31" s="3223">
        <f t="shared" si="11"/>
        <v>111</v>
      </c>
      <c r="R31" s="713" t="s">
        <v>17</v>
      </c>
      <c r="S31" s="714">
        <f t="shared" si="12"/>
        <v>100</v>
      </c>
      <c r="T31" s="713" t="s">
        <v>17</v>
      </c>
      <c r="U31" s="714">
        <f t="shared" si="13"/>
        <v>100</v>
      </c>
      <c r="V31" s="713" t="s">
        <v>17</v>
      </c>
      <c r="W31" s="714">
        <f t="shared" si="14"/>
        <v>100</v>
      </c>
      <c r="X31" s="3225"/>
      <c r="Y31" s="3531"/>
      <c r="Z31" s="3224">
        <f t="shared" si="18"/>
        <v>111</v>
      </c>
      <c r="AA31" s="3226">
        <f t="shared" si="15"/>
        <v>1</v>
      </c>
      <c r="AB31" s="3226">
        <f t="shared" si="16"/>
        <v>1</v>
      </c>
      <c r="AC31" s="3226">
        <f t="shared" si="17"/>
        <v>1</v>
      </c>
    </row>
    <row r="32" spans="1:29" ht="15">
      <c r="A32" s="398" t="s">
        <v>2383</v>
      </c>
      <c r="B32" s="66" t="s">
        <v>2384</v>
      </c>
      <c r="C32" s="2093" t="s">
        <v>4445</v>
      </c>
      <c r="D32" s="425">
        <v>100</v>
      </c>
      <c r="E32" s="2094" t="s">
        <v>4443</v>
      </c>
      <c r="F32" s="419">
        <f>SUMIF(100:100,E32,101:101)-SUMIF(100:100,C32,101:101)+100</f>
        <v>110</v>
      </c>
      <c r="G32" s="2093" t="s">
        <v>4445</v>
      </c>
      <c r="H32" s="425">
        <f>SUMIF(100:100,G32,101:101)-SUMIF(100:100,C32,101:101)+100</f>
        <v>100</v>
      </c>
      <c r="I32" s="2094" t="s">
        <v>4445</v>
      </c>
      <c r="J32" s="393">
        <f>SUMIF(100:100,I32,101:101)-SUMIF(100:100,C32,101:101)+100</f>
        <v>100</v>
      </c>
      <c r="K32" s="384">
        <v>10</v>
      </c>
      <c r="L32" s="2944"/>
      <c r="M32" s="2938"/>
      <c r="N32" s="2938"/>
      <c r="O32" s="2938"/>
      <c r="P32" s="3551" t="s">
        <v>2385</v>
      </c>
      <c r="Q32" s="3223" t="str">
        <f t="shared" si="11"/>
        <v>建筑类型</v>
      </c>
      <c r="R32" s="713" t="s">
        <v>17</v>
      </c>
      <c r="S32" s="714">
        <f t="shared" si="12"/>
        <v>110</v>
      </c>
      <c r="T32" s="713" t="s">
        <v>17</v>
      </c>
      <c r="U32" s="714">
        <f t="shared" si="13"/>
        <v>100</v>
      </c>
      <c r="V32" s="713" t="s">
        <v>17</v>
      </c>
      <c r="W32" s="714">
        <f t="shared" si="14"/>
        <v>100</v>
      </c>
      <c r="X32" s="3225"/>
      <c r="Y32" s="3533" t="s">
        <v>2385</v>
      </c>
      <c r="Z32" s="3224" t="str">
        <f t="shared" si="18"/>
        <v>建筑类型</v>
      </c>
      <c r="AA32" s="3226">
        <f t="shared" si="15"/>
        <v>0.90909090909090906</v>
      </c>
      <c r="AB32" s="3226">
        <f t="shared" si="16"/>
        <v>1</v>
      </c>
      <c r="AC32" s="3226">
        <f t="shared" si="17"/>
        <v>1</v>
      </c>
    </row>
    <row r="33" spans="1:29" s="429" customFormat="1" ht="15">
      <c r="A33" s="426"/>
      <c r="B33" s="380" t="s">
        <v>2386</v>
      </c>
      <c r="C33" s="427">
        <f>规证!C105</f>
        <v>89237</v>
      </c>
      <c r="D33" s="131">
        <v>100</v>
      </c>
      <c r="E33" s="388">
        <v>318830</v>
      </c>
      <c r="F33" s="383">
        <f>LOOKUP(E33,103:103,104:104)-LOOKUP(C33,103:103,104:104)+100</f>
        <v>106</v>
      </c>
      <c r="G33" s="387">
        <v>65458</v>
      </c>
      <c r="H33" s="131">
        <f>LOOKUP(G33,103:103,104:104)-LOOKUP(C33,103:103,104:104)+100</f>
        <v>100</v>
      </c>
      <c r="I33" s="388">
        <v>132950</v>
      </c>
      <c r="J33" s="131">
        <f>LOOKUP(I33,103:103,104:104)-LOOKUP(C33,103:103,104:104)+100</f>
        <v>102</v>
      </c>
      <c r="K33" s="2077"/>
      <c r="L33" s="2943"/>
      <c r="M33" s="2945"/>
      <c r="N33" s="2945"/>
      <c r="O33" s="2945"/>
      <c r="P33" s="3552"/>
      <c r="Q33" s="715" t="str">
        <f t="shared" si="11"/>
        <v>项目建筑规模</v>
      </c>
      <c r="R33" s="716" t="s">
        <v>17</v>
      </c>
      <c r="S33" s="717">
        <f t="shared" si="12"/>
        <v>106</v>
      </c>
      <c r="T33" s="716" t="s">
        <v>17</v>
      </c>
      <c r="U33" s="717">
        <f t="shared" si="13"/>
        <v>100</v>
      </c>
      <c r="V33" s="716" t="s">
        <v>17</v>
      </c>
      <c r="W33" s="717">
        <f t="shared" si="14"/>
        <v>102</v>
      </c>
      <c r="X33" s="718"/>
      <c r="Y33" s="3533"/>
      <c r="Z33" s="719" t="str">
        <f t="shared" si="18"/>
        <v>项目建筑规模</v>
      </c>
      <c r="AA33" s="3226">
        <f t="shared" si="15"/>
        <v>0.94339622641509435</v>
      </c>
      <c r="AB33" s="3226">
        <f t="shared" si="16"/>
        <v>1</v>
      </c>
      <c r="AC33" s="3226">
        <f t="shared" si="17"/>
        <v>0.98039215686274506</v>
      </c>
    </row>
    <row r="34" spans="1:29" ht="15">
      <c r="A34" s="430"/>
      <c r="B34" s="380" t="s">
        <v>2387</v>
      </c>
      <c r="C34" s="2095" t="s">
        <v>4423</v>
      </c>
      <c r="D34" s="393">
        <v>100</v>
      </c>
      <c r="E34" s="2096" t="s">
        <v>4423</v>
      </c>
      <c r="F34" s="419">
        <f>SUMIF(105:105,E34,106:106)-SUMIF(105:105,C34,106:106)+100</f>
        <v>100</v>
      </c>
      <c r="G34" s="2096" t="s">
        <v>4423</v>
      </c>
      <c r="H34" s="393">
        <f>SUMIF(105:105,G34,106:106)-SUMIF(105:105,C34,106:106)+100</f>
        <v>100</v>
      </c>
      <c r="I34" s="2096" t="s">
        <v>4423</v>
      </c>
      <c r="J34" s="393">
        <f>SUMIF(105:105,I34,106:106)-SUMIF(105:105,C34,106:106)+100</f>
        <v>100</v>
      </c>
      <c r="K34" s="384">
        <v>2</v>
      </c>
      <c r="L34" s="2944"/>
      <c r="M34" s="2938"/>
      <c r="N34" s="2938"/>
      <c r="O34" s="2938"/>
      <c r="P34" s="3552"/>
      <c r="Q34" s="3223" t="str">
        <f t="shared" si="11"/>
        <v>建筑结构</v>
      </c>
      <c r="R34" s="713" t="s">
        <v>17</v>
      </c>
      <c r="S34" s="714">
        <f t="shared" si="12"/>
        <v>100</v>
      </c>
      <c r="T34" s="713" t="s">
        <v>17</v>
      </c>
      <c r="U34" s="714">
        <f t="shared" si="13"/>
        <v>100</v>
      </c>
      <c r="V34" s="713" t="s">
        <v>17</v>
      </c>
      <c r="W34" s="714">
        <f t="shared" si="14"/>
        <v>100</v>
      </c>
      <c r="X34" s="3225"/>
      <c r="Y34" s="3533"/>
      <c r="Z34" s="3224" t="str">
        <f t="shared" si="18"/>
        <v>建筑结构</v>
      </c>
      <c r="AA34" s="3226">
        <f t="shared" si="15"/>
        <v>1</v>
      </c>
      <c r="AB34" s="3226">
        <f t="shared" si="16"/>
        <v>1</v>
      </c>
      <c r="AC34" s="3226">
        <f t="shared" si="17"/>
        <v>1</v>
      </c>
    </row>
    <row r="35" spans="1:29" ht="15">
      <c r="A35" s="430"/>
      <c r="B35" s="380" t="s">
        <v>2388</v>
      </c>
      <c r="C35" s="2089" t="s">
        <v>4425</v>
      </c>
      <c r="D35" s="393">
        <v>100</v>
      </c>
      <c r="E35" s="2090" t="s">
        <v>4425</v>
      </c>
      <c r="F35" s="419">
        <f>SUMIF(107:107,E35,108:108)-SUMIF(107:107,C35,108:108)+100</f>
        <v>100</v>
      </c>
      <c r="G35" s="2090" t="s">
        <v>4425</v>
      </c>
      <c r="H35" s="393">
        <f>SUMIF(107:107,G35,108:108)-SUMIF(107:107,C35,108:108)+100</f>
        <v>100</v>
      </c>
      <c r="I35" s="2090" t="s">
        <v>4425</v>
      </c>
      <c r="J35" s="393">
        <f>SUMIF(107:107,I35,108:108)-SUMIF(107:107,C35,108:108)+100</f>
        <v>100</v>
      </c>
      <c r="K35" s="384">
        <v>2</v>
      </c>
      <c r="L35" s="2944"/>
      <c r="M35" s="2938"/>
      <c r="N35" s="2938"/>
      <c r="O35" s="2938"/>
      <c r="P35" s="3552"/>
      <c r="Q35" s="3223" t="str">
        <f t="shared" si="11"/>
        <v>建筑品质</v>
      </c>
      <c r="R35" s="713" t="s">
        <v>17</v>
      </c>
      <c r="S35" s="714">
        <f t="shared" si="12"/>
        <v>100</v>
      </c>
      <c r="T35" s="713" t="s">
        <v>17</v>
      </c>
      <c r="U35" s="714">
        <f t="shared" si="13"/>
        <v>100</v>
      </c>
      <c r="V35" s="713" t="s">
        <v>17</v>
      </c>
      <c r="W35" s="714">
        <f t="shared" si="14"/>
        <v>100</v>
      </c>
      <c r="X35" s="3225"/>
      <c r="Y35" s="3533"/>
      <c r="Z35" s="3224" t="str">
        <f t="shared" si="18"/>
        <v>建筑品质</v>
      </c>
      <c r="AA35" s="3226">
        <f t="shared" si="15"/>
        <v>1</v>
      </c>
      <c r="AB35" s="3226">
        <f t="shared" si="16"/>
        <v>1</v>
      </c>
      <c r="AC35" s="3226">
        <f t="shared" si="17"/>
        <v>1</v>
      </c>
    </row>
    <row r="36" spans="1:29" ht="15">
      <c r="A36" s="430"/>
      <c r="B36" s="380" t="s">
        <v>2389</v>
      </c>
      <c r="C36" s="2089"/>
      <c r="D36" s="393">
        <v>100</v>
      </c>
      <c r="E36" s="2090"/>
      <c r="F36" s="419">
        <f>SUMIF(109:109,E36,110:110)-SUMIF(109:109,C36,110:110)+100</f>
        <v>100</v>
      </c>
      <c r="G36" s="2089"/>
      <c r="H36" s="393">
        <f>SUMIF(109:109,G36,110:110)-SUMIF(109:109,C36,110:110)+100</f>
        <v>100</v>
      </c>
      <c r="I36" s="2090"/>
      <c r="J36" s="393">
        <f>SUMIF(109:109,I36,110:110)-SUMIF(109:109,C36,110:110)+100</f>
        <v>100</v>
      </c>
      <c r="K36" s="384"/>
      <c r="L36" s="2944"/>
      <c r="M36" s="2938"/>
      <c r="N36" s="2938"/>
      <c r="O36" s="2938"/>
      <c r="P36" s="3552"/>
      <c r="Q36" s="3223" t="str">
        <f t="shared" si="11"/>
        <v>公共部分装修</v>
      </c>
      <c r="R36" s="713" t="s">
        <v>17</v>
      </c>
      <c r="S36" s="714">
        <f t="shared" si="12"/>
        <v>100</v>
      </c>
      <c r="T36" s="713" t="s">
        <v>17</v>
      </c>
      <c r="U36" s="714">
        <f t="shared" si="13"/>
        <v>100</v>
      </c>
      <c r="V36" s="713" t="s">
        <v>17</v>
      </c>
      <c r="W36" s="714">
        <f t="shared" si="14"/>
        <v>100</v>
      </c>
      <c r="X36" s="3225"/>
      <c r="Y36" s="3533"/>
      <c r="Z36" s="3224" t="str">
        <f t="shared" si="18"/>
        <v>公共部分装修</v>
      </c>
      <c r="AA36" s="3226">
        <f t="shared" si="15"/>
        <v>1</v>
      </c>
      <c r="AB36" s="3226">
        <f t="shared" si="16"/>
        <v>1</v>
      </c>
      <c r="AC36" s="3226">
        <f t="shared" si="17"/>
        <v>1</v>
      </c>
    </row>
    <row r="37" spans="1:29" s="112" customFormat="1" ht="15">
      <c r="A37" s="431"/>
      <c r="B37" s="380" t="s">
        <v>2390</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2</v>
      </c>
      <c r="L37" s="2939"/>
      <c r="M37" s="2940"/>
      <c r="N37" s="2940"/>
      <c r="O37" s="2940"/>
      <c r="P37" s="3552"/>
      <c r="Q37" s="3222" t="str">
        <f t="shared" si="11"/>
        <v>成新度</v>
      </c>
      <c r="R37" s="709" t="s">
        <v>17</v>
      </c>
      <c r="S37" s="710">
        <f t="shared" si="12"/>
        <v>100</v>
      </c>
      <c r="T37" s="709" t="s">
        <v>17</v>
      </c>
      <c r="U37" s="710">
        <f t="shared" si="13"/>
        <v>100</v>
      </c>
      <c r="V37" s="709" t="s">
        <v>17</v>
      </c>
      <c r="W37" s="710">
        <f t="shared" si="14"/>
        <v>100</v>
      </c>
      <c r="X37" s="711"/>
      <c r="Y37" s="3533"/>
      <c r="Z37" s="3221" t="str">
        <f t="shared" si="18"/>
        <v>成新度</v>
      </c>
      <c r="AA37" s="712">
        <f t="shared" si="15"/>
        <v>1</v>
      </c>
      <c r="AB37" s="712">
        <f t="shared" si="16"/>
        <v>1</v>
      </c>
      <c r="AC37" s="712">
        <f t="shared" si="17"/>
        <v>1</v>
      </c>
    </row>
    <row r="38" spans="1:29" ht="15">
      <c r="A38" s="430"/>
      <c r="B38" s="380" t="s">
        <v>2391</v>
      </c>
      <c r="C38" s="2089" t="s">
        <v>4381</v>
      </c>
      <c r="D38" s="393">
        <v>100</v>
      </c>
      <c r="E38" s="2090" t="s">
        <v>4381</v>
      </c>
      <c r="F38" s="419">
        <f>SUMIF(114:114,E38,115:115)-SUMIF(114:114,C38,115:115)+100</f>
        <v>100</v>
      </c>
      <c r="G38" s="2089" t="s">
        <v>4381</v>
      </c>
      <c r="H38" s="393">
        <f>SUMIF(114:114,G38,115:115)-SUMIF(114:114,C38,115:115)+100</f>
        <v>100</v>
      </c>
      <c r="I38" s="2090" t="s">
        <v>4381</v>
      </c>
      <c r="J38" s="393">
        <f>SUMIF(114:114,I38,115:115)-SUMIF(114:114,C38,115:115)+100</f>
        <v>100</v>
      </c>
      <c r="K38" s="384">
        <v>2</v>
      </c>
      <c r="L38" s="2944"/>
      <c r="M38" s="2938"/>
      <c r="N38" s="2938"/>
      <c r="O38" s="2938"/>
      <c r="P38" s="3552" t="s">
        <v>2385</v>
      </c>
      <c r="Q38" s="3223" t="str">
        <f t="shared" si="11"/>
        <v>物业管理</v>
      </c>
      <c r="R38" s="713" t="s">
        <v>17</v>
      </c>
      <c r="S38" s="714">
        <f t="shared" si="12"/>
        <v>100</v>
      </c>
      <c r="T38" s="713" t="s">
        <v>17</v>
      </c>
      <c r="U38" s="714">
        <f t="shared" si="13"/>
        <v>100</v>
      </c>
      <c r="V38" s="713" t="s">
        <v>17</v>
      </c>
      <c r="W38" s="714">
        <f t="shared" si="14"/>
        <v>100</v>
      </c>
      <c r="X38" s="3225"/>
      <c r="Y38" s="3533" t="s">
        <v>2385</v>
      </c>
      <c r="Z38" s="3224" t="str">
        <f t="shared" si="18"/>
        <v>物业管理</v>
      </c>
      <c r="AA38" s="3226">
        <f t="shared" si="15"/>
        <v>1</v>
      </c>
      <c r="AB38" s="3226">
        <f t="shared" si="16"/>
        <v>1</v>
      </c>
      <c r="AC38" s="3226">
        <f t="shared" si="17"/>
        <v>1</v>
      </c>
    </row>
    <row r="39" spans="1:29" ht="15">
      <c r="A39" s="430"/>
      <c r="B39" s="380" t="s">
        <v>2392</v>
      </c>
      <c r="C39" s="2089"/>
      <c r="D39" s="393">
        <v>100</v>
      </c>
      <c r="E39" s="2090"/>
      <c r="F39" s="419">
        <f>SUMIF(116:116,E39,117:117)-SUMIF(116:116,C39,117:117)+100</f>
        <v>100</v>
      </c>
      <c r="G39" s="2089"/>
      <c r="H39" s="393">
        <f>SUMIF(116:116,G39,117:117)-SUMIF(116:116,C39,117:117)+100</f>
        <v>100</v>
      </c>
      <c r="I39" s="2090"/>
      <c r="J39" s="393">
        <f>SUMIF(116:116,I39,117:117)-SUMIF(116:116,C39,117:117)+100</f>
        <v>100</v>
      </c>
      <c r="K39" s="384"/>
      <c r="L39" s="2944"/>
      <c r="M39" s="2938"/>
      <c r="N39" s="2938"/>
      <c r="O39" s="2938"/>
      <c r="P39" s="3552"/>
      <c r="Q39" s="3223" t="str">
        <f t="shared" si="11"/>
        <v>市政基础设施</v>
      </c>
      <c r="R39" s="713" t="s">
        <v>17</v>
      </c>
      <c r="S39" s="714">
        <f t="shared" si="12"/>
        <v>100</v>
      </c>
      <c r="T39" s="713" t="s">
        <v>17</v>
      </c>
      <c r="U39" s="714">
        <f t="shared" si="13"/>
        <v>100</v>
      </c>
      <c r="V39" s="713" t="s">
        <v>17</v>
      </c>
      <c r="W39" s="714">
        <f t="shared" si="14"/>
        <v>100</v>
      </c>
      <c r="X39" s="3225"/>
      <c r="Y39" s="3533"/>
      <c r="Z39" s="3224" t="str">
        <f t="shared" si="18"/>
        <v>市政基础设施</v>
      </c>
      <c r="AA39" s="3226">
        <f t="shared" si="15"/>
        <v>1</v>
      </c>
      <c r="AB39" s="3226">
        <f t="shared" si="16"/>
        <v>1</v>
      </c>
      <c r="AC39" s="3226">
        <f t="shared" si="17"/>
        <v>1</v>
      </c>
    </row>
    <row r="40" spans="1:29" ht="15">
      <c r="A40" s="430"/>
      <c r="B40" s="380" t="s">
        <v>2393</v>
      </c>
      <c r="C40" s="2089"/>
      <c r="D40" s="393">
        <v>100</v>
      </c>
      <c r="E40" s="2090"/>
      <c r="F40" s="419">
        <f>SUMIF(118:118,E40,119:119)-SUMIF(118:118,C40,119:119)+100</f>
        <v>100</v>
      </c>
      <c r="G40" s="2089"/>
      <c r="H40" s="393">
        <f>SUMIF(118:118,G40,119:119)-SUMIF(118:118,C40,119:119)+100</f>
        <v>100</v>
      </c>
      <c r="I40" s="2090"/>
      <c r="J40" s="393">
        <f>SUMIF(118:118,I40,119:119)-SUMIF(118:118,C40,119:119)+100</f>
        <v>100</v>
      </c>
      <c r="K40" s="384"/>
      <c r="L40" s="2944"/>
      <c r="M40" s="2938"/>
      <c r="N40" s="2938"/>
      <c r="O40" s="2938"/>
      <c r="P40" s="3552"/>
      <c r="Q40" s="3223" t="str">
        <f t="shared" si="11"/>
        <v>房型</v>
      </c>
      <c r="R40" s="713" t="s">
        <v>17</v>
      </c>
      <c r="S40" s="714">
        <f t="shared" si="12"/>
        <v>100</v>
      </c>
      <c r="T40" s="713" t="s">
        <v>17</v>
      </c>
      <c r="U40" s="714">
        <f t="shared" si="13"/>
        <v>100</v>
      </c>
      <c r="V40" s="713" t="s">
        <v>17</v>
      </c>
      <c r="W40" s="714">
        <f t="shared" si="14"/>
        <v>100</v>
      </c>
      <c r="X40" s="3225"/>
      <c r="Y40" s="3533"/>
      <c r="Z40" s="3224" t="str">
        <f t="shared" si="18"/>
        <v>房型</v>
      </c>
      <c r="AA40" s="3226">
        <f t="shared" si="15"/>
        <v>1</v>
      </c>
      <c r="AB40" s="3226">
        <f t="shared" si="16"/>
        <v>1</v>
      </c>
      <c r="AC40" s="3226">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7"/>
      <c r="L41" s="2943"/>
      <c r="M41" s="2945"/>
      <c r="N41" s="2945"/>
      <c r="O41" s="2945"/>
      <c r="P41" s="3552"/>
      <c r="Q41" s="715" t="str">
        <f t="shared" si="11"/>
        <v>单套/主力户型建筑面积</v>
      </c>
      <c r="R41" s="716" t="s">
        <v>17</v>
      </c>
      <c r="S41" s="717">
        <f t="shared" si="12"/>
        <v>100</v>
      </c>
      <c r="T41" s="716" t="s">
        <v>17</v>
      </c>
      <c r="U41" s="717">
        <f t="shared" si="13"/>
        <v>100</v>
      </c>
      <c r="V41" s="716" t="s">
        <v>17</v>
      </c>
      <c r="W41" s="717">
        <f t="shared" si="14"/>
        <v>100</v>
      </c>
      <c r="X41" s="718"/>
      <c r="Y41" s="3533"/>
      <c r="Z41" s="719" t="str">
        <f t="shared" si="18"/>
        <v>单套/主力户型建筑面积</v>
      </c>
      <c r="AA41" s="3226">
        <f t="shared" si="15"/>
        <v>1</v>
      </c>
      <c r="AB41" s="3226">
        <f t="shared" si="16"/>
        <v>1</v>
      </c>
      <c r="AC41" s="3226">
        <f t="shared" si="17"/>
        <v>1</v>
      </c>
    </row>
    <row r="42" spans="1:29" ht="15">
      <c r="A42" s="430"/>
      <c r="B42" s="380" t="s">
        <v>2395</v>
      </c>
      <c r="C42" s="2089" t="s">
        <v>4399</v>
      </c>
      <c r="D42" s="393">
        <v>100</v>
      </c>
      <c r="E42" s="2090" t="s">
        <v>4403</v>
      </c>
      <c r="F42" s="419">
        <f>SUMIF(122:122,E42,123:123)-SUMIF(122:122,C42,123:123)+100</f>
        <v>91</v>
      </c>
      <c r="G42" s="2089" t="s">
        <v>4399</v>
      </c>
      <c r="H42" s="393">
        <f>SUMIF(122:122,G42,123:123)-SUMIF(122:122,C42,123:123)+100</f>
        <v>100</v>
      </c>
      <c r="I42" s="2090" t="s">
        <v>4399</v>
      </c>
      <c r="J42" s="393">
        <f>SUMIF(122:122,I42,123:123)-SUMIF(122:122,C42,123:123)+100</f>
        <v>100</v>
      </c>
      <c r="K42" s="384">
        <v>3</v>
      </c>
      <c r="L42" s="2944"/>
      <c r="M42" s="2938"/>
      <c r="N42" s="2938"/>
      <c r="O42" s="2938"/>
      <c r="P42" s="3552"/>
      <c r="Q42" s="3223" t="str">
        <f t="shared" si="11"/>
        <v>内部装修</v>
      </c>
      <c r="R42" s="713" t="s">
        <v>17</v>
      </c>
      <c r="S42" s="714">
        <f t="shared" si="12"/>
        <v>91</v>
      </c>
      <c r="T42" s="713" t="s">
        <v>17</v>
      </c>
      <c r="U42" s="714">
        <f t="shared" si="13"/>
        <v>100</v>
      </c>
      <c r="V42" s="713" t="s">
        <v>17</v>
      </c>
      <c r="W42" s="714">
        <f t="shared" si="14"/>
        <v>100</v>
      </c>
      <c r="X42" s="3225"/>
      <c r="Y42" s="3533"/>
      <c r="Z42" s="3224" t="str">
        <f t="shared" si="18"/>
        <v>内部装修</v>
      </c>
      <c r="AA42" s="3226">
        <f t="shared" si="15"/>
        <v>1.098901098901099</v>
      </c>
      <c r="AB42" s="3226">
        <f t="shared" si="16"/>
        <v>1</v>
      </c>
      <c r="AC42" s="3226">
        <f t="shared" si="17"/>
        <v>1</v>
      </c>
    </row>
    <row r="43" spans="1:29" ht="15">
      <c r="A43" s="430"/>
      <c r="B43" s="380" t="s">
        <v>2396</v>
      </c>
      <c r="C43" s="2089"/>
      <c r="D43" s="393">
        <v>100</v>
      </c>
      <c r="E43" s="2090"/>
      <c r="F43" s="419">
        <f>SUMIF(124:124,E43,125:125)-SUMIF(124:124,C43,125:125)+100</f>
        <v>100</v>
      </c>
      <c r="G43" s="2089"/>
      <c r="H43" s="393">
        <f>SUMIF(124:124,G43,125:125)-SUMIF(124:124,C43,125:125)+100</f>
        <v>100</v>
      </c>
      <c r="I43" s="2090"/>
      <c r="J43" s="393">
        <f>SUMIF(124:124,I43,125:125)-SUMIF(124:124,C43,125:125)+100</f>
        <v>100</v>
      </c>
      <c r="K43" s="384"/>
      <c r="L43" s="2944"/>
      <c r="M43" s="2938"/>
      <c r="N43" s="2938"/>
      <c r="O43" s="2938"/>
      <c r="P43" s="3552"/>
      <c r="Q43" s="3223" t="str">
        <f t="shared" si="11"/>
        <v>内部装修维护情况</v>
      </c>
      <c r="R43" s="713" t="s">
        <v>17</v>
      </c>
      <c r="S43" s="714">
        <f t="shared" si="12"/>
        <v>100</v>
      </c>
      <c r="T43" s="713" t="s">
        <v>17</v>
      </c>
      <c r="U43" s="714">
        <f t="shared" si="13"/>
        <v>100</v>
      </c>
      <c r="V43" s="713" t="s">
        <v>17</v>
      </c>
      <c r="W43" s="714">
        <f t="shared" si="14"/>
        <v>100</v>
      </c>
      <c r="X43" s="3225"/>
      <c r="Y43" s="3533"/>
      <c r="Z43" s="3224" t="str">
        <f t="shared" si="18"/>
        <v>内部装修维护情况</v>
      </c>
      <c r="AA43" s="3226">
        <f t="shared" si="15"/>
        <v>1</v>
      </c>
      <c r="AB43" s="3226">
        <f t="shared" si="16"/>
        <v>1</v>
      </c>
      <c r="AC43" s="3226">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7"/>
      <c r="L44" s="2939"/>
      <c r="M44" s="2940"/>
      <c r="N44" s="2940"/>
      <c r="O44" s="2940"/>
      <c r="P44" s="3552"/>
      <c r="Q44" s="3222">
        <f t="shared" si="11"/>
        <v>111</v>
      </c>
      <c r="R44" s="709" t="s">
        <v>17</v>
      </c>
      <c r="S44" s="710">
        <f t="shared" si="12"/>
        <v>100</v>
      </c>
      <c r="T44" s="709" t="s">
        <v>17</v>
      </c>
      <c r="U44" s="710">
        <f t="shared" si="13"/>
        <v>100</v>
      </c>
      <c r="V44" s="709" t="s">
        <v>17</v>
      </c>
      <c r="W44" s="710">
        <f t="shared" si="14"/>
        <v>100</v>
      </c>
      <c r="X44" s="711"/>
      <c r="Y44" s="3533"/>
      <c r="Z44" s="3221">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7"/>
      <c r="L45" s="2944"/>
      <c r="M45" s="2938"/>
      <c r="N45" s="2938"/>
      <c r="O45" s="2938"/>
      <c r="P45" s="3552"/>
      <c r="Q45" s="3223">
        <f t="shared" si="11"/>
        <v>111</v>
      </c>
      <c r="R45" s="713" t="s">
        <v>17</v>
      </c>
      <c r="S45" s="714">
        <f t="shared" si="12"/>
        <v>100</v>
      </c>
      <c r="T45" s="713" t="s">
        <v>17</v>
      </c>
      <c r="U45" s="714">
        <f t="shared" si="13"/>
        <v>100</v>
      </c>
      <c r="V45" s="713" t="s">
        <v>17</v>
      </c>
      <c r="W45" s="714">
        <f t="shared" si="14"/>
        <v>100</v>
      </c>
      <c r="X45" s="3225"/>
      <c r="Y45" s="3533"/>
      <c r="Z45" s="3224">
        <f t="shared" si="18"/>
        <v>111</v>
      </c>
      <c r="AA45" s="3226">
        <f t="shared" si="15"/>
        <v>1</v>
      </c>
      <c r="AB45" s="3226">
        <f t="shared" si="16"/>
        <v>1</v>
      </c>
      <c r="AC45" s="3226">
        <f t="shared" si="17"/>
        <v>1</v>
      </c>
    </row>
    <row r="46" spans="1:29" ht="15.75" thickBot="1">
      <c r="A46" s="436"/>
      <c r="B46" s="207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7"/>
      <c r="L46" s="2944"/>
      <c r="M46" s="2938"/>
      <c r="N46" s="2938"/>
      <c r="O46" s="2938"/>
      <c r="P46" s="3553"/>
      <c r="Q46" s="3223">
        <f t="shared" si="11"/>
        <v>111</v>
      </c>
      <c r="R46" s="713" t="s">
        <v>17</v>
      </c>
      <c r="S46" s="714">
        <f t="shared" si="12"/>
        <v>100</v>
      </c>
      <c r="T46" s="713" t="s">
        <v>17</v>
      </c>
      <c r="U46" s="714">
        <f t="shared" si="13"/>
        <v>100</v>
      </c>
      <c r="V46" s="713" t="s">
        <v>17</v>
      </c>
      <c r="W46" s="714">
        <f t="shared" si="14"/>
        <v>100</v>
      </c>
      <c r="X46" s="3225"/>
      <c r="Y46" s="3554"/>
      <c r="Z46" s="3224">
        <f t="shared" si="18"/>
        <v>111</v>
      </c>
      <c r="AA46" s="3226">
        <f t="shared" si="15"/>
        <v>1</v>
      </c>
      <c r="AB46" s="3226">
        <f t="shared" si="16"/>
        <v>1</v>
      </c>
      <c r="AC46" s="3226">
        <f t="shared" si="17"/>
        <v>1</v>
      </c>
    </row>
    <row r="47" spans="1:29" ht="15">
      <c r="A47" s="437" t="s">
        <v>2397</v>
      </c>
      <c r="B47" s="438"/>
      <c r="C47" s="1315" t="s">
        <v>1</v>
      </c>
      <c r="D47" s="1316"/>
      <c r="E47" s="1317">
        <f>住宅案例!F33</f>
        <v>60704</v>
      </c>
      <c r="F47" s="1318"/>
      <c r="G47" s="1319">
        <f>住宅案例!F11</f>
        <v>53998</v>
      </c>
      <c r="H47" s="1320"/>
      <c r="I47" s="1317">
        <f>住宅案例!F5</f>
        <v>54796</v>
      </c>
      <c r="J47" s="1320"/>
      <c r="K47" s="2097"/>
      <c r="L47" s="2946"/>
      <c r="M47" s="2947"/>
      <c r="N47" s="2938"/>
      <c r="O47" s="2947"/>
      <c r="P47" s="3515" t="str">
        <f>A47</f>
        <v>成交单价（元/平方米）</v>
      </c>
      <c r="Q47" s="3515"/>
      <c r="R47" s="3550">
        <f>E47</f>
        <v>60704</v>
      </c>
      <c r="S47" s="3550"/>
      <c r="T47" s="3550">
        <f>G47</f>
        <v>53998</v>
      </c>
      <c r="U47" s="3550"/>
      <c r="V47" s="3550">
        <f>I47</f>
        <v>54796</v>
      </c>
      <c r="W47" s="3550"/>
      <c r="X47" s="698"/>
      <c r="Y47" s="720"/>
      <c r="Z47" s="698"/>
      <c r="AA47" s="698"/>
      <c r="AB47" s="698"/>
      <c r="AC47" s="698"/>
    </row>
    <row r="48" spans="1:29" ht="15.75" thickBot="1">
      <c r="A48" s="444" t="s">
        <v>2398</v>
      </c>
      <c r="B48" s="445"/>
      <c r="C48" s="1321">
        <f>R49</f>
        <v>52023</v>
      </c>
      <c r="D48" s="2535" t="s">
        <v>2880</v>
      </c>
      <c r="E48" s="1322">
        <f>R48</f>
        <v>52371</v>
      </c>
      <c r="F48" s="2536"/>
      <c r="G48" s="1321">
        <f>T48</f>
        <v>51447</v>
      </c>
      <c r="H48" s="2536"/>
      <c r="I48" s="1322">
        <f>V48</f>
        <v>52250</v>
      </c>
      <c r="J48" s="2536"/>
      <c r="K48" s="2537">
        <f>F48+H48+J48</f>
        <v>0</v>
      </c>
      <c r="L48" s="2946"/>
      <c r="M48" s="2947"/>
      <c r="N48" s="2947"/>
      <c r="O48" s="2947"/>
      <c r="P48" s="3515" t="str">
        <f>A48</f>
        <v>比较价值（元/平方米）</v>
      </c>
      <c r="Q48" s="3515"/>
      <c r="R48" s="3550">
        <f>IF(F1="售价",ROUND(PRODUCT(R47,AA7:AA46),0),ROUND(PRODUCT(R47,AA7:AA46),1))</f>
        <v>52371</v>
      </c>
      <c r="S48" s="3550"/>
      <c r="T48" s="3550">
        <f>IF(F1="售价",ROUND(PRODUCT(T47,AB7:AB46),0),ROUND(PRODUCT(T47,AB7:AB46),1))</f>
        <v>51447</v>
      </c>
      <c r="U48" s="3550"/>
      <c r="V48" s="3550">
        <f>IF(F1="售价",ROUND(PRODUCT(V47,AC7:AC46),0),ROUND(PRODUCT(V47,AC7:AC46),1))</f>
        <v>52250</v>
      </c>
      <c r="W48" s="3550"/>
      <c r="X48" s="698"/>
      <c r="Y48" s="698"/>
      <c r="Z48" s="698"/>
      <c r="AA48" s="698"/>
      <c r="AB48" s="698"/>
      <c r="AC48" s="698"/>
    </row>
    <row r="49" spans="1:29" ht="15.75" thickBot="1">
      <c r="A49" s="448" t="s">
        <v>2399</v>
      </c>
      <c r="B49" s="449"/>
      <c r="C49" s="1323">
        <f>R49</f>
        <v>52023</v>
      </c>
      <c r="D49" s="1324"/>
      <c r="E49" s="1324"/>
      <c r="F49" s="1324"/>
      <c r="G49" s="1324"/>
      <c r="H49" s="1324"/>
      <c r="I49" s="1324"/>
      <c r="J49" s="1324"/>
      <c r="K49" s="2098"/>
      <c r="L49" s="2946"/>
      <c r="M49" s="2947"/>
      <c r="N49" s="2947"/>
      <c r="O49" s="2947"/>
      <c r="P49" s="3535" t="str">
        <f>A49</f>
        <v>估价对象XX用房的比较价值（楼面单价，元/平方米）</v>
      </c>
      <c r="Q49" s="3536"/>
      <c r="R49" s="3549">
        <f>IF(F1="售价",ROUND(IF(D48="简单平均",AVERAGE(R48:V48),R48*F48+T48*H48+V48*J48),0),ROUND(IF(D48="简单平均",AVERAGE(R48:V48),R48*F48+T48*H48+V48*J48),1))</f>
        <v>52023</v>
      </c>
      <c r="S49" s="3549"/>
      <c r="T49" s="3549"/>
      <c r="U49" s="3549"/>
      <c r="V49" s="3549"/>
      <c r="W49" s="3549"/>
      <c r="X49" s="698"/>
      <c r="Y49" s="698"/>
      <c r="Z49" s="698"/>
      <c r="AA49" s="698"/>
      <c r="AB49" s="698"/>
      <c r="AC49" s="698"/>
    </row>
    <row r="50" spans="1:29">
      <c r="A50" s="2947"/>
      <c r="B50" s="2947"/>
      <c r="C50" s="2947"/>
      <c r="D50" s="2947"/>
      <c r="E50" s="2947"/>
      <c r="F50" s="2947"/>
      <c r="G50" s="3174"/>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3" t="s">
        <v>2400</v>
      </c>
      <c r="D52" s="454"/>
      <c r="E52" s="455">
        <f>IF(E47&lt;E48,E48/E47-1,E47/E48-1)</f>
        <v>0.15911477726222523</v>
      </c>
      <c r="F52" s="456" t="str">
        <f>IF(OR(E52&gt;=0.3,E52&lt;=-0.3),"超过30%","")</f>
        <v/>
      </c>
      <c r="G52" s="455">
        <f>IF(G47&lt;G48,G48/G47-1,G47/G48-1)</f>
        <v>4.9585009815927172E-2</v>
      </c>
      <c r="H52" s="456" t="str">
        <f>IF(OR(G52&gt;=0.3,G52&lt;=-0.3),"超过30%","")</f>
        <v/>
      </c>
      <c r="I52" s="455">
        <f>IF(I47&lt;I48,I48/I47-1,I47/I48-1)</f>
        <v>4.872727272727273E-2</v>
      </c>
      <c r="J52" s="456" t="str">
        <f>IF(OR(I52&gt;=0.3,I52&lt;=-0.3),"超过30%","")</f>
        <v/>
      </c>
      <c r="K52" s="2952"/>
      <c r="L52" s="2948"/>
      <c r="M52" s="2947"/>
      <c r="N52" s="2947"/>
      <c r="O52" s="2947"/>
    </row>
    <row r="53" spans="1:29" ht="13.5" customHeight="1">
      <c r="A53" s="2947"/>
      <c r="B53" s="2947"/>
      <c r="C53" s="453" t="s">
        <v>2401</v>
      </c>
      <c r="D53" s="457"/>
      <c r="E53" s="455">
        <f>IF(E48&lt;G48,G48/E48-1,E48/G48-1)</f>
        <v>1.7960230917254627E-2</v>
      </c>
      <c r="F53" s="456" t="str">
        <f>IF(OR(E53&gt;=0.2,E53&lt;=-0.2),"超过20%","")</f>
        <v/>
      </c>
      <c r="G53" s="455">
        <f>IF(G48&lt;I48,I48/G48-1,G48/I48-1)</f>
        <v>1.5608295916185622E-2</v>
      </c>
      <c r="H53" s="456" t="str">
        <f>IF(OR(G53&gt;=0.2,G53&lt;=-0.2),"超过20%","")</f>
        <v/>
      </c>
      <c r="I53" s="455">
        <f>IF(I48&lt;E48,E48/I48-1,I48/E48-1)</f>
        <v>2.315789473684271E-3</v>
      </c>
      <c r="J53" s="456" t="str">
        <f>IF(OR(I53&gt;=0.2,I53&lt;=-0.2),"超过20%","")</f>
        <v/>
      </c>
      <c r="K53" s="2952"/>
      <c r="L53" s="2948"/>
      <c r="M53" s="2947"/>
      <c r="N53" s="2947"/>
      <c r="O53" s="2947"/>
    </row>
    <row r="54" spans="1:29" s="458" customFormat="1" ht="13.5" customHeight="1">
      <c r="A54" s="2950"/>
      <c r="B54" s="2950"/>
      <c r="C54" s="453" t="s">
        <v>2402</v>
      </c>
      <c r="D54" s="457"/>
      <c r="E54" s="455">
        <f>IF(E47&lt;G47,G47/E47-1,E47/G47-1)</f>
        <v>0.12418978480684473</v>
      </c>
      <c r="F54" s="456" t="str">
        <f>IF(OR(E54&gt;=0.3,E54&lt;=-0.3),"超过30%","")</f>
        <v/>
      </c>
      <c r="G54" s="455">
        <f>IF(G47&lt;I47,I47/G47-1,G47/I47-1)</f>
        <v>1.4778325123152802E-2</v>
      </c>
      <c r="H54" s="456" t="str">
        <f>IF(OR(G54&gt;=0.3,G54&lt;=-0.3),"超过30%","")</f>
        <v/>
      </c>
      <c r="I54" s="455">
        <f>IF(I47&lt;E47,E47/I47-1,I47/E47-1)</f>
        <v>0.10781808891159939</v>
      </c>
      <c r="J54" s="456" t="str">
        <f>IF(OR(I54&gt;=0.3,I54&lt;=-0.3),"超过30%","")</f>
        <v/>
      </c>
      <c r="K54" s="2955"/>
      <c r="L54" s="2949"/>
      <c r="M54" s="2950"/>
      <c r="N54" s="2950"/>
      <c r="O54" s="2950"/>
      <c r="P54" s="2100"/>
    </row>
    <row r="55" spans="1:29" s="458" customFormat="1">
      <c r="A55" s="2950"/>
      <c r="B55" s="2953"/>
      <c r="C55" s="2954"/>
      <c r="D55" s="2950"/>
      <c r="E55" s="2950"/>
      <c r="F55" s="2950"/>
      <c r="G55" s="2950"/>
      <c r="H55" s="2950"/>
      <c r="I55" s="2950"/>
      <c r="J55" s="2950"/>
      <c r="K55" s="2955"/>
      <c r="L55" s="2949"/>
      <c r="M55" s="2950"/>
      <c r="N55" s="2950"/>
      <c r="O55" s="2950"/>
      <c r="P55" s="2100"/>
    </row>
    <row r="56" spans="1:29">
      <c r="A56" s="2947"/>
      <c r="B56" s="2953"/>
      <c r="C56" s="2954"/>
      <c r="D56" s="2947"/>
      <c r="E56" s="2947"/>
      <c r="F56" s="2947"/>
      <c r="G56" s="2947"/>
      <c r="H56" s="2947"/>
      <c r="I56" s="2947"/>
      <c r="J56" s="2947"/>
      <c r="K56" s="2952"/>
      <c r="L56" s="2948"/>
      <c r="M56" s="2947"/>
      <c r="N56" s="2947"/>
      <c r="O56" s="2947"/>
    </row>
    <row r="57" spans="1:29" ht="21.75" thickBot="1">
      <c r="A57" s="702" t="s">
        <v>2403</v>
      </c>
      <c r="B57" s="698"/>
      <c r="C57" s="703"/>
      <c r="D57" s="703"/>
      <c r="E57" s="703"/>
      <c r="F57" s="704"/>
      <c r="G57" s="704"/>
      <c r="H57" s="703"/>
      <c r="I57" s="703"/>
      <c r="J57" s="703"/>
      <c r="K57" s="1071"/>
      <c r="L57" s="1072"/>
      <c r="M57" s="1070"/>
      <c r="N57" s="1070"/>
      <c r="O57" s="1070"/>
      <c r="P57" s="2101"/>
      <c r="Q57" s="460"/>
    </row>
    <row r="58" spans="1:29" s="464" customFormat="1" ht="15">
      <c r="A58" s="461" t="s">
        <v>2368</v>
      </c>
      <c r="B58" s="462"/>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2" customFormat="1" ht="15">
      <c r="A59" s="465"/>
      <c r="B59" s="2102"/>
      <c r="C59" s="1343">
        <v>100</v>
      </c>
      <c r="D59" s="467">
        <f>C59</f>
        <v>100</v>
      </c>
      <c r="E59" s="467">
        <f t="shared" ref="E59:M59" si="20">D59</f>
        <v>100</v>
      </c>
      <c r="F59" s="467">
        <f t="shared" si="20"/>
        <v>100</v>
      </c>
      <c r="G59" s="467">
        <f t="shared" si="20"/>
        <v>100</v>
      </c>
      <c r="H59" s="467">
        <f t="shared" si="20"/>
        <v>100</v>
      </c>
      <c r="I59" s="467">
        <f t="shared" si="20"/>
        <v>100</v>
      </c>
      <c r="J59" s="467">
        <f t="shared" si="20"/>
        <v>100</v>
      </c>
      <c r="K59" s="467">
        <f t="shared" si="20"/>
        <v>100</v>
      </c>
      <c r="L59" s="467">
        <f t="shared" si="20"/>
        <v>100</v>
      </c>
      <c r="M59" s="467">
        <f t="shared" si="20"/>
        <v>100</v>
      </c>
      <c r="N59" s="468"/>
      <c r="O59" s="469"/>
      <c r="P59" s="2103"/>
    </row>
    <row r="60" spans="1:29" s="112" customFormat="1" ht="15.75" thickBot="1">
      <c r="A60" s="471" t="s">
        <v>2405</v>
      </c>
      <c r="B60" s="472"/>
      <c r="C60" s="473"/>
      <c r="D60" s="474"/>
      <c r="E60" s="474"/>
      <c r="F60" s="474"/>
      <c r="G60" s="474"/>
      <c r="H60" s="474"/>
      <c r="I60" s="474"/>
      <c r="J60" s="474"/>
      <c r="K60" s="474"/>
      <c r="L60" s="474"/>
      <c r="M60" s="475"/>
      <c r="N60" s="474"/>
      <c r="O60" s="475"/>
      <c r="P60" s="2103"/>
      <c r="Q60" s="460"/>
    </row>
    <row r="61" spans="1:29" s="112" customFormat="1" ht="15">
      <c r="A61" s="477" t="s">
        <v>2370</v>
      </c>
      <c r="B61" s="466"/>
      <c r="C61" s="478" t="s">
        <v>2407</v>
      </c>
      <c r="D61" s="479"/>
      <c r="E61" s="479"/>
      <c r="F61" s="479"/>
      <c r="G61" s="479"/>
      <c r="H61" s="479"/>
      <c r="I61" s="479"/>
      <c r="J61" s="479"/>
      <c r="K61" s="479"/>
      <c r="L61" s="480"/>
      <c r="M61" s="481"/>
      <c r="N61" s="1062"/>
      <c r="O61" s="1062"/>
      <c r="P61" s="2104"/>
      <c r="Q61" s="460"/>
    </row>
    <row r="62" spans="1:29" s="112"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2408</v>
      </c>
      <c r="B63" s="484" t="s">
        <v>2374</v>
      </c>
      <c r="C63" s="485" t="str">
        <f>C9</f>
        <v>住宅</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3"/>
      <c r="O65" s="1063"/>
      <c r="P65" s="2105"/>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4"/>
      <c r="O66" s="1064"/>
      <c r="P66" s="2105"/>
      <c r="Q66" s="460"/>
    </row>
    <row r="67" spans="1:17" ht="15.75" thickTop="1">
      <c r="A67" s="490"/>
      <c r="B67" s="502" t="s">
        <v>2378</v>
      </c>
      <c r="C67" s="503" t="str">
        <f>C68&amp;"（含）"&amp;"-"&amp;D68</f>
        <v>0（含）-1</v>
      </c>
      <c r="D67" s="503" t="str">
        <f t="shared" ref="D67:L67" si="22">D68&amp;"（含）"&amp;"-"&amp;E68</f>
        <v>1（含）-1.5</v>
      </c>
      <c r="E67" s="503" t="str">
        <f t="shared" si="22"/>
        <v>1.5（含）-2</v>
      </c>
      <c r="F67" s="503" t="str">
        <f t="shared" si="22"/>
        <v>2（含）-2.5</v>
      </c>
      <c r="G67" s="503" t="str">
        <f t="shared" si="22"/>
        <v>2.5（含）-3</v>
      </c>
      <c r="H67" s="503" t="str">
        <f t="shared" si="22"/>
        <v>3（含）-</v>
      </c>
      <c r="I67" s="503" t="str">
        <f t="shared" si="22"/>
        <v>（含）-</v>
      </c>
      <c r="J67" s="503" t="str">
        <f t="shared" si="22"/>
        <v>（含）-</v>
      </c>
      <c r="K67" s="503" t="str">
        <f>K68&amp;"（含）"&amp;"-"&amp;L68</f>
        <v>（含）-</v>
      </c>
      <c r="L67" s="503" t="str">
        <f t="shared" si="22"/>
        <v>（含）-</v>
      </c>
      <c r="M67" s="406" t="str">
        <f>M68&amp;"（含）"&amp;"-"&amp;P68</f>
        <v>（含）-</v>
      </c>
      <c r="N67" s="1064"/>
      <c r="O67" s="1064"/>
      <c r="P67" s="2105"/>
      <c r="Q67" s="460"/>
    </row>
    <row r="68" spans="1:17" ht="15">
      <c r="A68" s="490"/>
      <c r="B68" s="504"/>
      <c r="C68" s="505">
        <v>0</v>
      </c>
      <c r="D68" s="505">
        <v>1</v>
      </c>
      <c r="E68" s="505">
        <v>1.5</v>
      </c>
      <c r="F68" s="505">
        <v>2</v>
      </c>
      <c r="G68" s="505">
        <v>2.5</v>
      </c>
      <c r="H68" s="505">
        <v>3</v>
      </c>
      <c r="I68" s="505"/>
      <c r="J68" s="505"/>
      <c r="K68" s="506"/>
      <c r="L68" s="507"/>
      <c r="M68" s="508"/>
      <c r="N68" s="1063"/>
      <c r="O68" s="1063"/>
      <c r="P68" s="2105"/>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4"/>
      <c r="O69" s="1064"/>
      <c r="P69" s="2105"/>
      <c r="Q69" s="460"/>
    </row>
    <row r="70" spans="1:17" s="429" customFormat="1" ht="15.75" thickTop="1">
      <c r="A70" s="509"/>
      <c r="B70" s="494" t="str">
        <f>B12</f>
        <v>是否为限价房</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3"/>
      <c r="O76" s="1063"/>
      <c r="P76" s="2109"/>
      <c r="Q76" s="460"/>
    </row>
    <row r="77" spans="1:17" ht="15.75" thickBot="1">
      <c r="A77" s="490"/>
      <c r="B77" s="499"/>
      <c r="C77" s="500">
        <v>100</v>
      </c>
      <c r="D77" s="500">
        <f>C77-$K15</f>
        <v>95</v>
      </c>
      <c r="E77" s="500">
        <f>D77-$K15</f>
        <v>90</v>
      </c>
      <c r="F77" s="500">
        <f>E77-$K15</f>
        <v>85</v>
      </c>
      <c r="G77" s="500">
        <f>F77-$K15</f>
        <v>80</v>
      </c>
      <c r="H77" s="500"/>
      <c r="I77" s="500"/>
      <c r="J77" s="500"/>
      <c r="K77" s="500"/>
      <c r="L77" s="500"/>
      <c r="M77" s="501"/>
      <c r="N77" s="1064"/>
      <c r="O77" s="1064"/>
      <c r="P77" s="2105"/>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3"/>
      <c r="O78" s="1063"/>
      <c r="P78" s="2105"/>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4"/>
      <c r="O79" s="1064"/>
      <c r="P79" s="2105"/>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3"/>
      <c r="O80" s="1063"/>
      <c r="P80" s="2105"/>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4"/>
      <c r="O81" s="1064"/>
      <c r="P81" s="2105"/>
      <c r="Q81" s="460"/>
    </row>
    <row r="82" spans="1:17" ht="15.75" thickTop="1">
      <c r="A82" s="490"/>
      <c r="B82" s="502" t="s">
        <v>1945</v>
      </c>
      <c r="C82" s="495" t="s">
        <v>2424</v>
      </c>
      <c r="D82" s="495" t="s">
        <v>2425</v>
      </c>
      <c r="E82" s="495" t="s">
        <v>2426</v>
      </c>
      <c r="F82" s="495" t="s">
        <v>2427</v>
      </c>
      <c r="G82" s="495" t="s">
        <v>2428</v>
      </c>
      <c r="H82" s="495"/>
      <c r="I82" s="495"/>
      <c r="J82" s="495"/>
      <c r="K82" s="495"/>
      <c r="L82" s="495"/>
      <c r="M82" s="1290"/>
      <c r="N82" s="1064"/>
      <c r="O82" s="1064"/>
      <c r="P82" s="2105"/>
      <c r="Q82" s="460"/>
    </row>
    <row r="83" spans="1:17" ht="15.75" thickBot="1">
      <c r="A83" s="490"/>
      <c r="B83" s="502"/>
      <c r="C83" s="615">
        <v>100</v>
      </c>
      <c r="D83" s="615">
        <f>C83-$K21</f>
        <v>98</v>
      </c>
      <c r="E83" s="615">
        <f t="shared" ref="E83:G83" si="24">D83-$K21</f>
        <v>96</v>
      </c>
      <c r="F83" s="615">
        <f t="shared" si="24"/>
        <v>94</v>
      </c>
      <c r="G83" s="615">
        <f t="shared" si="24"/>
        <v>92</v>
      </c>
      <c r="H83" s="615"/>
      <c r="I83" s="615"/>
      <c r="J83" s="615"/>
      <c r="K83" s="615"/>
      <c r="L83" s="615"/>
      <c r="M83" s="408"/>
      <c r="N83" s="1064"/>
      <c r="O83" s="1064"/>
      <c r="P83" s="2105"/>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3"/>
      <c r="O84" s="1063"/>
      <c r="P84" s="2105"/>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64"/>
      <c r="O85" s="1064"/>
      <c r="P85" s="2105"/>
      <c r="Q85" s="460"/>
    </row>
    <row r="86" spans="1:17" s="112" customFormat="1" ht="15.75" thickTop="1">
      <c r="A86" s="535"/>
      <c r="B86" s="494" t="s">
        <v>2430</v>
      </c>
      <c r="C86" s="510"/>
      <c r="D86" s="510"/>
      <c r="E86" s="510"/>
      <c r="F86" s="510"/>
      <c r="G86" s="510"/>
      <c r="H86" s="510"/>
      <c r="I86" s="510"/>
      <c r="J86" s="510"/>
      <c r="K86" s="510"/>
      <c r="L86" s="536"/>
      <c r="M86" s="537"/>
      <c r="N86" s="1062"/>
      <c r="O86" s="1062"/>
      <c r="P86" s="2105"/>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4"/>
      <c r="O87" s="1064"/>
      <c r="P87" s="2105"/>
      <c r="Q87" s="460"/>
    </row>
    <row r="88" spans="1:17" s="112" customFormat="1" ht="15.75" thickTop="1">
      <c r="A88" s="535"/>
      <c r="B88" s="494" t="s">
        <v>2431</v>
      </c>
      <c r="C88" s="510"/>
      <c r="D88" s="510"/>
      <c r="E88" s="510"/>
      <c r="F88" s="2110"/>
      <c r="G88" s="510"/>
      <c r="H88" s="510"/>
      <c r="I88" s="510"/>
      <c r="J88" s="510"/>
      <c r="K88" s="510"/>
      <c r="L88" s="510"/>
      <c r="M88" s="537"/>
      <c r="N88" s="1062"/>
      <c r="O88" s="1062"/>
      <c r="P88" s="2105"/>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2383</v>
      </c>
      <c r="B100" s="484" t="s">
        <v>2432</v>
      </c>
      <c r="C100" s="3141" t="s">
        <v>4444</v>
      </c>
      <c r="D100" s="3141" t="s">
        <v>4446</v>
      </c>
      <c r="E100" s="3141" t="s">
        <v>4441</v>
      </c>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7">C101-$K32</f>
        <v>90</v>
      </c>
      <c r="E101" s="500">
        <f t="shared" si="27"/>
        <v>80</v>
      </c>
      <c r="F101" s="500">
        <f t="shared" si="27"/>
        <v>70</v>
      </c>
      <c r="G101" s="500">
        <f t="shared" si="27"/>
        <v>60</v>
      </c>
      <c r="H101" s="500">
        <f t="shared" si="27"/>
        <v>50</v>
      </c>
      <c r="I101" s="500">
        <f t="shared" si="27"/>
        <v>40</v>
      </c>
      <c r="J101" s="500">
        <f t="shared" si="27"/>
        <v>30</v>
      </c>
      <c r="K101" s="500">
        <f t="shared" si="27"/>
        <v>20</v>
      </c>
      <c r="L101" s="500">
        <f t="shared" si="27"/>
        <v>10</v>
      </c>
      <c r="M101" s="500">
        <f t="shared" si="27"/>
        <v>0</v>
      </c>
      <c r="N101" s="1064"/>
      <c r="O101" s="1064"/>
      <c r="P101" s="2105"/>
      <c r="Q101" s="460"/>
    </row>
    <row r="102" spans="1:17" ht="29.25" thickTop="1">
      <c r="A102" s="490"/>
      <c r="B102" s="494" t="s">
        <v>2433</v>
      </c>
      <c r="C102" s="534" t="str">
        <f>C103&amp;"(含)"&amp;"-"&amp;D103</f>
        <v>0(含)-50000</v>
      </c>
      <c r="D102" s="534" t="str">
        <f t="shared" ref="D102:L102" si="28">D103&amp;"(含)"&amp;"-"&amp;E103</f>
        <v>50000(含)-100000</v>
      </c>
      <c r="E102" s="534" t="str">
        <f t="shared" si="28"/>
        <v>100000(含)-150000</v>
      </c>
      <c r="F102" s="534" t="str">
        <f t="shared" si="28"/>
        <v>150000(含)-200000</v>
      </c>
      <c r="G102" s="534" t="str">
        <f t="shared" si="28"/>
        <v>200000(含)-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2"/>
      <c r="O102" s="1062"/>
      <c r="P102" s="2105"/>
      <c r="Q102" s="460"/>
    </row>
    <row r="103" spans="1:17" s="429" customFormat="1">
      <c r="A103" s="549"/>
      <c r="B103" s="550"/>
      <c r="C103" s="551">
        <v>0</v>
      </c>
      <c r="D103" s="551">
        <v>50000</v>
      </c>
      <c r="E103" s="551">
        <v>100000</v>
      </c>
      <c r="F103" s="551">
        <v>150000</v>
      </c>
      <c r="G103" s="551">
        <v>200000</v>
      </c>
      <c r="H103" s="551"/>
      <c r="I103" s="551"/>
      <c r="J103" s="552"/>
      <c r="K103" s="552"/>
      <c r="L103" s="553"/>
      <c r="M103" s="554"/>
      <c r="N103" s="1065"/>
      <c r="O103" s="1065"/>
      <c r="P103" s="2106"/>
      <c r="Q103" s="515"/>
    </row>
    <row r="104" spans="1:17" s="429" customFormat="1" ht="15.75" thickBot="1">
      <c r="A104" s="509"/>
      <c r="B104" s="499"/>
      <c r="C104" s="516">
        <v>100</v>
      </c>
      <c r="D104" s="492">
        <v>102</v>
      </c>
      <c r="E104" s="492">
        <v>104</v>
      </c>
      <c r="F104" s="492">
        <v>106</v>
      </c>
      <c r="G104" s="492">
        <v>108</v>
      </c>
      <c r="H104" s="492"/>
      <c r="I104" s="492"/>
      <c r="J104" s="492"/>
      <c r="K104" s="492"/>
      <c r="L104" s="492"/>
      <c r="M104" s="492"/>
      <c r="N104" s="1064"/>
      <c r="O104" s="1064"/>
      <c r="P104" s="2106"/>
      <c r="Q104" s="515"/>
    </row>
    <row r="105" spans="1:17" ht="15" thickTop="1">
      <c r="A105" s="555"/>
      <c r="B105" s="494" t="s">
        <v>2434</v>
      </c>
      <c r="C105" s="3140" t="s">
        <v>4424</v>
      </c>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9">C106-$K34</f>
        <v>98</v>
      </c>
      <c r="E106" s="500">
        <f t="shared" si="29"/>
        <v>96</v>
      </c>
      <c r="F106" s="500">
        <f t="shared" si="29"/>
        <v>94</v>
      </c>
      <c r="G106" s="500">
        <f t="shared" si="29"/>
        <v>92</v>
      </c>
      <c r="H106" s="500">
        <f t="shared" si="29"/>
        <v>90</v>
      </c>
      <c r="I106" s="500">
        <f t="shared" si="29"/>
        <v>88</v>
      </c>
      <c r="J106" s="500">
        <f t="shared" si="29"/>
        <v>86</v>
      </c>
      <c r="K106" s="500">
        <f t="shared" si="29"/>
        <v>84</v>
      </c>
      <c r="L106" s="500">
        <f t="shared" si="29"/>
        <v>82</v>
      </c>
      <c r="M106" s="500">
        <f t="shared" si="29"/>
        <v>80</v>
      </c>
      <c r="N106" s="1064"/>
      <c r="O106" s="1064"/>
      <c r="P106" s="2105"/>
      <c r="Q106" s="460"/>
    </row>
    <row r="107" spans="1:17" ht="15" thickTop="1">
      <c r="A107" s="555"/>
      <c r="B107" s="494" t="s">
        <v>2435</v>
      </c>
      <c r="C107" s="3139" t="s">
        <v>4426</v>
      </c>
      <c r="D107" s="3139" t="s">
        <v>4427</v>
      </c>
      <c r="E107" s="3139" t="s">
        <v>4428</v>
      </c>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30">C108-$K35</f>
        <v>98</v>
      </c>
      <c r="E108" s="500">
        <f t="shared" si="30"/>
        <v>96</v>
      </c>
      <c r="F108" s="500">
        <f t="shared" si="30"/>
        <v>94</v>
      </c>
      <c r="G108" s="500">
        <f t="shared" si="30"/>
        <v>92</v>
      </c>
      <c r="H108" s="500">
        <f t="shared" si="30"/>
        <v>90</v>
      </c>
      <c r="I108" s="500">
        <f t="shared" si="30"/>
        <v>88</v>
      </c>
      <c r="J108" s="500">
        <f t="shared" si="30"/>
        <v>86</v>
      </c>
      <c r="K108" s="500">
        <f t="shared" si="30"/>
        <v>84</v>
      </c>
      <c r="L108" s="500">
        <f t="shared" si="30"/>
        <v>82</v>
      </c>
      <c r="M108" s="500">
        <f t="shared" si="30"/>
        <v>80</v>
      </c>
      <c r="N108" s="1064"/>
      <c r="O108" s="1064"/>
      <c r="P108" s="2105"/>
      <c r="Q108" s="460"/>
    </row>
    <row r="109" spans="1:17" ht="15" thickTop="1">
      <c r="A109" s="555"/>
      <c r="B109" s="494" t="s">
        <v>2436</v>
      </c>
      <c r="C109" s="3140" t="s">
        <v>4400</v>
      </c>
      <c r="D109" s="3140" t="s">
        <v>4401</v>
      </c>
      <c r="E109" s="3139" t="s">
        <v>4402</v>
      </c>
      <c r="F109" s="3139" t="s">
        <v>4404</v>
      </c>
      <c r="G109" s="539"/>
      <c r="H109" s="539"/>
      <c r="I109" s="539"/>
      <c r="J109" s="539"/>
      <c r="K109" s="540"/>
      <c r="L109" s="541"/>
      <c r="M109" s="542"/>
      <c r="N109" s="1063"/>
      <c r="O109" s="1063"/>
      <c r="P109" s="2105"/>
      <c r="Q109" s="460"/>
    </row>
    <row r="110" spans="1:17" ht="15.75" thickBot="1">
      <c r="A110" s="490"/>
      <c r="B110" s="499"/>
      <c r="C110" s="500">
        <v>100</v>
      </c>
      <c r="D110" s="500">
        <f t="shared" ref="D110:M110" si="31">C110-$K36</f>
        <v>100</v>
      </c>
      <c r="E110" s="500">
        <f t="shared" si="31"/>
        <v>100</v>
      </c>
      <c r="F110" s="500">
        <f t="shared" si="31"/>
        <v>100</v>
      </c>
      <c r="G110" s="500">
        <f t="shared" si="31"/>
        <v>100</v>
      </c>
      <c r="H110" s="500">
        <f t="shared" si="31"/>
        <v>100</v>
      </c>
      <c r="I110" s="500">
        <f t="shared" si="31"/>
        <v>100</v>
      </c>
      <c r="J110" s="500">
        <f t="shared" si="31"/>
        <v>100</v>
      </c>
      <c r="K110" s="500">
        <f t="shared" si="31"/>
        <v>100</v>
      </c>
      <c r="L110" s="500">
        <f t="shared" si="31"/>
        <v>100</v>
      </c>
      <c r="M110" s="500">
        <f t="shared" si="31"/>
        <v>100</v>
      </c>
      <c r="N110" s="1064"/>
      <c r="O110" s="1064"/>
      <c r="P110" s="2105"/>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106"/>
      <c r="Q113" s="515"/>
    </row>
    <row r="114" spans="1:17" ht="15" thickTop="1">
      <c r="A114" s="555"/>
      <c r="B114" s="494" t="s">
        <v>2437</v>
      </c>
      <c r="C114" s="3140" t="s">
        <v>4429</v>
      </c>
      <c r="D114" s="3140" t="s">
        <v>4383</v>
      </c>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2">C115-$K38</f>
        <v>98</v>
      </c>
      <c r="E115" s="500">
        <f t="shared" si="32"/>
        <v>96</v>
      </c>
      <c r="F115" s="500">
        <f t="shared" si="32"/>
        <v>94</v>
      </c>
      <c r="G115" s="500">
        <f t="shared" si="32"/>
        <v>92</v>
      </c>
      <c r="H115" s="500">
        <f t="shared" si="32"/>
        <v>90</v>
      </c>
      <c r="I115" s="500">
        <f t="shared" si="32"/>
        <v>88</v>
      </c>
      <c r="J115" s="500">
        <f t="shared" si="32"/>
        <v>86</v>
      </c>
      <c r="K115" s="500">
        <f t="shared" si="32"/>
        <v>84</v>
      </c>
      <c r="L115" s="500">
        <f t="shared" si="32"/>
        <v>82</v>
      </c>
      <c r="M115" s="500">
        <f t="shared" si="32"/>
        <v>80</v>
      </c>
      <c r="N115" s="1064"/>
      <c r="O115" s="1064"/>
      <c r="P115" s="2105"/>
      <c r="Q115" s="460"/>
    </row>
    <row r="116" spans="1:17" ht="15" thickTop="1">
      <c r="A116" s="555"/>
      <c r="B116" s="494" t="s">
        <v>2438</v>
      </c>
      <c r="C116" s="510"/>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5"/>
      <c r="Q117" s="460"/>
    </row>
    <row r="118" spans="1:17" ht="15" thickTop="1">
      <c r="A118" s="555"/>
      <c r="B118" s="494" t="s">
        <v>2439</v>
      </c>
      <c r="C118" s="539"/>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4"/>
      <c r="O119" s="1064"/>
      <c r="P119" s="2105"/>
      <c r="Q119" s="460"/>
    </row>
    <row r="120" spans="1:17" s="429" customFormat="1" ht="28.5" thickTop="1">
      <c r="A120" s="549"/>
      <c r="B120" s="494" t="s">
        <v>2394</v>
      </c>
      <c r="C120" s="510"/>
      <c r="D120" s="510"/>
      <c r="E120" s="510"/>
      <c r="F120" s="510"/>
      <c r="G120" s="510"/>
      <c r="H120" s="510"/>
      <c r="I120" s="510"/>
      <c r="J120" s="510"/>
      <c r="K120" s="510"/>
      <c r="L120" s="536"/>
      <c r="M120" s="537"/>
      <c r="N120" s="1065"/>
      <c r="O120" s="1065"/>
      <c r="P120" s="210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6"/>
      <c r="Q121" s="515"/>
    </row>
    <row r="122" spans="1:17" ht="15" thickTop="1">
      <c r="A122" s="555"/>
      <c r="B122" s="494" t="s">
        <v>2440</v>
      </c>
      <c r="C122" s="3140" t="s">
        <v>4400</v>
      </c>
      <c r="D122" s="3140" t="s">
        <v>4401</v>
      </c>
      <c r="E122" s="3139" t="s">
        <v>4402</v>
      </c>
      <c r="F122" s="3139" t="s">
        <v>4404</v>
      </c>
      <c r="G122" s="539"/>
      <c r="H122" s="539"/>
      <c r="I122" s="539"/>
      <c r="J122" s="539"/>
      <c r="K122" s="540"/>
      <c r="L122" s="541"/>
      <c r="M122" s="542"/>
      <c r="N122" s="1063"/>
      <c r="O122" s="1063"/>
      <c r="P122" s="2105"/>
      <c r="Q122" s="460"/>
    </row>
    <row r="123" spans="1:17" ht="15.75" thickBot="1">
      <c r="A123" s="490"/>
      <c r="B123" s="499"/>
      <c r="C123" s="500">
        <v>100</v>
      </c>
      <c r="D123" s="500">
        <f t="shared" ref="D123:M123" si="34">C123-$K42</f>
        <v>97</v>
      </c>
      <c r="E123" s="500">
        <f t="shared" si="34"/>
        <v>94</v>
      </c>
      <c r="F123" s="500">
        <f t="shared" si="34"/>
        <v>91</v>
      </c>
      <c r="G123" s="500">
        <f t="shared" si="34"/>
        <v>88</v>
      </c>
      <c r="H123" s="500">
        <f t="shared" si="34"/>
        <v>85</v>
      </c>
      <c r="I123" s="500">
        <f t="shared" si="34"/>
        <v>82</v>
      </c>
      <c r="J123" s="500">
        <f t="shared" si="34"/>
        <v>79</v>
      </c>
      <c r="K123" s="500">
        <f t="shared" si="34"/>
        <v>76</v>
      </c>
      <c r="L123" s="500">
        <f t="shared" si="34"/>
        <v>73</v>
      </c>
      <c r="M123" s="500">
        <f t="shared" si="34"/>
        <v>70</v>
      </c>
      <c r="N123" s="1064"/>
      <c r="O123" s="1064"/>
      <c r="P123" s="2105"/>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3"/>
      <c r="O124" s="1063"/>
      <c r="P124" s="210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1" t="s">
        <v>2445</v>
      </c>
      <c r="D138" s="141" t="s">
        <v>2446</v>
      </c>
      <c r="E138" s="2120" t="s">
        <v>2447</v>
      </c>
      <c r="F138" s="2121" t="s">
        <v>2448</v>
      </c>
      <c r="G138" s="141" t="s">
        <v>2446</v>
      </c>
      <c r="H138" s="142" t="s">
        <v>2447</v>
      </c>
      <c r="I138" s="2122"/>
      <c r="J138" s="141" t="s">
        <v>2449</v>
      </c>
      <c r="K138" s="142"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6">
        <f>ROUNDUP((J139-1)/2,0)</f>
        <v>10</v>
      </c>
      <c r="K140" s="1008">
        <v>100</v>
      </c>
    </row>
    <row r="141" spans="1:17" ht="15">
      <c r="B141" s="1003">
        <v>4</v>
      </c>
      <c r="C141" s="1004">
        <v>102</v>
      </c>
      <c r="D141" s="1004"/>
      <c r="E141" s="1005"/>
      <c r="F141" s="1006">
        <v>101.5</v>
      </c>
      <c r="G141" s="1004"/>
      <c r="H141" s="1007"/>
      <c r="I141" s="2125" t="s">
        <v>2454</v>
      </c>
      <c r="J141" s="276">
        <v>1</v>
      </c>
      <c r="K141" s="1009">
        <f>ROUND(100+(J141-J140)*K139*100,1)</f>
        <v>96.4</v>
      </c>
    </row>
    <row r="142" spans="1:17" ht="15">
      <c r="B142" s="1003">
        <v>3</v>
      </c>
      <c r="C142" s="1004">
        <v>103</v>
      </c>
      <c r="D142" s="1004"/>
      <c r="E142" s="1005"/>
      <c r="F142" s="1006">
        <v>101</v>
      </c>
      <c r="G142" s="1004"/>
      <c r="H142" s="1007"/>
      <c r="I142" s="2125" t="s">
        <v>2455</v>
      </c>
      <c r="J142" s="276">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8" stopIfTrue="1" operator="containsText" text="超过">
      <formula>NOT(ISERROR(SEARCH("超过",F52)))</formula>
    </cfRule>
  </conditionalFormatting>
  <conditionalFormatting sqref="J54">
    <cfRule type="containsText" dxfId="156" priority="17" stopIfTrue="1" operator="containsText" text="超过">
      <formula>NOT(ISERROR(SEARCH("超过",J54)))</formula>
    </cfRule>
  </conditionalFormatting>
  <conditionalFormatting sqref="H54">
    <cfRule type="containsText" dxfId="155" priority="16" stopIfTrue="1" operator="containsText" text="超过">
      <formula>NOT(ISERROR(SEARCH("超过",H54)))</formula>
    </cfRule>
  </conditionalFormatting>
  <conditionalFormatting sqref="F54">
    <cfRule type="containsText" dxfId="154" priority="15" stopIfTrue="1" operator="containsText" text="超过">
      <formula>NOT(ISERROR(SEARCH("超过",F54)))</formula>
    </cfRule>
  </conditionalFormatting>
  <conditionalFormatting sqref="F53 H53 J53">
    <cfRule type="containsText" dxfId="153" priority="14" stopIfTrue="1" operator="containsText" text="超过">
      <formula>NOT(ISERROR(SEARCH("超过",F53)))</formula>
    </cfRule>
  </conditionalFormatting>
  <conditionalFormatting sqref="E52">
    <cfRule type="expression" dxfId="152" priority="13"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D48" xr:uid="{00000000-0002-0000-1F00-000000000000}">
      <formula1>"简单平均,加权平均"</formula1>
    </dataValidation>
    <dataValidation type="list" allowBlank="1" showInputMessage="1" showErrorMessage="1" sqref="F2" xr:uid="{00000000-0002-0000-1F00-000001000000}">
      <formula1>估价方法</formula1>
    </dataValidation>
    <dataValidation type="list" allowBlank="1" showInputMessage="1" showErrorMessage="1" sqref="C2" xr:uid="{00000000-0002-0000-1F00-000002000000}">
      <formula1>"需扣减承租人权益,——"</formula1>
    </dataValidation>
    <dataValidation type="list" allowBlank="1" showInputMessage="1" showErrorMessage="1" sqref="F1" xr:uid="{00000000-0002-0000-1F00-000003000000}">
      <formula1>"售价,租金"</formula1>
    </dataValidation>
    <dataValidation type="list" allowBlank="1" showInputMessage="1" showErrorMessage="1" sqref="C22 E22 G22 I22" xr:uid="{00000000-0002-0000-1F00-000004000000}">
      <formula1>基础设施水平</formula1>
    </dataValidation>
    <dataValidation type="list" allowBlank="1" showInputMessage="1" showErrorMessage="1" sqref="E9 G9 I9" xr:uid="{00000000-0002-0000-1F00-000005000000}">
      <formula1>住宅用途</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D1" xr:uid="{00000000-0002-0000-1F00-000007000000}">
      <formula1>项目类型</formula1>
    </dataValidation>
    <dataValidation type="list" allowBlank="1" showInputMessage="1" showErrorMessage="1" sqref="E8 G8 I8 C8" xr:uid="{00000000-0002-0000-1F00-000008000000}">
      <formula1>住宅交易情况</formula1>
    </dataValidation>
    <dataValidation type="list" allowBlank="1" showInputMessage="1" showErrorMessage="1" sqref="E43 G43 I43 C43" xr:uid="{00000000-0002-0000-1F00-000009000000}">
      <formula1>内部装修维护情况</formula1>
    </dataValidation>
    <dataValidation type="list" allowBlank="1" showInputMessage="1" showErrorMessage="1" sqref="E42 G42 I42 C42" xr:uid="{00000000-0002-0000-1F00-00000A000000}">
      <formula1>住宅内部装修</formula1>
    </dataValidation>
    <dataValidation type="list" allowBlank="1" showInputMessage="1" showErrorMessage="1" sqref="E40 G40 I40 C40" xr:uid="{00000000-0002-0000-1F00-00000B000000}">
      <formula1>住宅房型</formula1>
    </dataValidation>
    <dataValidation type="list" allowBlank="1" showInputMessage="1" showErrorMessage="1" sqref="E39 G39 I39 C39" xr:uid="{00000000-0002-0000-1F00-00000C000000}">
      <formula1>住宅基础设施水平</formula1>
    </dataValidation>
    <dataValidation type="list" allowBlank="1" showInputMessage="1" showErrorMessage="1" sqref="E38 G38 I38 C38" xr:uid="{00000000-0002-0000-1F00-00000D000000}">
      <formula1>住宅物业管理</formula1>
    </dataValidation>
    <dataValidation type="list" allowBlank="1" showInputMessage="1" showErrorMessage="1" sqref="E36 G36 I36 C36" xr:uid="{00000000-0002-0000-1F00-00000E000000}">
      <formula1>住宅公共部分装修</formula1>
    </dataValidation>
    <dataValidation type="list" allowBlank="1" showInputMessage="1" showErrorMessage="1" sqref="E35 G35 I35 C35" xr:uid="{00000000-0002-0000-1F00-00000F000000}">
      <formula1>住宅建筑品质</formula1>
    </dataValidation>
    <dataValidation type="list" allowBlank="1" showInputMessage="1" showErrorMessage="1" sqref="E34 G34 I34 C34" xr:uid="{00000000-0002-0000-1F00-000010000000}">
      <formula1>住宅建筑结构</formula1>
    </dataValidation>
    <dataValidation type="list" allowBlank="1" showInputMessage="1" showErrorMessage="1" sqref="E32 G32 I32 C32" xr:uid="{00000000-0002-0000-1F00-000011000000}">
      <formula1>住宅建筑类型</formula1>
    </dataValidation>
    <dataValidation type="list" allowBlank="1" showInputMessage="1" showErrorMessage="1" sqref="E26 G26 I26 C26" xr:uid="{00000000-0002-0000-1F00-000012000000}">
      <formula1>住宅朝向</formula1>
    </dataValidation>
    <dataValidation type="list" allowBlank="1" showInputMessage="1" showErrorMessage="1" sqref="E25 G25 I25 C25" xr:uid="{00000000-0002-0000-1F00-000013000000}">
      <formula1>住宅楼层</formula1>
    </dataValidation>
    <dataValidation type="list" allowBlank="1" showInputMessage="1" showErrorMessage="1" sqref="C20 G20 E20 I20" xr:uid="{00000000-0002-0000-1F00-000014000000}">
      <formula1>公共配套设施</formula1>
    </dataValidation>
    <dataValidation type="list" allowBlank="1" showInputMessage="1" showErrorMessage="1" sqref="E18 G18 I18 C18" xr:uid="{00000000-0002-0000-1F00-000015000000}">
      <formula1>交通便捷度</formula1>
    </dataValidation>
    <dataValidation type="list" allowBlank="1" showInputMessage="1" showErrorMessage="1" sqref="E16 G16 I16 C16" xr:uid="{00000000-0002-0000-1F00-000016000000}">
      <formula1>居住社区成熟度</formula1>
    </dataValidation>
    <dataValidation type="list" allowBlank="1" showInputMessage="1" showErrorMessage="1" sqref="E24 G24 I24 C24" xr:uid="{00000000-0002-0000-1F00-000017000000}">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0"/>
  <sheetViews>
    <sheetView workbookViewId="0">
      <selection activeCell="A39" sqref="A39"/>
    </sheetView>
  </sheetViews>
  <sheetFormatPr defaultRowHeight="13.5"/>
  <cols>
    <col min="4" max="4" width="13.5" customWidth="1"/>
    <col min="8" max="8" width="10.25" style="3126" bestFit="1" customWidth="1"/>
    <col min="11" max="11" width="11.5" customWidth="1"/>
    <col min="12" max="12" width="12.25" customWidth="1"/>
  </cols>
  <sheetData>
    <row r="1" spans="1:13">
      <c r="A1" s="3160"/>
      <c r="B1" s="3161" t="s">
        <v>557</v>
      </c>
      <c r="C1" s="3161" t="s">
        <v>4407</v>
      </c>
      <c r="D1" s="3162" t="s">
        <v>4408</v>
      </c>
      <c r="E1" s="3161"/>
      <c r="F1" s="3161" t="s">
        <v>4431</v>
      </c>
      <c r="G1" s="3161" t="s">
        <v>4432</v>
      </c>
      <c r="H1" s="3168" t="s">
        <v>4409</v>
      </c>
      <c r="I1" s="3161"/>
      <c r="J1" s="3161"/>
      <c r="K1" s="3161" t="s">
        <v>4410</v>
      </c>
      <c r="L1" s="3161" t="s">
        <v>4411</v>
      </c>
      <c r="M1" s="3161" t="s">
        <v>4412</v>
      </c>
    </row>
    <row r="2" spans="1:13">
      <c r="A2" s="3160" t="s">
        <v>4413</v>
      </c>
      <c r="B2" s="3161" t="s">
        <v>751</v>
      </c>
      <c r="C2" s="3161">
        <v>46797</v>
      </c>
      <c r="D2" s="3162">
        <v>44197</v>
      </c>
      <c r="E2" s="3161" t="s">
        <v>4414</v>
      </c>
      <c r="F2" s="3170">
        <v>53172</v>
      </c>
      <c r="G2" s="3161">
        <v>46576</v>
      </c>
      <c r="H2" s="3166">
        <v>44409</v>
      </c>
      <c r="I2" s="3161"/>
      <c r="J2" s="3161"/>
      <c r="K2" s="3161">
        <v>41193.360000000001</v>
      </c>
      <c r="L2" s="3163">
        <v>43038</v>
      </c>
      <c r="M2" s="3161">
        <v>55583</v>
      </c>
    </row>
    <row r="3" spans="1:13">
      <c r="A3" s="3160"/>
      <c r="B3" s="3161" t="s">
        <v>605</v>
      </c>
      <c r="C3" s="3161">
        <f>车库案例!C15</f>
        <v>35.590000000000003</v>
      </c>
      <c r="D3" s="3162">
        <v>44166</v>
      </c>
      <c r="E3" s="3161"/>
      <c r="F3" s="3161"/>
      <c r="G3" s="3161"/>
      <c r="H3" s="3168"/>
      <c r="I3" s="3161"/>
      <c r="J3" s="3161"/>
      <c r="K3" s="3161"/>
      <c r="L3" s="3161"/>
      <c r="M3" s="3161"/>
    </row>
    <row r="4" spans="1:13">
      <c r="A4" s="3160"/>
      <c r="B4" s="3161"/>
      <c r="C4" s="3161"/>
      <c r="D4" s="3162"/>
      <c r="E4" s="3161"/>
      <c r="F4" s="3161"/>
      <c r="G4" s="3161"/>
      <c r="H4" s="3168"/>
      <c r="I4" s="3161"/>
      <c r="J4" s="3161"/>
      <c r="K4" s="3161"/>
      <c r="L4" s="3161"/>
      <c r="M4" s="3161"/>
    </row>
    <row r="5" spans="1:13" ht="16.5">
      <c r="A5" s="3164" t="s">
        <v>4415</v>
      </c>
      <c r="B5" s="3161" t="s">
        <v>751</v>
      </c>
      <c r="C5" s="3161">
        <v>50836</v>
      </c>
      <c r="D5" s="3162">
        <v>44197</v>
      </c>
      <c r="E5" s="3161" t="s">
        <v>4414</v>
      </c>
      <c r="F5" s="3169">
        <v>54796</v>
      </c>
      <c r="G5" s="3161">
        <v>53903</v>
      </c>
      <c r="H5" s="3166">
        <f>H2</f>
        <v>44409</v>
      </c>
      <c r="I5" s="3161"/>
      <c r="J5" s="3161"/>
      <c r="K5" s="3161">
        <v>33847.31</v>
      </c>
      <c r="L5" s="3163">
        <v>43430</v>
      </c>
      <c r="M5" s="3161">
        <v>55711</v>
      </c>
    </row>
    <row r="6" spans="1:13">
      <c r="A6" s="3160"/>
      <c r="B6" s="3161" t="s">
        <v>605</v>
      </c>
      <c r="C6" s="3161">
        <f>车库案例!C12</f>
        <v>33.54</v>
      </c>
      <c r="D6" s="3162">
        <v>44197</v>
      </c>
      <c r="E6" s="3161"/>
      <c r="F6" s="3161"/>
      <c r="G6" s="3161"/>
      <c r="H6" s="3168"/>
      <c r="I6" s="3161"/>
      <c r="J6" s="3161"/>
      <c r="K6" s="3161"/>
      <c r="L6" s="3161"/>
      <c r="M6" s="3161"/>
    </row>
    <row r="7" spans="1:13">
      <c r="A7" s="3160"/>
      <c r="B7" s="3161"/>
      <c r="C7" s="3161"/>
      <c r="D7" s="3162"/>
      <c r="E7" s="3161"/>
      <c r="F7" s="3161"/>
      <c r="G7" s="3161"/>
      <c r="H7" s="3168"/>
      <c r="I7" s="3161"/>
      <c r="J7" s="3161"/>
      <c r="K7" s="3161"/>
      <c r="L7" s="3161"/>
      <c r="M7" s="3161"/>
    </row>
    <row r="8" spans="1:13">
      <c r="A8" s="3165" t="s">
        <v>4416</v>
      </c>
      <c r="B8" s="3161" t="s">
        <v>751</v>
      </c>
      <c r="C8" s="3161">
        <v>49421</v>
      </c>
      <c r="D8" s="3162">
        <v>44197</v>
      </c>
      <c r="E8" s="3161" t="s">
        <v>4417</v>
      </c>
      <c r="F8" s="3161">
        <v>49770</v>
      </c>
      <c r="G8" s="3161">
        <v>49480</v>
      </c>
      <c r="H8" s="3166">
        <f>H2</f>
        <v>44409</v>
      </c>
      <c r="I8" s="3161"/>
      <c r="J8" s="3161"/>
      <c r="K8" s="3161">
        <v>31390.41</v>
      </c>
      <c r="L8" s="3163">
        <v>43445</v>
      </c>
      <c r="M8" s="3161">
        <v>55711</v>
      </c>
    </row>
    <row r="9" spans="1:13">
      <c r="A9" s="3160"/>
      <c r="B9" s="3161" t="s">
        <v>605</v>
      </c>
      <c r="C9" s="3161">
        <v>35</v>
      </c>
      <c r="D9" s="3162">
        <v>44197</v>
      </c>
      <c r="E9" s="3161"/>
      <c r="F9" s="3161"/>
      <c r="G9" s="3161"/>
      <c r="H9" s="3168"/>
      <c r="I9" s="3161"/>
      <c r="J9" s="3161"/>
      <c r="K9" s="3161"/>
      <c r="L9" s="3161"/>
      <c r="M9" s="3161"/>
    </row>
    <row r="10" spans="1:13">
      <c r="A10" s="3160"/>
      <c r="B10" s="3161"/>
      <c r="C10" s="3161"/>
      <c r="D10" s="3162"/>
      <c r="E10" s="3161"/>
      <c r="F10" s="3161"/>
      <c r="G10" s="3161"/>
      <c r="H10" s="3168"/>
      <c r="I10" s="3161"/>
      <c r="J10" s="3161"/>
      <c r="K10" s="3161"/>
      <c r="L10" s="3161"/>
      <c r="M10" s="3161"/>
    </row>
    <row r="11" spans="1:13" ht="24">
      <c r="A11" s="3165" t="s">
        <v>4418</v>
      </c>
      <c r="B11" s="3161" t="s">
        <v>751</v>
      </c>
      <c r="C11" s="3161">
        <v>50050</v>
      </c>
      <c r="D11" s="3162">
        <v>44197</v>
      </c>
      <c r="E11" s="3161" t="s">
        <v>4419</v>
      </c>
      <c r="F11" s="3169">
        <v>53998</v>
      </c>
      <c r="G11" s="3161">
        <v>52482</v>
      </c>
      <c r="H11" s="3166">
        <f>H2</f>
        <v>44409</v>
      </c>
      <c r="I11" s="3161"/>
      <c r="J11" s="3161"/>
      <c r="K11" s="3161">
        <v>39720.129999999997</v>
      </c>
      <c r="L11" s="3163">
        <v>43285</v>
      </c>
      <c r="M11" s="3161">
        <v>55583</v>
      </c>
    </row>
    <row r="12" spans="1:13">
      <c r="A12" s="3160"/>
      <c r="B12" s="3161" t="s">
        <v>605</v>
      </c>
      <c r="C12" s="3161">
        <f>车库案例!C6</f>
        <v>39.9</v>
      </c>
      <c r="D12" s="3162">
        <v>44136</v>
      </c>
      <c r="E12" s="3161"/>
      <c r="F12" s="3161"/>
      <c r="G12" s="3161"/>
      <c r="H12" s="3168"/>
      <c r="I12" s="3161"/>
      <c r="J12" s="3161"/>
      <c r="K12" s="3161"/>
      <c r="L12" s="3161"/>
      <c r="M12" s="3161"/>
    </row>
    <row r="13" spans="1:13">
      <c r="A13" s="3160"/>
      <c r="B13" s="3161"/>
      <c r="C13" s="3161"/>
      <c r="D13" s="3162"/>
      <c r="E13" s="3161"/>
      <c r="F13" s="3161"/>
      <c r="G13" s="3161"/>
      <c r="H13" s="3168"/>
      <c r="I13" s="3161"/>
      <c r="J13" s="3161"/>
      <c r="K13" s="3161"/>
      <c r="L13" s="3161"/>
      <c r="M13" s="3161"/>
    </row>
    <row r="14" spans="1:13" ht="24">
      <c r="A14" s="3165" t="s">
        <v>4433</v>
      </c>
      <c r="B14" s="3161" t="s">
        <v>751</v>
      </c>
      <c r="C14" s="3161">
        <v>44997</v>
      </c>
      <c r="D14" s="3162">
        <v>44166</v>
      </c>
      <c r="E14" s="3161"/>
      <c r="F14" s="3161">
        <v>43887</v>
      </c>
      <c r="G14" s="3161">
        <v>47486</v>
      </c>
      <c r="H14" s="3166">
        <f>H2</f>
        <v>44409</v>
      </c>
      <c r="I14" s="3161"/>
      <c r="J14" s="3161"/>
      <c r="K14" s="3161">
        <v>28212.240000000002</v>
      </c>
      <c r="L14" s="3163">
        <v>43643</v>
      </c>
      <c r="M14" s="3161">
        <v>48641</v>
      </c>
    </row>
    <row r="15" spans="1:13">
      <c r="A15" s="3160"/>
      <c r="B15" s="3161" t="s">
        <v>605</v>
      </c>
      <c r="C15" s="3161" t="s">
        <v>1</v>
      </c>
      <c r="D15" s="3162" t="s">
        <v>1</v>
      </c>
      <c r="E15" s="3161"/>
      <c r="F15" s="3161"/>
      <c r="G15" s="3161"/>
      <c r="H15" s="3168"/>
      <c r="I15" s="3161"/>
      <c r="J15" s="3161"/>
      <c r="K15" s="3161"/>
      <c r="L15" s="3161"/>
      <c r="M15" s="3161"/>
    </row>
    <row r="16" spans="1:13">
      <c r="A16" s="3160"/>
      <c r="B16" s="3161"/>
      <c r="C16" s="3161"/>
      <c r="D16" s="3162"/>
      <c r="E16" s="3161"/>
      <c r="F16" s="3161"/>
      <c r="G16" s="3161"/>
      <c r="H16" s="3168"/>
      <c r="I16" s="3161"/>
      <c r="J16" s="3161"/>
      <c r="K16" s="3161"/>
      <c r="L16" s="3161"/>
      <c r="M16" s="3161"/>
    </row>
    <row r="17" spans="1:13" ht="24">
      <c r="A17" s="3165" t="s">
        <v>4434</v>
      </c>
      <c r="B17" s="3161" t="s">
        <v>751</v>
      </c>
      <c r="C17" s="3161">
        <v>43240</v>
      </c>
      <c r="D17" s="3162">
        <v>44197</v>
      </c>
      <c r="E17" s="3161"/>
      <c r="F17" s="3170">
        <v>45226</v>
      </c>
      <c r="G17" s="3170">
        <v>44702</v>
      </c>
      <c r="H17" s="3166">
        <f>H5</f>
        <v>44409</v>
      </c>
      <c r="I17" s="3161"/>
      <c r="J17" s="3161"/>
      <c r="K17" s="3161">
        <v>12678.14</v>
      </c>
      <c r="L17" s="3163">
        <v>42324</v>
      </c>
      <c r="M17" s="3161" t="s">
        <v>1</v>
      </c>
    </row>
    <row r="18" spans="1:13">
      <c r="A18" s="3160"/>
      <c r="B18" s="3161" t="s">
        <v>605</v>
      </c>
      <c r="C18" s="3161" t="s">
        <v>1</v>
      </c>
      <c r="D18" s="3162" t="s">
        <v>1</v>
      </c>
      <c r="E18" s="3161"/>
      <c r="F18" s="3161"/>
      <c r="G18" s="3161"/>
      <c r="H18" s="3168"/>
      <c r="I18" s="3161"/>
      <c r="J18" s="3161"/>
      <c r="K18" s="3161"/>
      <c r="L18" s="3161"/>
      <c r="M18" s="3161"/>
    </row>
    <row r="19" spans="1:13">
      <c r="A19" s="3160"/>
      <c r="B19" s="3161"/>
      <c r="C19" s="3161"/>
      <c r="D19" s="3162"/>
      <c r="E19" s="3161"/>
      <c r="F19" s="3161"/>
      <c r="G19" s="3161"/>
      <c r="H19" s="3168"/>
      <c r="I19" s="3161"/>
      <c r="J19" s="3161"/>
      <c r="K19" s="3161"/>
      <c r="L19" s="3161"/>
      <c r="M19" s="3161"/>
    </row>
    <row r="20" spans="1:13">
      <c r="A20" s="3165" t="s">
        <v>4435</v>
      </c>
      <c r="B20" s="3161" t="s">
        <v>751</v>
      </c>
      <c r="C20" s="3161">
        <v>50328</v>
      </c>
      <c r="D20" s="3162">
        <v>44166</v>
      </c>
      <c r="E20" s="3161"/>
      <c r="F20" s="3161">
        <v>54803</v>
      </c>
      <c r="G20" s="3161">
        <v>51736</v>
      </c>
      <c r="H20" s="3166">
        <f>H8</f>
        <v>44409</v>
      </c>
      <c r="I20" s="3161"/>
      <c r="J20" s="3161"/>
      <c r="K20" s="3161">
        <v>61347.839999999997</v>
      </c>
      <c r="L20" s="3163">
        <v>43104</v>
      </c>
      <c r="M20" s="3161">
        <v>38924</v>
      </c>
    </row>
    <row r="21" spans="1:13">
      <c r="A21" s="3160"/>
      <c r="B21" s="3161" t="s">
        <v>605</v>
      </c>
      <c r="C21" s="3161">
        <v>43</v>
      </c>
      <c r="D21" s="3162">
        <v>44197</v>
      </c>
      <c r="E21" s="3161"/>
      <c r="F21" s="3161"/>
      <c r="G21" s="3161"/>
      <c r="H21" s="3168"/>
      <c r="I21" s="3161"/>
      <c r="J21" s="3161"/>
      <c r="K21" s="3161"/>
      <c r="L21" s="3161"/>
      <c r="M21" s="3161"/>
    </row>
    <row r="22" spans="1:13">
      <c r="A22" s="3160"/>
      <c r="B22" s="3161"/>
      <c r="C22" s="3161"/>
      <c r="D22" s="3162"/>
      <c r="E22" s="3161"/>
      <c r="F22" s="3161"/>
      <c r="G22" s="3161"/>
      <c r="H22" s="3168"/>
      <c r="I22" s="3161"/>
      <c r="J22" s="3161"/>
      <c r="K22" s="3161"/>
      <c r="L22" s="3161"/>
      <c r="M22" s="3161"/>
    </row>
    <row r="23" spans="1:13">
      <c r="A23" s="3165" t="s">
        <v>4437</v>
      </c>
      <c r="B23" s="3161" t="s">
        <v>751</v>
      </c>
      <c r="C23" s="3161">
        <v>48328</v>
      </c>
      <c r="D23" s="3162">
        <v>44166</v>
      </c>
      <c r="E23" s="3161"/>
      <c r="F23" s="3161">
        <v>47617</v>
      </c>
      <c r="G23" s="3161">
        <v>48488</v>
      </c>
      <c r="H23" s="3166">
        <f>H11</f>
        <v>44409</v>
      </c>
      <c r="I23" s="3161"/>
      <c r="J23" s="3161"/>
      <c r="K23" s="3161">
        <v>57152.08</v>
      </c>
      <c r="L23" s="3163">
        <v>43117</v>
      </c>
      <c r="M23" s="3161">
        <v>68924</v>
      </c>
    </row>
    <row r="24" spans="1:13">
      <c r="A24" s="3160"/>
      <c r="B24" s="3161" t="s">
        <v>605</v>
      </c>
      <c r="C24" s="3161">
        <v>42</v>
      </c>
      <c r="D24" s="3162">
        <v>44166</v>
      </c>
      <c r="E24" s="3161"/>
      <c r="F24" s="3161"/>
      <c r="G24" s="3161"/>
      <c r="H24" s="3168"/>
      <c r="I24" s="3161"/>
      <c r="J24" s="3161"/>
      <c r="K24" s="3161"/>
      <c r="L24" s="3161"/>
      <c r="M24" s="3161"/>
    </row>
    <row r="25" spans="1:13">
      <c r="A25" s="3160"/>
      <c r="B25" s="3161"/>
      <c r="C25" s="3161"/>
      <c r="D25" s="3162"/>
      <c r="E25" s="3161"/>
      <c r="F25" s="3161"/>
      <c r="G25" s="3161"/>
      <c r="H25" s="3168"/>
      <c r="I25" s="3161"/>
      <c r="J25" s="3161"/>
      <c r="K25" s="3161"/>
      <c r="L25" s="3161"/>
      <c r="M25" s="3161"/>
    </row>
    <row r="26" spans="1:13">
      <c r="A26" s="3160"/>
      <c r="B26" s="3161"/>
      <c r="C26" s="3161"/>
      <c r="D26" s="3162"/>
      <c r="E26" s="3161"/>
      <c r="F26" s="3161"/>
      <c r="G26" s="3161"/>
      <c r="H26" s="3168"/>
      <c r="I26" s="3161"/>
      <c r="J26" s="3161"/>
      <c r="K26" s="3161"/>
      <c r="L26" s="3161"/>
      <c r="M26" s="3161"/>
    </row>
    <row r="27" spans="1:13">
      <c r="A27" s="3165" t="s">
        <v>4438</v>
      </c>
      <c r="B27" s="3161" t="s">
        <v>751</v>
      </c>
      <c r="C27" s="3161">
        <v>65280</v>
      </c>
      <c r="D27" s="3162">
        <v>44105</v>
      </c>
      <c r="E27" s="3161"/>
      <c r="F27" s="3161">
        <v>71394</v>
      </c>
      <c r="G27" s="3161">
        <v>61925</v>
      </c>
      <c r="H27" s="3166">
        <v>44409</v>
      </c>
      <c r="I27" s="3161"/>
      <c r="J27" s="3161"/>
      <c r="K27" s="3161">
        <v>25929.55</v>
      </c>
      <c r="L27" s="3163">
        <v>41333</v>
      </c>
      <c r="M27" s="3161" t="s">
        <v>1</v>
      </c>
    </row>
    <row r="28" spans="1:13">
      <c r="A28" s="3160"/>
      <c r="B28" s="3161" t="s">
        <v>605</v>
      </c>
      <c r="C28" s="3161">
        <v>40</v>
      </c>
      <c r="D28" s="3162">
        <v>44197</v>
      </c>
      <c r="E28" s="3161"/>
      <c r="F28" s="3161"/>
      <c r="G28" s="3161"/>
      <c r="H28" s="3168"/>
      <c r="I28" s="3161"/>
      <c r="J28" s="3161"/>
      <c r="K28" s="3161"/>
      <c r="L28" s="3161"/>
      <c r="M28" s="3161"/>
    </row>
    <row r="30" spans="1:13">
      <c r="A30" s="3167" t="s">
        <v>4439</v>
      </c>
      <c r="B30" s="3161" t="s">
        <v>751</v>
      </c>
      <c r="C30" s="3161">
        <v>65280</v>
      </c>
      <c r="D30" s="3162">
        <v>44105</v>
      </c>
      <c r="F30" s="3172">
        <v>79057</v>
      </c>
      <c r="G30" s="3172">
        <v>78786</v>
      </c>
      <c r="H30" s="3173">
        <v>44409</v>
      </c>
    </row>
    <row r="31" spans="1:13">
      <c r="B31" s="3161" t="s">
        <v>605</v>
      </c>
      <c r="C31" s="3161">
        <v>40</v>
      </c>
      <c r="D31" s="3162">
        <v>44197</v>
      </c>
    </row>
    <row r="33" spans="1:8" ht="24">
      <c r="A33" s="3165" t="s">
        <v>4420</v>
      </c>
      <c r="B33" s="3161" t="s">
        <v>751</v>
      </c>
      <c r="E33" s="3081" t="s">
        <v>4436</v>
      </c>
      <c r="F33" s="3082">
        <v>60704</v>
      </c>
      <c r="G33">
        <v>60589</v>
      </c>
      <c r="H33" s="3166">
        <v>44409</v>
      </c>
    </row>
    <row r="34" spans="1:8">
      <c r="B34" s="3161" t="s">
        <v>605</v>
      </c>
    </row>
    <row r="36" spans="1:8">
      <c r="A36" s="3165" t="s">
        <v>4447</v>
      </c>
      <c r="B36" s="3161" t="s">
        <v>751</v>
      </c>
      <c r="F36">
        <v>61380</v>
      </c>
      <c r="G36">
        <v>62090</v>
      </c>
      <c r="H36" s="3171">
        <v>44409</v>
      </c>
    </row>
    <row r="37" spans="1:8">
      <c r="B37" s="3161" t="s">
        <v>605</v>
      </c>
    </row>
    <row r="39" spans="1:8" ht="24">
      <c r="A39" s="3165" t="s">
        <v>4448</v>
      </c>
      <c r="B39" s="3161" t="s">
        <v>751</v>
      </c>
      <c r="F39">
        <v>51071</v>
      </c>
      <c r="G39">
        <v>51916</v>
      </c>
      <c r="H39" s="3171">
        <v>44409</v>
      </c>
    </row>
    <row r="40" spans="1:8">
      <c r="B40" s="3161" t="s">
        <v>605</v>
      </c>
    </row>
  </sheetData>
  <phoneticPr fontId="140" type="noConversion"/>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21" sqref="E2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2348</v>
      </c>
      <c r="B1" s="2061" t="s">
        <v>2462</v>
      </c>
      <c r="C1" s="1404" t="s">
        <v>2350</v>
      </c>
      <c r="D1" s="1391"/>
      <c r="E1" s="2540"/>
      <c r="F1" s="2062"/>
      <c r="G1" s="1401" t="s">
        <v>2463</v>
      </c>
      <c r="H1" s="1400"/>
      <c r="I1" s="1400"/>
      <c r="J1" s="1400"/>
      <c r="K1" s="1402"/>
      <c r="L1" s="1403"/>
      <c r="M1" s="1404"/>
      <c r="N1" s="1404"/>
      <c r="O1" s="1404"/>
      <c r="P1" s="2132"/>
      <c r="Q1" s="2133"/>
      <c r="R1" s="2133"/>
      <c r="S1" s="2133"/>
      <c r="T1" s="2133"/>
      <c r="U1" s="2133"/>
      <c r="V1" s="2133"/>
      <c r="W1" s="2133"/>
      <c r="X1" s="2133"/>
      <c r="Y1" s="2133"/>
      <c r="Z1" s="2133"/>
      <c r="AA1" s="2133"/>
      <c r="AB1" s="2133"/>
      <c r="AC1" s="2134"/>
    </row>
    <row r="2" spans="1:29" s="357" customFormat="1" ht="28.5" customHeight="1" thickTop="1">
      <c r="A2" s="1387" t="s">
        <v>2147</v>
      </c>
      <c r="B2" s="1325" t="e">
        <f ca="1">IF(C2="——",ROUND(C49*D3/10000,0),ROUND(C49*D3/10000,0)-D2)</f>
        <v>#DIV/0!</v>
      </c>
      <c r="C2" s="2064"/>
      <c r="D2" s="1274" t="e">
        <f ca="1">SUMIF(INDIRECT("'"&amp;F2&amp;"'"&amp;"!A:A"),"承租人权益价值",INDIRECT("'"&amp;F2&amp;"'"&amp;"!c:c"))</f>
        <v>#REF!</v>
      </c>
      <c r="E2" s="2065" t="s">
        <v>2148</v>
      </c>
      <c r="F2" s="2066"/>
      <c r="G2" s="1038"/>
      <c r="H2" s="1038"/>
      <c r="I2" s="1038"/>
      <c r="J2" s="1038"/>
      <c r="K2" s="1038"/>
      <c r="L2" s="2956"/>
      <c r="M2" s="2957"/>
      <c r="N2" s="2957"/>
      <c r="O2" s="2957"/>
      <c r="P2" s="2135"/>
      <c r="Q2" s="1042"/>
      <c r="R2" s="1042"/>
      <c r="S2" s="1042"/>
      <c r="T2" s="1042"/>
      <c r="U2" s="1042"/>
      <c r="V2" s="1042"/>
      <c r="W2" s="1042"/>
      <c r="X2" s="1042"/>
      <c r="Y2" s="1042"/>
      <c r="Z2" s="1042"/>
      <c r="AA2" s="1042"/>
      <c r="AB2" s="1042"/>
      <c r="AC2" s="2136"/>
    </row>
    <row r="3" spans="1:29" s="357" customFormat="1" ht="28.5" customHeight="1" thickBot="1">
      <c r="A3" s="208" t="s">
        <v>2149</v>
      </c>
      <c r="B3" s="565" t="e">
        <f ca="1">IF(C2="——",C49,ROUND(B2*10000/D3,0))</f>
        <v>#DIV/0!</v>
      </c>
      <c r="C3" s="359" t="s">
        <v>2464</v>
      </c>
      <c r="D3" s="358">
        <f>IF(D1="",'数据-汇总表'!E3,SUMIF('数据-汇总表'!$C19:$C33,D1,'数据-汇总表'!$E19:$E33))</f>
        <v>46306.38</v>
      </c>
      <c r="E3" s="2137"/>
      <c r="F3" s="1039"/>
      <c r="G3" s="1038"/>
      <c r="H3" s="1038"/>
      <c r="I3" s="1038"/>
      <c r="J3" s="1038"/>
      <c r="K3" s="1040"/>
      <c r="L3" s="2956"/>
      <c r="M3" s="2957"/>
      <c r="N3" s="2957"/>
      <c r="O3" s="2957"/>
      <c r="P3" s="2135"/>
      <c r="Q3" s="1042"/>
      <c r="R3" s="1042"/>
      <c r="S3" s="1042"/>
      <c r="T3" s="1042"/>
      <c r="U3" s="1042"/>
      <c r="V3" s="1042"/>
      <c r="W3" s="1042"/>
      <c r="X3" s="1042"/>
      <c r="Y3" s="1042"/>
      <c r="Z3" s="1042"/>
      <c r="AA3" s="1042"/>
      <c r="AB3" s="1042"/>
      <c r="AC3" s="2137"/>
    </row>
    <row r="4" spans="1:29" ht="15">
      <c r="A4" s="360" t="s">
        <v>2465</v>
      </c>
      <c r="B4" s="361"/>
      <c r="C4" s="3516" t="s">
        <v>2466</v>
      </c>
      <c r="D4" s="3517"/>
      <c r="E4" s="3518" t="s">
        <v>2467</v>
      </c>
      <c r="F4" s="3519"/>
      <c r="G4" s="3516" t="s">
        <v>2468</v>
      </c>
      <c r="H4" s="3517"/>
      <c r="I4" s="3516" t="s">
        <v>2469</v>
      </c>
      <c r="J4" s="3517"/>
      <c r="K4" s="566" t="s">
        <v>2470</v>
      </c>
      <c r="L4" s="2937"/>
      <c r="M4" s="2938"/>
      <c r="N4" s="2938"/>
      <c r="O4" s="2938"/>
      <c r="P4" s="3520" t="s">
        <v>2471</v>
      </c>
      <c r="Q4" s="3521"/>
      <c r="R4" s="3503" t="s">
        <v>2467</v>
      </c>
      <c r="S4" s="3504"/>
      <c r="T4" s="3503" t="s">
        <v>2468</v>
      </c>
      <c r="U4" s="3504"/>
      <c r="V4" s="3528" t="s">
        <v>2469</v>
      </c>
      <c r="W4" s="3528"/>
      <c r="X4" s="1537"/>
      <c r="Y4" s="3503" t="s">
        <v>2471</v>
      </c>
      <c r="Z4" s="3504"/>
      <c r="AA4" s="3498" t="s">
        <v>2467</v>
      </c>
      <c r="AB4" s="3528" t="s">
        <v>2468</v>
      </c>
      <c r="AC4" s="3498" t="s">
        <v>2469</v>
      </c>
    </row>
    <row r="5" spans="1:29" ht="15">
      <c r="A5" s="363"/>
      <c r="B5" s="364"/>
      <c r="C5" s="3543" t="s">
        <v>2362</v>
      </c>
      <c r="D5" s="3544"/>
      <c r="E5" s="3557" t="s">
        <v>2363</v>
      </c>
      <c r="F5" s="3542"/>
      <c r="G5" s="3543" t="s">
        <v>2364</v>
      </c>
      <c r="H5" s="3544"/>
      <c r="I5" s="3543" t="s">
        <v>2365</v>
      </c>
      <c r="J5" s="3544"/>
      <c r="K5" s="566"/>
      <c r="L5" s="2937"/>
      <c r="M5" s="2938"/>
      <c r="N5" s="2938"/>
      <c r="O5" s="2938"/>
      <c r="P5" s="3522"/>
      <c r="Q5" s="3523"/>
      <c r="R5" s="3505"/>
      <c r="S5" s="3506"/>
      <c r="T5" s="3505"/>
      <c r="U5" s="3506"/>
      <c r="V5" s="3528"/>
      <c r="W5" s="3528"/>
      <c r="X5" s="1537"/>
      <c r="Y5" s="3505"/>
      <c r="Z5" s="3506"/>
      <c r="AA5" s="3499"/>
      <c r="AB5" s="3528"/>
      <c r="AC5" s="3499"/>
    </row>
    <row r="6" spans="1:29" ht="15.75" thickBot="1">
      <c r="A6" s="365"/>
      <c r="B6" s="366"/>
      <c r="C6" s="3545" t="s">
        <v>2366</v>
      </c>
      <c r="D6" s="3546"/>
      <c r="E6" s="3547" t="s">
        <v>2366</v>
      </c>
      <c r="F6" s="3548"/>
      <c r="G6" s="3545" t="s">
        <v>2366</v>
      </c>
      <c r="H6" s="3546"/>
      <c r="I6" s="3545" t="s">
        <v>2366</v>
      </c>
      <c r="J6" s="3546"/>
      <c r="K6" s="566" t="s">
        <v>2367</v>
      </c>
      <c r="L6" s="2937"/>
      <c r="M6" s="2938"/>
      <c r="N6" s="2938"/>
      <c r="O6" s="2938"/>
      <c r="P6" s="3524"/>
      <c r="Q6" s="3525"/>
      <c r="R6" s="3505"/>
      <c r="S6" s="3506"/>
      <c r="T6" s="3526"/>
      <c r="U6" s="3527"/>
      <c r="V6" s="3528"/>
      <c r="W6" s="3528"/>
      <c r="X6" s="1537"/>
      <c r="Y6" s="3526"/>
      <c r="Z6" s="3527"/>
      <c r="AA6" s="3500"/>
      <c r="AB6" s="3528"/>
      <c r="AC6" s="3500"/>
    </row>
    <row r="7" spans="1:29" s="112" customFormat="1" ht="15.75" thickBot="1">
      <c r="A7" s="367" t="s">
        <v>2368</v>
      </c>
      <c r="B7" s="368"/>
      <c r="C7" s="369">
        <f>'数据-取费表'!B2</f>
        <v>44495</v>
      </c>
      <c r="D7" s="370">
        <v>100</v>
      </c>
      <c r="E7" s="371"/>
      <c r="F7" s="372">
        <f>SUMIF(58:58,YEAR(E7)&amp;"-"&amp;MONTH(E7),59:59)</f>
        <v>0</v>
      </c>
      <c r="G7" s="371"/>
      <c r="H7" s="370">
        <f>SUMIF(58:58,YEAR(G7)&amp;"-"&amp;MONTH(G7),59:59)</f>
        <v>0</v>
      </c>
      <c r="I7" s="371"/>
      <c r="J7" s="370">
        <f>SUMIF(58:58,YEAR(I7)&amp;"-"&amp;MONTH(I7),59:59)</f>
        <v>0</v>
      </c>
      <c r="K7" s="567"/>
      <c r="L7" s="2939"/>
      <c r="M7" s="2940"/>
      <c r="N7" s="2940"/>
      <c r="O7" s="2940"/>
      <c r="P7" s="3501" t="s">
        <v>2369</v>
      </c>
      <c r="Q7" s="3529"/>
      <c r="R7" s="709" t="s">
        <v>17</v>
      </c>
      <c r="S7" s="710">
        <f t="shared" ref="S7:S15" si="0">F7</f>
        <v>0</v>
      </c>
      <c r="T7" s="709" t="s">
        <v>17</v>
      </c>
      <c r="U7" s="710">
        <f t="shared" ref="U7:U15" si="1">H7</f>
        <v>0</v>
      </c>
      <c r="V7" s="709" t="s">
        <v>17</v>
      </c>
      <c r="W7" s="710">
        <f t="shared" ref="W7:W15" si="2">J7</f>
        <v>0</v>
      </c>
      <c r="X7" s="711"/>
      <c r="Y7" s="3501" t="s">
        <v>2369</v>
      </c>
      <c r="Z7" s="3502"/>
      <c r="AA7" s="712" t="e">
        <f>D7/F7</f>
        <v>#DIV/0!</v>
      </c>
      <c r="AB7" s="712" t="e">
        <f>D7/H7</f>
        <v>#DIV/0!</v>
      </c>
      <c r="AC7" s="712" t="e">
        <f>D7/J7</f>
        <v>#DIV/0!</v>
      </c>
    </row>
    <row r="8" spans="1:29" s="112"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39"/>
      <c r="M8" s="2940"/>
      <c r="N8" s="2940"/>
      <c r="O8" s="2940"/>
      <c r="P8" s="3501" t="s">
        <v>2372</v>
      </c>
      <c r="Q8" s="3502"/>
      <c r="R8" s="709" t="s">
        <v>17</v>
      </c>
      <c r="S8" s="710">
        <f t="shared" si="0"/>
        <v>0</v>
      </c>
      <c r="T8" s="709" t="s">
        <v>17</v>
      </c>
      <c r="U8" s="710">
        <f t="shared" si="1"/>
        <v>0</v>
      </c>
      <c r="V8" s="709" t="s">
        <v>17</v>
      </c>
      <c r="W8" s="710">
        <f t="shared" si="2"/>
        <v>0</v>
      </c>
      <c r="X8" s="711"/>
      <c r="Y8" s="3501" t="s">
        <v>2372</v>
      </c>
      <c r="Z8" s="3502"/>
      <c r="AA8" s="712" t="e">
        <f t="shared" ref="AA8:AA46" si="3">D8/F8</f>
        <v>#DIV/0!</v>
      </c>
      <c r="AB8" s="712" t="e">
        <f t="shared" ref="AB8:AB46" si="4">D8/H8</f>
        <v>#DIV/0!</v>
      </c>
      <c r="AC8" s="712" t="e">
        <f t="shared" ref="AC8:AC46" si="5">D8/J8</f>
        <v>#DIV/0!</v>
      </c>
    </row>
    <row r="9" spans="1:29" s="112" customFormat="1">
      <c r="A9" s="374" t="s">
        <v>2373</v>
      </c>
      <c r="B9" s="66" t="s">
        <v>2374</v>
      </c>
      <c r="C9" s="375"/>
      <c r="D9" s="130">
        <v>100</v>
      </c>
      <c r="E9" s="376"/>
      <c r="F9" s="377">
        <f>SUMIF(63:63,E9,64:64)-SUMIF(63:63,C9,64:64)+100</f>
        <v>100</v>
      </c>
      <c r="G9" s="376"/>
      <c r="H9" s="130">
        <f>SUMIF(63:63,G9,64:64)-SUMIF(63:63,C9,64:64)+100</f>
        <v>100</v>
      </c>
      <c r="I9" s="376"/>
      <c r="J9" s="130">
        <f>SUMIF(63:63,I9,64:64)-SUMIF(63:63,C9,64:64)+100</f>
        <v>100</v>
      </c>
      <c r="K9" s="567"/>
      <c r="L9" s="2939"/>
      <c r="M9" s="2940"/>
      <c r="N9" s="2940"/>
      <c r="O9" s="2940"/>
      <c r="P9" s="3539"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1"/>
      <c r="M10" s="2942"/>
      <c r="N10" s="2942"/>
      <c r="O10" s="2942"/>
      <c r="P10" s="3539"/>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3"/>
      <c r="M11" s="2938"/>
      <c r="N11" s="2938"/>
      <c r="O11" s="2938"/>
      <c r="P11" s="3539"/>
      <c r="Q11" s="1525" t="str">
        <f t="shared" si="6"/>
        <v>容积率</v>
      </c>
      <c r="R11" s="709" t="s">
        <v>17</v>
      </c>
      <c r="S11" s="710" t="e">
        <f t="shared" si="0"/>
        <v>#N/A</v>
      </c>
      <c r="T11" s="709" t="s">
        <v>17</v>
      </c>
      <c r="U11" s="710" t="e">
        <f t="shared" si="1"/>
        <v>#N/A</v>
      </c>
      <c r="V11" s="709" t="s">
        <v>17</v>
      </c>
      <c r="W11" s="710" t="e">
        <f t="shared" si="2"/>
        <v>#N/A</v>
      </c>
      <c r="X11" s="711"/>
      <c r="Y11" s="3443"/>
      <c r="Z11" s="54" t="str">
        <f t="shared" si="7"/>
        <v>容积率</v>
      </c>
      <c r="AA11" s="712" t="e">
        <f t="shared" si="3"/>
        <v>#N/A</v>
      </c>
      <c r="AB11" s="712" t="e">
        <f t="shared" si="4"/>
        <v>#N/A</v>
      </c>
      <c r="AC11" s="712" t="e">
        <f t="shared" si="5"/>
        <v>#N/A</v>
      </c>
    </row>
    <row r="12" spans="1:29" s="112" customFormat="1" ht="15">
      <c r="A12" s="389"/>
      <c r="B12" s="2076">
        <v>111</v>
      </c>
      <c r="C12" s="390"/>
      <c r="D12" s="391">
        <v>100</v>
      </c>
      <c r="E12" s="392"/>
      <c r="F12" s="383">
        <f>SUMIF(70:70,E12,71:71)-SUMIF(70:70,C12,71:71)+100</f>
        <v>100</v>
      </c>
      <c r="G12" s="392"/>
      <c r="H12" s="131">
        <f>SUMIF(70:70,G12,71:71)-SUMIF(70:70,C12,71:71)+100</f>
        <v>100</v>
      </c>
      <c r="I12" s="392"/>
      <c r="J12" s="131">
        <f>SUMIF(70:70,I12,71:71)-SUMIF(70:70,C12,71:71)+100</f>
        <v>100</v>
      </c>
      <c r="K12" s="569"/>
      <c r="L12" s="2939"/>
      <c r="M12" s="2940"/>
      <c r="N12" s="2940"/>
      <c r="O12" s="2940"/>
      <c r="P12" s="3539"/>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712">
        <f>D12/J12</f>
        <v>1</v>
      </c>
    </row>
    <row r="13" spans="1:29" ht="15">
      <c r="A13" s="386"/>
      <c r="B13" s="2076">
        <v>111</v>
      </c>
      <c r="C13" s="392"/>
      <c r="D13" s="393">
        <v>100</v>
      </c>
      <c r="E13" s="392"/>
      <c r="F13" s="383">
        <f>SUMIF(72:72,E13,73:73)-SUMIF(72:72,C13,73:73)+100</f>
        <v>100</v>
      </c>
      <c r="G13" s="392"/>
      <c r="H13" s="393">
        <f>SUMIF(72:72,G13,73:73)-SUMIF(72:72,C13,73:73)+100</f>
        <v>100</v>
      </c>
      <c r="I13" s="392"/>
      <c r="J13" s="393">
        <f>SUMIF(72:72,I13,73:73)-SUMIF(72:72,C13,73:73)+100</f>
        <v>100</v>
      </c>
      <c r="K13" s="569"/>
      <c r="L13" s="2944"/>
      <c r="M13" s="2938"/>
      <c r="N13" s="2938"/>
      <c r="O13" s="2938"/>
      <c r="P13" s="3539"/>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712">
        <f t="shared" si="5"/>
        <v>1</v>
      </c>
    </row>
    <row r="14" spans="1:29" ht="15.75" thickBot="1">
      <c r="A14" s="394"/>
      <c r="B14" s="2078">
        <v>111</v>
      </c>
      <c r="C14" s="395"/>
      <c r="D14" s="396">
        <v>100</v>
      </c>
      <c r="E14" s="392"/>
      <c r="F14" s="397">
        <f>SUMIF(74:74,E14,75:75)-SUMIF(74:74,C14,75:75)+100</f>
        <v>100</v>
      </c>
      <c r="G14" s="392"/>
      <c r="H14" s="396">
        <f>SUMIF(74:74,G14,75:75)-SUMIF(74:74,C14,75:75)+100</f>
        <v>100</v>
      </c>
      <c r="I14" s="392"/>
      <c r="J14" s="396">
        <f>SUMIF(74:74,I14,75:75)-SUMIF(74:74,C14,75:75)+100</f>
        <v>100</v>
      </c>
      <c r="K14" s="569"/>
      <c r="L14" s="2944"/>
      <c r="M14" s="2938"/>
      <c r="N14" s="2938"/>
      <c r="O14" s="2938"/>
      <c r="P14" s="3539"/>
      <c r="Q14" s="1525">
        <f t="shared" si="6"/>
        <v>111</v>
      </c>
      <c r="R14" s="709" t="s">
        <v>17</v>
      </c>
      <c r="S14" s="710">
        <f t="shared" si="0"/>
        <v>100</v>
      </c>
      <c r="T14" s="709" t="s">
        <v>17</v>
      </c>
      <c r="U14" s="710">
        <f t="shared" si="1"/>
        <v>100</v>
      </c>
      <c r="V14" s="709" t="s">
        <v>17</v>
      </c>
      <c r="W14" s="710">
        <f t="shared" si="2"/>
        <v>100</v>
      </c>
      <c r="X14" s="711"/>
      <c r="Y14" s="3443"/>
      <c r="Z14" s="54">
        <f t="shared" si="7"/>
        <v>111</v>
      </c>
      <c r="AA14" s="712">
        <f t="shared" si="3"/>
        <v>1</v>
      </c>
      <c r="AB14" s="712">
        <f t="shared" si="4"/>
        <v>1</v>
      </c>
      <c r="AC14" s="712">
        <f t="shared" si="5"/>
        <v>1</v>
      </c>
    </row>
    <row r="15" spans="1:29" ht="15">
      <c r="A15" s="398" t="s">
        <v>2379</v>
      </c>
      <c r="B15" s="64" t="s">
        <v>2473</v>
      </c>
      <c r="C15" s="2079" t="str">
        <f>估价对象房地状况!C4</f>
        <v>较差</v>
      </c>
      <c r="D15" s="399">
        <v>100</v>
      </c>
      <c r="E15" s="400"/>
      <c r="F15" s="401">
        <f>SUMIF(76:76,E16,77:77)-SUMIF(76:76,C16,77:77)+100</f>
        <v>100</v>
      </c>
      <c r="G15" s="402"/>
      <c r="H15" s="399">
        <f>SUMIF(76:76,G16,77:77)-SUMIF(76:76,C16,77:77)+100</f>
        <v>100</v>
      </c>
      <c r="I15" s="400"/>
      <c r="J15" s="399">
        <f>SUMIF(76:76,I16,77:77)-SUMIF(76:76,C16,77:77)+100</f>
        <v>100</v>
      </c>
      <c r="K15" s="570"/>
      <c r="L15" s="2944"/>
      <c r="M15" s="2938"/>
      <c r="N15" s="2938"/>
      <c r="O15" s="2938"/>
      <c r="P15" s="3555" t="s">
        <v>2380</v>
      </c>
      <c r="Q15" s="1534" t="str">
        <f t="shared" si="6"/>
        <v>商业繁华度</v>
      </c>
      <c r="R15" s="713" t="s">
        <v>17</v>
      </c>
      <c r="S15" s="714">
        <f t="shared" si="0"/>
        <v>100</v>
      </c>
      <c r="T15" s="713" t="s">
        <v>17</v>
      </c>
      <c r="U15" s="714">
        <f t="shared" si="1"/>
        <v>100</v>
      </c>
      <c r="V15" s="713" t="s">
        <v>17</v>
      </c>
      <c r="W15" s="714">
        <f t="shared" si="2"/>
        <v>100</v>
      </c>
      <c r="X15" s="1537"/>
      <c r="Y15" s="3530" t="s">
        <v>2380</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4"/>
      <c r="M16" s="2938"/>
      <c r="N16" s="2938"/>
      <c r="O16" s="2938"/>
      <c r="P16" s="3556"/>
      <c r="Q16" s="1534"/>
      <c r="R16" s="713"/>
      <c r="S16" s="714"/>
      <c r="T16" s="713"/>
      <c r="U16" s="714"/>
      <c r="V16" s="713"/>
      <c r="W16" s="714"/>
      <c r="X16" s="1537"/>
      <c r="Y16" s="3531"/>
      <c r="Z16" s="1538"/>
      <c r="AA16" s="1535">
        <v>1</v>
      </c>
      <c r="AB16" s="1535">
        <v>1</v>
      </c>
      <c r="AC16" s="1535">
        <v>1</v>
      </c>
    </row>
    <row r="17" spans="1:29" ht="15">
      <c r="A17" s="386"/>
      <c r="B17" s="409" t="s">
        <v>1944</v>
      </c>
      <c r="C17" s="2083"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944"/>
      <c r="M17" s="2938"/>
      <c r="N17" s="2938"/>
      <c r="O17" s="2938"/>
      <c r="P17" s="3556"/>
      <c r="Q17" s="1534" t="str">
        <f>B17</f>
        <v>交通便捷度</v>
      </c>
      <c r="R17" s="713" t="s">
        <v>17</v>
      </c>
      <c r="S17" s="714">
        <f>F17</f>
        <v>100</v>
      </c>
      <c r="T17" s="713" t="s">
        <v>17</v>
      </c>
      <c r="U17" s="714">
        <f>H17</f>
        <v>100</v>
      </c>
      <c r="V17" s="713" t="s">
        <v>17</v>
      </c>
      <c r="W17" s="714">
        <f>J17</f>
        <v>100</v>
      </c>
      <c r="X17" s="1537"/>
      <c r="Y17" s="3531"/>
      <c r="Z17" s="1538" t="str">
        <f>Q17</f>
        <v>交通便捷度</v>
      </c>
      <c r="AA17" s="1535">
        <f t="shared" si="3"/>
        <v>1</v>
      </c>
      <c r="AB17" s="1535">
        <f t="shared" si="4"/>
        <v>1</v>
      </c>
      <c r="AC17" s="1535">
        <f t="shared" si="5"/>
        <v>1</v>
      </c>
    </row>
    <row r="18" spans="1:29" ht="15">
      <c r="A18" s="386"/>
      <c r="B18" s="414"/>
      <c r="C18" s="2084"/>
      <c r="D18" s="408"/>
      <c r="E18" s="2086"/>
      <c r="F18" s="411"/>
      <c r="G18" s="2085"/>
      <c r="H18" s="406"/>
      <c r="I18" s="2086"/>
      <c r="J18" s="406"/>
      <c r="K18" s="571"/>
      <c r="L18" s="2944"/>
      <c r="M18" s="2938"/>
      <c r="N18" s="2938"/>
      <c r="O18" s="2938"/>
      <c r="P18" s="3556"/>
      <c r="Q18" s="1534"/>
      <c r="R18" s="713"/>
      <c r="S18" s="714"/>
      <c r="T18" s="713"/>
      <c r="U18" s="714"/>
      <c r="V18" s="713"/>
      <c r="W18" s="714"/>
      <c r="X18" s="1537"/>
      <c r="Y18" s="3531"/>
      <c r="Z18" s="1538"/>
      <c r="AA18" s="1535">
        <v>1</v>
      </c>
      <c r="AB18" s="1535">
        <v>1</v>
      </c>
      <c r="AC18" s="1535">
        <v>1</v>
      </c>
    </row>
    <row r="19" spans="1:29" ht="15">
      <c r="A19" s="386"/>
      <c r="B19" s="409" t="s">
        <v>2474</v>
      </c>
      <c r="C19" s="2083"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944"/>
      <c r="M19" s="2938"/>
      <c r="N19" s="2938"/>
      <c r="O19" s="2938"/>
      <c r="P19" s="3556"/>
      <c r="Q19" s="1534" t="str">
        <f>B19</f>
        <v>公共配套设施</v>
      </c>
      <c r="R19" s="713" t="s">
        <v>17</v>
      </c>
      <c r="S19" s="714">
        <f>F19</f>
        <v>100</v>
      </c>
      <c r="T19" s="713" t="s">
        <v>17</v>
      </c>
      <c r="U19" s="714">
        <f>H19</f>
        <v>100</v>
      </c>
      <c r="V19" s="713" t="s">
        <v>17</v>
      </c>
      <c r="W19" s="714">
        <f>J19</f>
        <v>100</v>
      </c>
      <c r="X19" s="1537"/>
      <c r="Y19" s="3531"/>
      <c r="Z19" s="1538" t="str">
        <f>Q19</f>
        <v>公共配套设施</v>
      </c>
      <c r="AA19" s="1535">
        <f t="shared" si="3"/>
        <v>1</v>
      </c>
      <c r="AB19" s="1535">
        <f t="shared" si="4"/>
        <v>1</v>
      </c>
      <c r="AC19" s="1535">
        <f t="shared" si="5"/>
        <v>1</v>
      </c>
    </row>
    <row r="20" spans="1:29" ht="15">
      <c r="A20" s="386"/>
      <c r="B20" s="414"/>
      <c r="C20" s="405"/>
      <c r="D20" s="406"/>
      <c r="E20" s="2081"/>
      <c r="F20" s="407"/>
      <c r="G20" s="2080"/>
      <c r="H20" s="406"/>
      <c r="I20" s="2081"/>
      <c r="J20" s="406"/>
      <c r="K20" s="571"/>
      <c r="L20" s="2944"/>
      <c r="M20" s="2938"/>
      <c r="N20" s="2938"/>
      <c r="O20" s="2938"/>
      <c r="P20" s="3556"/>
      <c r="Q20" s="1534"/>
      <c r="R20" s="713"/>
      <c r="S20" s="714"/>
      <c r="T20" s="713"/>
      <c r="U20" s="714"/>
      <c r="V20" s="713"/>
      <c r="W20" s="714"/>
      <c r="X20" s="1537"/>
      <c r="Y20" s="3531"/>
      <c r="Z20" s="1538"/>
      <c r="AA20" s="1535">
        <v>1</v>
      </c>
      <c r="AB20" s="1535">
        <v>1</v>
      </c>
      <c r="AC20" s="1535">
        <v>1</v>
      </c>
    </row>
    <row r="21" spans="1:29" ht="15">
      <c r="A21" s="386"/>
      <c r="B21" s="1292" t="s">
        <v>2475</v>
      </c>
      <c r="C21" s="2083"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4"/>
      <c r="M21" s="2938"/>
      <c r="N21" s="2938"/>
      <c r="O21" s="2938"/>
      <c r="P21" s="3556"/>
      <c r="Q21" s="1534" t="str">
        <f>B21</f>
        <v>基础设施水平</v>
      </c>
      <c r="R21" s="713" t="s">
        <v>17</v>
      </c>
      <c r="S21" s="714">
        <f>F21</f>
        <v>100</v>
      </c>
      <c r="T21" s="713" t="s">
        <v>17</v>
      </c>
      <c r="U21" s="714">
        <f>H21</f>
        <v>100</v>
      </c>
      <c r="V21" s="713" t="s">
        <v>17</v>
      </c>
      <c r="W21" s="714">
        <f>J21</f>
        <v>100</v>
      </c>
      <c r="X21" s="1537"/>
      <c r="Y21" s="3531"/>
      <c r="Z21" s="1538" t="str">
        <f>Q21</f>
        <v>基础设施水平</v>
      </c>
      <c r="AA21" s="1535">
        <f t="shared" ref="AA21" si="8">D21/F21</f>
        <v>1</v>
      </c>
      <c r="AB21" s="1535">
        <f t="shared" ref="AB21" si="9">D21/H21</f>
        <v>1</v>
      </c>
      <c r="AC21" s="1535">
        <f t="shared" ref="AC21" si="10">D21/J21</f>
        <v>1</v>
      </c>
    </row>
    <row r="22" spans="1:29" ht="15">
      <c r="A22" s="386"/>
      <c r="B22" s="1292"/>
      <c r="C22" s="2084"/>
      <c r="D22" s="406"/>
      <c r="E22" s="405"/>
      <c r="F22" s="407"/>
      <c r="G22" s="405"/>
      <c r="H22" s="406"/>
      <c r="I22" s="405"/>
      <c r="J22" s="406"/>
      <c r="K22" s="1291"/>
      <c r="L22" s="2944"/>
      <c r="M22" s="2938"/>
      <c r="N22" s="2938"/>
      <c r="O22" s="2938"/>
      <c r="P22" s="3556"/>
      <c r="Q22" s="1534"/>
      <c r="R22" s="713"/>
      <c r="S22" s="714"/>
      <c r="T22" s="713"/>
      <c r="U22" s="714"/>
      <c r="V22" s="713"/>
      <c r="W22" s="714"/>
      <c r="X22" s="1537"/>
      <c r="Y22" s="3531"/>
      <c r="Z22" s="1538"/>
      <c r="AA22" s="1535">
        <v>1</v>
      </c>
      <c r="AB22" s="1535">
        <v>1</v>
      </c>
      <c r="AC22" s="1535">
        <v>1</v>
      </c>
    </row>
    <row r="23" spans="1:29" ht="15">
      <c r="A23" s="386"/>
      <c r="B23" s="409" t="s">
        <v>1946</v>
      </c>
      <c r="C23" s="2138"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44"/>
      <c r="M23" s="2938"/>
      <c r="N23" s="2938"/>
      <c r="O23" s="2938"/>
      <c r="P23" s="3556"/>
      <c r="Q23" s="1534" t="str">
        <f>B23</f>
        <v>自然及人文环境</v>
      </c>
      <c r="R23" s="713" t="s">
        <v>17</v>
      </c>
      <c r="S23" s="714">
        <f>F23</f>
        <v>100</v>
      </c>
      <c r="T23" s="713" t="s">
        <v>17</v>
      </c>
      <c r="U23" s="714">
        <f>H23</f>
        <v>100</v>
      </c>
      <c r="V23" s="713" t="s">
        <v>17</v>
      </c>
      <c r="W23" s="714">
        <f>J23</f>
        <v>100</v>
      </c>
      <c r="X23" s="1537"/>
      <c r="Y23" s="3531"/>
      <c r="Z23" s="1538" t="str">
        <f>Q23</f>
        <v>自然及人文环境</v>
      </c>
      <c r="AA23" s="1535">
        <f t="shared" si="3"/>
        <v>1</v>
      </c>
      <c r="AB23" s="1535">
        <f t="shared" si="4"/>
        <v>1</v>
      </c>
      <c r="AC23" s="1535">
        <f t="shared" si="5"/>
        <v>1</v>
      </c>
    </row>
    <row r="24" spans="1:29" ht="15">
      <c r="A24" s="386"/>
      <c r="B24" s="414"/>
      <c r="C24" s="405"/>
      <c r="D24" s="406"/>
      <c r="E24" s="2081"/>
      <c r="F24" s="407"/>
      <c r="G24" s="2080"/>
      <c r="H24" s="406"/>
      <c r="I24" s="2081"/>
      <c r="J24" s="406"/>
      <c r="K24" s="571"/>
      <c r="L24" s="2944"/>
      <c r="M24" s="2938"/>
      <c r="N24" s="2938"/>
      <c r="O24" s="2938"/>
      <c r="P24" s="3556"/>
      <c r="Q24" s="1534"/>
      <c r="R24" s="713"/>
      <c r="S24" s="714"/>
      <c r="T24" s="713"/>
      <c r="U24" s="714"/>
      <c r="V24" s="713"/>
      <c r="W24" s="714"/>
      <c r="X24" s="1537"/>
      <c r="Y24" s="3531"/>
      <c r="Z24" s="1538"/>
      <c r="AA24" s="1535">
        <v>1</v>
      </c>
      <c r="AB24" s="1535">
        <v>1</v>
      </c>
      <c r="AC24" s="1535">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44"/>
      <c r="M25" s="2938"/>
      <c r="N25" s="2938"/>
      <c r="O25" s="2938"/>
      <c r="P25" s="3556"/>
      <c r="Q25" s="1534" t="str">
        <f t="shared" ref="Q25:Q46" si="11">B25</f>
        <v>临街状况</v>
      </c>
      <c r="R25" s="713" t="s">
        <v>17</v>
      </c>
      <c r="S25" s="714">
        <f>F25</f>
        <v>100</v>
      </c>
      <c r="T25" s="713" t="s">
        <v>17</v>
      </c>
      <c r="U25" s="714">
        <f>H25</f>
        <v>100</v>
      </c>
      <c r="V25" s="713" t="s">
        <v>17</v>
      </c>
      <c r="W25" s="714">
        <f>J25</f>
        <v>100</v>
      </c>
      <c r="X25" s="1537"/>
      <c r="Y25" s="3531"/>
      <c r="Z25" s="1538" t="str">
        <f>Q25</f>
        <v>临街状况</v>
      </c>
      <c r="AA25" s="1535">
        <f t="shared" si="3"/>
        <v>1</v>
      </c>
      <c r="AB25" s="1535">
        <f t="shared" si="4"/>
        <v>1</v>
      </c>
      <c r="AC25" s="1535">
        <f t="shared" si="5"/>
        <v>1</v>
      </c>
    </row>
    <row r="26" spans="1:29" ht="15">
      <c r="A26" s="386"/>
      <c r="B26" s="1294" t="s">
        <v>2477</v>
      </c>
      <c r="C26" s="392"/>
      <c r="D26" s="393">
        <v>100</v>
      </c>
      <c r="E26" s="392"/>
      <c r="F26" s="419">
        <f>SUMIF(88:88,E26,89:89)-SUMIF(88:88,C26,89:89)+100</f>
        <v>100</v>
      </c>
      <c r="G26" s="392"/>
      <c r="H26" s="393">
        <f>SUMIF(88:88,G26,89:89)-SUMIF(88:88,C26,89:89)+100</f>
        <v>100</v>
      </c>
      <c r="I26" s="392"/>
      <c r="J26" s="393">
        <f>SUMIF(88:88,I26,89:89)-SUMIF(88:88,C26,89:89)+100</f>
        <v>100</v>
      </c>
      <c r="K26" s="569"/>
      <c r="L26" s="2944"/>
      <c r="M26" s="2938"/>
      <c r="N26" s="2938"/>
      <c r="O26" s="2938"/>
      <c r="P26" s="3556"/>
      <c r="Q26" s="1534" t="str">
        <f t="shared" si="11"/>
        <v>平面位置/可视性</v>
      </c>
      <c r="R26" s="713" t="s">
        <v>17</v>
      </c>
      <c r="S26" s="714">
        <f>F26</f>
        <v>100</v>
      </c>
      <c r="T26" s="713" t="s">
        <v>17</v>
      </c>
      <c r="U26" s="714">
        <f>H26</f>
        <v>100</v>
      </c>
      <c r="V26" s="713" t="s">
        <v>17</v>
      </c>
      <c r="W26" s="714">
        <f>J26</f>
        <v>100</v>
      </c>
      <c r="X26" s="1537"/>
      <c r="Y26" s="3531"/>
      <c r="Z26" s="1538" t="str">
        <f>Q26</f>
        <v>平面位置/可视性</v>
      </c>
      <c r="AA26" s="1535">
        <f t="shared" si="3"/>
        <v>1</v>
      </c>
      <c r="AB26" s="1535">
        <f t="shared" si="4"/>
        <v>1</v>
      </c>
      <c r="AC26" s="1535">
        <f t="shared" si="5"/>
        <v>1</v>
      </c>
    </row>
    <row r="27" spans="1:29" s="112" customFormat="1" ht="15">
      <c r="A27" s="389"/>
      <c r="B27" s="409" t="s">
        <v>2478</v>
      </c>
      <c r="C27" s="2139"/>
      <c r="D27" s="420">
        <v>100</v>
      </c>
      <c r="E27" s="2139"/>
      <c r="F27" s="422">
        <f>SUMIF(90:90,E27,91:91)-SUMIF(90:90,C27,91:91)+100</f>
        <v>100</v>
      </c>
      <c r="G27" s="2139"/>
      <c r="H27" s="420">
        <f>SUMIF(90:90,G27,91:91)-SUMIF(90:90,C27,91:91)+100</f>
        <v>100</v>
      </c>
      <c r="I27" s="2139"/>
      <c r="J27" s="420">
        <f>SUMIF(90:90,I27,91:91)-SUMIF(90:90,C27,91:91)+100</f>
        <v>100</v>
      </c>
      <c r="K27" s="568"/>
      <c r="L27" s="2939"/>
      <c r="M27" s="2940"/>
      <c r="N27" s="2940"/>
      <c r="O27" s="2940"/>
      <c r="P27" s="3556"/>
      <c r="Q27" s="1525" t="str">
        <f t="shared" si="11"/>
        <v>人流量</v>
      </c>
      <c r="R27" s="709" t="s">
        <v>17</v>
      </c>
      <c r="S27" s="710">
        <f>F27</f>
        <v>100</v>
      </c>
      <c r="T27" s="709" t="s">
        <v>17</v>
      </c>
      <c r="U27" s="710">
        <f>H27</f>
        <v>100</v>
      </c>
      <c r="V27" s="709" t="s">
        <v>17</v>
      </c>
      <c r="W27" s="710">
        <f>J27</f>
        <v>100</v>
      </c>
      <c r="X27" s="711"/>
      <c r="Y27" s="3531"/>
      <c r="Z27" s="54" t="str">
        <f>Q27</f>
        <v>人流量</v>
      </c>
      <c r="AA27" s="1535">
        <f>D27/F27</f>
        <v>1</v>
      </c>
      <c r="AB27" s="1535">
        <f>D27/H27</f>
        <v>1</v>
      </c>
      <c r="AC27" s="1535">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44"/>
      <c r="M28" s="2938"/>
      <c r="N28" s="2938"/>
      <c r="O28" s="2938"/>
      <c r="P28" s="3556"/>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531"/>
      <c r="Z28" s="1538" t="str">
        <f t="shared" ref="Z28:Z46" si="15">Q28</f>
        <v>楼层</v>
      </c>
      <c r="AA28" s="1535">
        <f t="shared" si="3"/>
        <v>1</v>
      </c>
      <c r="AB28" s="1535">
        <f t="shared" si="4"/>
        <v>1</v>
      </c>
      <c r="AC28" s="1535">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4"/>
      <c r="M29" s="2938"/>
      <c r="N29" s="2938"/>
      <c r="O29" s="2938"/>
      <c r="P29" s="3556"/>
      <c r="Q29" s="1534">
        <f t="shared" si="11"/>
        <v>111</v>
      </c>
      <c r="R29" s="713" t="s">
        <v>17</v>
      </c>
      <c r="S29" s="714">
        <f t="shared" si="12"/>
        <v>100</v>
      </c>
      <c r="T29" s="713" t="s">
        <v>17</v>
      </c>
      <c r="U29" s="714">
        <f t="shared" si="13"/>
        <v>100</v>
      </c>
      <c r="V29" s="713" t="s">
        <v>17</v>
      </c>
      <c r="W29" s="714">
        <f t="shared" si="14"/>
        <v>100</v>
      </c>
      <c r="X29" s="1537"/>
      <c r="Y29" s="3531"/>
      <c r="Z29" s="1538">
        <f t="shared" si="15"/>
        <v>111</v>
      </c>
      <c r="AA29" s="1535">
        <f t="shared" si="3"/>
        <v>1</v>
      </c>
      <c r="AB29" s="1535">
        <f t="shared" si="4"/>
        <v>1</v>
      </c>
      <c r="AC29" s="1535">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4"/>
      <c r="M30" s="2938"/>
      <c r="N30" s="2938"/>
      <c r="O30" s="2938"/>
      <c r="P30" s="3556"/>
      <c r="Q30" s="1534">
        <f t="shared" si="11"/>
        <v>111</v>
      </c>
      <c r="R30" s="713" t="s">
        <v>17</v>
      </c>
      <c r="S30" s="714">
        <f t="shared" si="12"/>
        <v>100</v>
      </c>
      <c r="T30" s="713" t="s">
        <v>17</v>
      </c>
      <c r="U30" s="714">
        <f t="shared" si="13"/>
        <v>100</v>
      </c>
      <c r="V30" s="713" t="s">
        <v>17</v>
      </c>
      <c r="W30" s="714">
        <f t="shared" si="14"/>
        <v>100</v>
      </c>
      <c r="X30" s="1537"/>
      <c r="Y30" s="3531"/>
      <c r="Z30" s="1538">
        <f t="shared" si="15"/>
        <v>111</v>
      </c>
      <c r="AA30" s="1535">
        <f t="shared" si="3"/>
        <v>1</v>
      </c>
      <c r="AB30" s="1535">
        <f t="shared" si="4"/>
        <v>1</v>
      </c>
      <c r="AC30" s="1535">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4"/>
      <c r="M31" s="2938"/>
      <c r="N31" s="2938"/>
      <c r="O31" s="2938"/>
      <c r="P31" s="3556"/>
      <c r="Q31" s="1534">
        <f t="shared" si="11"/>
        <v>111</v>
      </c>
      <c r="R31" s="713" t="s">
        <v>17</v>
      </c>
      <c r="S31" s="714">
        <f t="shared" si="12"/>
        <v>100</v>
      </c>
      <c r="T31" s="713" t="s">
        <v>17</v>
      </c>
      <c r="U31" s="714">
        <f t="shared" si="13"/>
        <v>100</v>
      </c>
      <c r="V31" s="713" t="s">
        <v>17</v>
      </c>
      <c r="W31" s="714">
        <f t="shared" si="14"/>
        <v>100</v>
      </c>
      <c r="X31" s="1537"/>
      <c r="Y31" s="3531"/>
      <c r="Z31" s="1538">
        <f t="shared" si="15"/>
        <v>111</v>
      </c>
      <c r="AA31" s="1535">
        <f t="shared" si="3"/>
        <v>1</v>
      </c>
      <c r="AB31" s="1535">
        <f t="shared" si="4"/>
        <v>1</v>
      </c>
      <c r="AC31" s="1535">
        <f t="shared" si="5"/>
        <v>1</v>
      </c>
    </row>
    <row r="32" spans="1:29" ht="15">
      <c r="A32" s="398" t="s">
        <v>2383</v>
      </c>
      <c r="B32" s="66" t="s">
        <v>2480</v>
      </c>
      <c r="C32" s="2093"/>
      <c r="D32" s="425">
        <v>100</v>
      </c>
      <c r="E32" s="2093"/>
      <c r="F32" s="419">
        <f>SUMIF(100:100,E32,101:101)-SUMIF(100:100,C32,101:101)+100</f>
        <v>100</v>
      </c>
      <c r="G32" s="2093"/>
      <c r="H32" s="393">
        <f>SUMIF(100:100,G32,101:101)-SUMIF(100:100,C32,101:101)+100</f>
        <v>100</v>
      </c>
      <c r="I32" s="2093"/>
      <c r="J32" s="425">
        <f>SUMIF(100:100,I32,101:101)-SUMIF(100:100,C32,101:101)+100</f>
        <v>100</v>
      </c>
      <c r="K32" s="568"/>
      <c r="L32" s="2944"/>
      <c r="M32" s="2938"/>
      <c r="N32" s="2938"/>
      <c r="O32" s="2938"/>
      <c r="P32" s="3551" t="s">
        <v>2385</v>
      </c>
      <c r="Q32" s="1534" t="str">
        <f t="shared" si="11"/>
        <v>商业类型</v>
      </c>
      <c r="R32" s="713" t="s">
        <v>17</v>
      </c>
      <c r="S32" s="714">
        <f t="shared" si="12"/>
        <v>100</v>
      </c>
      <c r="T32" s="713" t="s">
        <v>17</v>
      </c>
      <c r="U32" s="714">
        <f t="shared" si="13"/>
        <v>100</v>
      </c>
      <c r="V32" s="713" t="s">
        <v>17</v>
      </c>
      <c r="W32" s="714">
        <f t="shared" si="14"/>
        <v>100</v>
      </c>
      <c r="X32" s="1537"/>
      <c r="Y32" s="3533" t="s">
        <v>2385</v>
      </c>
      <c r="Z32" s="1538" t="str">
        <f t="shared" si="15"/>
        <v>商业类型</v>
      </c>
      <c r="AA32" s="1535">
        <f t="shared" si="3"/>
        <v>1</v>
      </c>
      <c r="AB32" s="1535">
        <f t="shared" si="4"/>
        <v>1</v>
      </c>
      <c r="AC32" s="1535">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3"/>
      <c r="M33" s="2945"/>
      <c r="N33" s="2945"/>
      <c r="O33" s="2945"/>
      <c r="P33" s="3552"/>
      <c r="Q33" s="715" t="str">
        <f t="shared" si="11"/>
        <v>项目建筑规模</v>
      </c>
      <c r="R33" s="716" t="s">
        <v>17</v>
      </c>
      <c r="S33" s="717" t="e">
        <f t="shared" si="12"/>
        <v>#N/A</v>
      </c>
      <c r="T33" s="716" t="s">
        <v>17</v>
      </c>
      <c r="U33" s="717" t="e">
        <f t="shared" si="13"/>
        <v>#N/A</v>
      </c>
      <c r="V33" s="716" t="s">
        <v>17</v>
      </c>
      <c r="W33" s="717" t="e">
        <f t="shared" si="14"/>
        <v>#N/A</v>
      </c>
      <c r="X33" s="718"/>
      <c r="Y33" s="3533"/>
      <c r="Z33" s="719" t="str">
        <f t="shared" si="15"/>
        <v>项目建筑规模</v>
      </c>
      <c r="AA33" s="1535" t="e">
        <f t="shared" si="3"/>
        <v>#N/A</v>
      </c>
      <c r="AB33" s="1535" t="e">
        <f t="shared" si="4"/>
        <v>#N/A</v>
      </c>
      <c r="AC33" s="1535" t="e">
        <f t="shared" si="5"/>
        <v>#N/A</v>
      </c>
    </row>
    <row r="34" spans="1:29" ht="15">
      <c r="A34" s="430"/>
      <c r="B34" s="380" t="s">
        <v>2387</v>
      </c>
      <c r="C34" s="2095"/>
      <c r="D34" s="393">
        <v>100</v>
      </c>
      <c r="E34" s="2095"/>
      <c r="F34" s="419">
        <f>SUMIF(105:105,E34,106:106)-SUMIF(105:105,C34,106:106)+100</f>
        <v>100</v>
      </c>
      <c r="G34" s="2095"/>
      <c r="H34" s="393">
        <f>SUMIF(105:105,G34,106:106)-SUMIF(105:105,C34,106:106)+100</f>
        <v>100</v>
      </c>
      <c r="I34" s="2095"/>
      <c r="J34" s="393">
        <f>SUMIF(105:105,I34,106:106)-SUMIF(105:105,C34,106:106)+100</f>
        <v>100</v>
      </c>
      <c r="K34" s="568"/>
      <c r="L34" s="2944"/>
      <c r="M34" s="2938"/>
      <c r="N34" s="2938"/>
      <c r="O34" s="2938"/>
      <c r="P34" s="3552"/>
      <c r="Q34" s="1534" t="str">
        <f t="shared" si="11"/>
        <v>建筑结构</v>
      </c>
      <c r="R34" s="713" t="s">
        <v>17</v>
      </c>
      <c r="S34" s="714">
        <f t="shared" si="12"/>
        <v>100</v>
      </c>
      <c r="T34" s="713" t="s">
        <v>17</v>
      </c>
      <c r="U34" s="714">
        <f t="shared" si="13"/>
        <v>100</v>
      </c>
      <c r="V34" s="713" t="s">
        <v>17</v>
      </c>
      <c r="W34" s="714">
        <f t="shared" si="14"/>
        <v>100</v>
      </c>
      <c r="X34" s="1537"/>
      <c r="Y34" s="3533"/>
      <c r="Z34" s="1538" t="str">
        <f t="shared" si="15"/>
        <v>建筑结构</v>
      </c>
      <c r="AA34" s="1535">
        <f t="shared" si="3"/>
        <v>1</v>
      </c>
      <c r="AB34" s="1535">
        <f t="shared" si="4"/>
        <v>1</v>
      </c>
      <c r="AC34" s="1535">
        <f t="shared" si="5"/>
        <v>1</v>
      </c>
    </row>
    <row r="35" spans="1:29" ht="15">
      <c r="A35" s="430"/>
      <c r="B35" s="380" t="s">
        <v>2481</v>
      </c>
      <c r="C35" s="2089"/>
      <c r="D35" s="393">
        <v>100</v>
      </c>
      <c r="E35" s="2089"/>
      <c r="F35" s="419">
        <f>SUMIF(107:107,E35,108:108)-SUMIF(107:107,C35,108:108)+100</f>
        <v>100</v>
      </c>
      <c r="G35" s="2089"/>
      <c r="H35" s="393">
        <f>SUMIF(107:107,G35,108:108)-SUMIF(107:107,C35,108:108)+100</f>
        <v>100</v>
      </c>
      <c r="I35" s="2089"/>
      <c r="J35" s="393">
        <f>SUMIF(107:107,I35,108:108)-SUMIF(107:107,C35,108:108)+100</f>
        <v>100</v>
      </c>
      <c r="K35" s="568"/>
      <c r="L35" s="2944"/>
      <c r="M35" s="2938"/>
      <c r="N35" s="2938"/>
      <c r="O35" s="2938"/>
      <c r="P35" s="3552"/>
      <c r="Q35" s="1534" t="str">
        <f t="shared" si="11"/>
        <v>公共部分装修</v>
      </c>
      <c r="R35" s="713" t="s">
        <v>17</v>
      </c>
      <c r="S35" s="714">
        <f t="shared" si="12"/>
        <v>100</v>
      </c>
      <c r="T35" s="713" t="s">
        <v>17</v>
      </c>
      <c r="U35" s="714">
        <f t="shared" si="13"/>
        <v>100</v>
      </c>
      <c r="V35" s="713" t="s">
        <v>17</v>
      </c>
      <c r="W35" s="714">
        <f t="shared" si="14"/>
        <v>100</v>
      </c>
      <c r="X35" s="1537"/>
      <c r="Y35" s="3533"/>
      <c r="Z35" s="1538" t="str">
        <f t="shared" si="15"/>
        <v>公共部分装修</v>
      </c>
      <c r="AA35" s="1535">
        <f t="shared" si="3"/>
        <v>1</v>
      </c>
      <c r="AB35" s="1535">
        <f t="shared" si="4"/>
        <v>1</v>
      </c>
      <c r="AC35" s="1535">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4"/>
      <c r="M36" s="2938"/>
      <c r="N36" s="2938"/>
      <c r="O36" s="2938"/>
      <c r="P36" s="3552"/>
      <c r="Q36" s="1534" t="str">
        <f t="shared" si="11"/>
        <v>成新度</v>
      </c>
      <c r="R36" s="713" t="s">
        <v>17</v>
      </c>
      <c r="S36" s="714" t="e">
        <f t="shared" si="12"/>
        <v>#N/A</v>
      </c>
      <c r="T36" s="713" t="s">
        <v>17</v>
      </c>
      <c r="U36" s="714" t="e">
        <f t="shared" si="13"/>
        <v>#N/A</v>
      </c>
      <c r="V36" s="713" t="s">
        <v>17</v>
      </c>
      <c r="W36" s="714" t="e">
        <f t="shared" si="14"/>
        <v>#N/A</v>
      </c>
      <c r="X36" s="1537"/>
      <c r="Y36" s="3533"/>
      <c r="Z36" s="1538" t="str">
        <f t="shared" si="15"/>
        <v>成新度</v>
      </c>
      <c r="AA36" s="1535" t="e">
        <f t="shared" si="3"/>
        <v>#N/A</v>
      </c>
      <c r="AB36" s="1535" t="e">
        <f t="shared" si="4"/>
        <v>#N/A</v>
      </c>
      <c r="AC36" s="1535" t="e">
        <f t="shared" si="5"/>
        <v>#N/A</v>
      </c>
    </row>
    <row r="37" spans="1:29" s="112" customFormat="1" ht="15">
      <c r="A37" s="431"/>
      <c r="B37" s="380" t="s">
        <v>2483</v>
      </c>
      <c r="C37" s="2089"/>
      <c r="D37" s="131">
        <v>100</v>
      </c>
      <c r="E37" s="2089"/>
      <c r="F37" s="419">
        <f>SUMIF(112:112,E37,113:113)-SUMIF(112:112,C37,113:113)+100</f>
        <v>100</v>
      </c>
      <c r="G37" s="2089"/>
      <c r="H37" s="393">
        <f>SUMIF(112:112,G37,113:113)-SUMIF(112:112,C37,113:113)+100</f>
        <v>100</v>
      </c>
      <c r="I37" s="2089"/>
      <c r="J37" s="393">
        <f>SUMIF(112:112,I37,113:113)-SUMIF(112:112,C37,113:113)+100</f>
        <v>100</v>
      </c>
      <c r="K37" s="568"/>
      <c r="L37" s="2939"/>
      <c r="M37" s="2940"/>
      <c r="N37" s="2940"/>
      <c r="O37" s="2940"/>
      <c r="P37" s="3552"/>
      <c r="Q37" s="1525" t="str">
        <f t="shared" si="11"/>
        <v>市政基础设施</v>
      </c>
      <c r="R37" s="709" t="s">
        <v>17</v>
      </c>
      <c r="S37" s="710">
        <f t="shared" si="12"/>
        <v>100</v>
      </c>
      <c r="T37" s="709" t="s">
        <v>17</v>
      </c>
      <c r="U37" s="710">
        <f t="shared" si="13"/>
        <v>100</v>
      </c>
      <c r="V37" s="709" t="s">
        <v>17</v>
      </c>
      <c r="W37" s="710">
        <f t="shared" si="14"/>
        <v>100</v>
      </c>
      <c r="X37" s="711"/>
      <c r="Y37" s="3533"/>
      <c r="Z37" s="54" t="str">
        <f t="shared" si="15"/>
        <v>市政基础设施</v>
      </c>
      <c r="AA37" s="712">
        <f t="shared" si="3"/>
        <v>1</v>
      </c>
      <c r="AB37" s="712">
        <f t="shared" si="4"/>
        <v>1</v>
      </c>
      <c r="AC37" s="712">
        <f t="shared" si="5"/>
        <v>1</v>
      </c>
    </row>
    <row r="38" spans="1:29" ht="15">
      <c r="A38" s="430"/>
      <c r="B38" s="380" t="s">
        <v>2484</v>
      </c>
      <c r="C38" s="2089"/>
      <c r="D38" s="393">
        <v>100</v>
      </c>
      <c r="E38" s="2089"/>
      <c r="F38" s="419">
        <f>SUMIF(114:114,E38,115:115)-SUMIF(114:114,C38,115:115)+100</f>
        <v>100</v>
      </c>
      <c r="G38" s="2089"/>
      <c r="H38" s="393">
        <f>SUMIF(114:114,G38,115:115)-SUMIF(114:114,C38,115:115)+100</f>
        <v>100</v>
      </c>
      <c r="I38" s="2089"/>
      <c r="J38" s="393">
        <f>SUMIF(114:114,I38,115:115)-SUMIF(114:114,C38,115:115)+100</f>
        <v>100</v>
      </c>
      <c r="K38" s="568"/>
      <c r="L38" s="2944"/>
      <c r="M38" s="2938"/>
      <c r="N38" s="2938"/>
      <c r="O38" s="2938"/>
      <c r="P38" s="3552" t="s">
        <v>2385</v>
      </c>
      <c r="Q38" s="1534" t="str">
        <f t="shared" si="11"/>
        <v>业态</v>
      </c>
      <c r="R38" s="713" t="s">
        <v>17</v>
      </c>
      <c r="S38" s="714">
        <f t="shared" si="12"/>
        <v>100</v>
      </c>
      <c r="T38" s="713" t="s">
        <v>17</v>
      </c>
      <c r="U38" s="714">
        <f t="shared" si="13"/>
        <v>100</v>
      </c>
      <c r="V38" s="713" t="s">
        <v>17</v>
      </c>
      <c r="W38" s="714">
        <f t="shared" si="14"/>
        <v>100</v>
      </c>
      <c r="X38" s="1537"/>
      <c r="Y38" s="3533" t="s">
        <v>2385</v>
      </c>
      <c r="Z38" s="1538" t="str">
        <f t="shared" si="15"/>
        <v>业态</v>
      </c>
      <c r="AA38" s="1535">
        <f t="shared" si="3"/>
        <v>1</v>
      </c>
      <c r="AB38" s="1535">
        <f t="shared" si="4"/>
        <v>1</v>
      </c>
      <c r="AC38" s="1535">
        <f t="shared" si="5"/>
        <v>1</v>
      </c>
    </row>
    <row r="39" spans="1:29" ht="15">
      <c r="A39" s="430"/>
      <c r="B39" s="380" t="s">
        <v>2485</v>
      </c>
      <c r="C39" s="2089"/>
      <c r="D39" s="393">
        <v>100</v>
      </c>
      <c r="E39" s="2089"/>
      <c r="F39" s="419">
        <f>SUMIF(116:116,E39,117:117)-SUMIF(116:116,C39,117:117)+100</f>
        <v>100</v>
      </c>
      <c r="G39" s="2089"/>
      <c r="H39" s="393">
        <f>SUMIF(116:116,G39,117:117)-SUMIF(116:116,C39,117:117)+100</f>
        <v>100</v>
      </c>
      <c r="I39" s="2089"/>
      <c r="J39" s="393">
        <f>SUMIF(116:116,I39,117:117)-SUMIF(116:116,C39,117:117)+100</f>
        <v>100</v>
      </c>
      <c r="K39" s="568"/>
      <c r="L39" s="2944"/>
      <c r="M39" s="2938"/>
      <c r="N39" s="2938"/>
      <c r="O39" s="2938"/>
      <c r="P39" s="3552"/>
      <c r="Q39" s="1534" t="str">
        <f t="shared" si="11"/>
        <v>层高</v>
      </c>
      <c r="R39" s="713" t="s">
        <v>17</v>
      </c>
      <c r="S39" s="714">
        <f t="shared" si="12"/>
        <v>100</v>
      </c>
      <c r="T39" s="713" t="s">
        <v>17</v>
      </c>
      <c r="U39" s="714">
        <f t="shared" si="13"/>
        <v>100</v>
      </c>
      <c r="V39" s="713" t="s">
        <v>17</v>
      </c>
      <c r="W39" s="714">
        <f t="shared" si="14"/>
        <v>100</v>
      </c>
      <c r="X39" s="1537"/>
      <c r="Y39" s="3533"/>
      <c r="Z39" s="1538" t="str">
        <f t="shared" si="15"/>
        <v>层高</v>
      </c>
      <c r="AA39" s="1535">
        <f t="shared" si="3"/>
        <v>1</v>
      </c>
      <c r="AB39" s="1535">
        <f t="shared" si="4"/>
        <v>1</v>
      </c>
      <c r="AC39" s="1535">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4"/>
      <c r="M40" s="2938"/>
      <c r="N40" s="2938"/>
      <c r="O40" s="2938"/>
      <c r="P40" s="3552"/>
      <c r="Q40" s="1534" t="str">
        <f t="shared" si="11"/>
        <v>单套建筑面积</v>
      </c>
      <c r="R40" s="713" t="s">
        <v>17</v>
      </c>
      <c r="S40" s="714">
        <f t="shared" si="12"/>
        <v>100</v>
      </c>
      <c r="T40" s="713" t="s">
        <v>17</v>
      </c>
      <c r="U40" s="714">
        <f t="shared" si="13"/>
        <v>100</v>
      </c>
      <c r="V40" s="713" t="s">
        <v>17</v>
      </c>
      <c r="W40" s="714">
        <f t="shared" si="14"/>
        <v>100</v>
      </c>
      <c r="X40" s="1537"/>
      <c r="Y40" s="3533"/>
      <c r="Z40" s="1538" t="str">
        <f t="shared" si="15"/>
        <v>单套建筑面积</v>
      </c>
      <c r="AA40" s="1535">
        <f t="shared" si="3"/>
        <v>1</v>
      </c>
      <c r="AB40" s="1535">
        <f t="shared" si="4"/>
        <v>1</v>
      </c>
      <c r="AC40" s="1535">
        <f t="shared" si="5"/>
        <v>1</v>
      </c>
    </row>
    <row r="41" spans="1:29" s="429" customFormat="1" ht="15">
      <c r="A41" s="426"/>
      <c r="B41" s="1536"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3"/>
      <c r="M41" s="2945"/>
      <c r="N41" s="2945"/>
      <c r="O41" s="2945"/>
      <c r="P41" s="3552"/>
      <c r="Q41" s="715" t="str">
        <f t="shared" si="11"/>
        <v>进深比</v>
      </c>
      <c r="R41" s="716" t="s">
        <v>17</v>
      </c>
      <c r="S41" s="717">
        <f t="shared" si="12"/>
        <v>100</v>
      </c>
      <c r="T41" s="716" t="s">
        <v>17</v>
      </c>
      <c r="U41" s="717">
        <f t="shared" si="13"/>
        <v>100</v>
      </c>
      <c r="V41" s="716" t="s">
        <v>17</v>
      </c>
      <c r="W41" s="717">
        <f t="shared" si="14"/>
        <v>100</v>
      </c>
      <c r="X41" s="718"/>
      <c r="Y41" s="3533"/>
      <c r="Z41" s="719" t="str">
        <f t="shared" si="15"/>
        <v>进深比</v>
      </c>
      <c r="AA41" s="1535">
        <f t="shared" si="3"/>
        <v>1</v>
      </c>
      <c r="AB41" s="1535">
        <f t="shared" si="4"/>
        <v>1</v>
      </c>
      <c r="AC41" s="1535">
        <f t="shared" si="5"/>
        <v>1</v>
      </c>
    </row>
    <row r="42" spans="1:29" ht="15">
      <c r="A42" s="430"/>
      <c r="B42" s="380" t="s">
        <v>2488</v>
      </c>
      <c r="C42" s="2089"/>
      <c r="D42" s="393">
        <v>100</v>
      </c>
      <c r="E42" s="2089"/>
      <c r="F42" s="419">
        <f>SUMIF(122:122,E42,123:123)-SUMIF(122:122,C42,123:123)+100</f>
        <v>100</v>
      </c>
      <c r="G42" s="2089"/>
      <c r="H42" s="393">
        <f>SUMIF(122:122,G42,123:123)-SUMIF(122:122,C42,123:123)+100</f>
        <v>100</v>
      </c>
      <c r="I42" s="2089"/>
      <c r="J42" s="393">
        <f>SUMIF(122:122,I42,123:123)-SUMIF(122:122,C42,123:123)+100</f>
        <v>100</v>
      </c>
      <c r="K42" s="568"/>
      <c r="L42" s="2944"/>
      <c r="M42" s="2938"/>
      <c r="N42" s="2938"/>
      <c r="O42" s="2938"/>
      <c r="P42" s="3552"/>
      <c r="Q42" s="1534" t="str">
        <f t="shared" si="11"/>
        <v>内部装修</v>
      </c>
      <c r="R42" s="713" t="s">
        <v>17</v>
      </c>
      <c r="S42" s="714">
        <f t="shared" si="12"/>
        <v>100</v>
      </c>
      <c r="T42" s="713" t="s">
        <v>17</v>
      </c>
      <c r="U42" s="714">
        <f t="shared" si="13"/>
        <v>100</v>
      </c>
      <c r="V42" s="713" t="s">
        <v>17</v>
      </c>
      <c r="W42" s="714">
        <f t="shared" si="14"/>
        <v>100</v>
      </c>
      <c r="X42" s="1537"/>
      <c r="Y42" s="3533"/>
      <c r="Z42" s="1538" t="str">
        <f t="shared" si="15"/>
        <v>内部装修</v>
      </c>
      <c r="AA42" s="1535">
        <f t="shared" si="3"/>
        <v>1</v>
      </c>
      <c r="AB42" s="1535">
        <f t="shared" si="4"/>
        <v>1</v>
      </c>
      <c r="AC42" s="1535">
        <f t="shared" si="5"/>
        <v>1</v>
      </c>
    </row>
    <row r="43" spans="1:29" ht="15">
      <c r="A43" s="430"/>
      <c r="B43" s="380" t="s">
        <v>2396</v>
      </c>
      <c r="C43" s="2089"/>
      <c r="D43" s="393">
        <v>100</v>
      </c>
      <c r="E43" s="2089"/>
      <c r="F43" s="419">
        <f>SUMIF(124:124,E43,125:125)-SUMIF(124:124,C43,125:125)+100</f>
        <v>100</v>
      </c>
      <c r="G43" s="2089"/>
      <c r="H43" s="393">
        <f>SUMIF(124:124,G43,125:125)-SUMIF(124:124,C43,125:125)+100</f>
        <v>100</v>
      </c>
      <c r="I43" s="2089"/>
      <c r="J43" s="393">
        <f>SUMIF(124:124,I43,125:125)-SUMIF(124:124,C43,125:125)+100</f>
        <v>100</v>
      </c>
      <c r="K43" s="568"/>
      <c r="L43" s="2944"/>
      <c r="M43" s="2938"/>
      <c r="N43" s="2938"/>
      <c r="O43" s="2938"/>
      <c r="P43" s="3552"/>
      <c r="Q43" s="1534" t="str">
        <f t="shared" si="11"/>
        <v>内部装修维护情况</v>
      </c>
      <c r="R43" s="713" t="s">
        <v>17</v>
      </c>
      <c r="S43" s="714">
        <f t="shared" si="12"/>
        <v>100</v>
      </c>
      <c r="T43" s="713" t="s">
        <v>17</v>
      </c>
      <c r="U43" s="714">
        <f t="shared" si="13"/>
        <v>100</v>
      </c>
      <c r="V43" s="713" t="s">
        <v>17</v>
      </c>
      <c r="W43" s="714">
        <f t="shared" si="14"/>
        <v>100</v>
      </c>
      <c r="X43" s="1537"/>
      <c r="Y43" s="3533"/>
      <c r="Z43" s="1538" t="str">
        <f t="shared" si="15"/>
        <v>内部装修维护情况</v>
      </c>
      <c r="AA43" s="1535">
        <f t="shared" si="3"/>
        <v>1</v>
      </c>
      <c r="AB43" s="1535">
        <f t="shared" si="4"/>
        <v>1</v>
      </c>
      <c r="AC43" s="1535">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9"/>
      <c r="M44" s="2940"/>
      <c r="N44" s="2940"/>
      <c r="O44" s="2940"/>
      <c r="P44" s="3552"/>
      <c r="Q44" s="1525">
        <f t="shared" si="11"/>
        <v>111</v>
      </c>
      <c r="R44" s="709" t="s">
        <v>17</v>
      </c>
      <c r="S44" s="710">
        <f t="shared" si="12"/>
        <v>100</v>
      </c>
      <c r="T44" s="709" t="s">
        <v>17</v>
      </c>
      <c r="U44" s="710">
        <f t="shared" si="13"/>
        <v>100</v>
      </c>
      <c r="V44" s="709" t="s">
        <v>17</v>
      </c>
      <c r="W44" s="710">
        <f t="shared" si="14"/>
        <v>100</v>
      </c>
      <c r="X44" s="711"/>
      <c r="Y44" s="3533"/>
      <c r="Z44" s="54">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4"/>
      <c r="M45" s="2938"/>
      <c r="N45" s="2938"/>
      <c r="O45" s="2938"/>
      <c r="P45" s="3552"/>
      <c r="Q45" s="1534">
        <f t="shared" si="11"/>
        <v>111</v>
      </c>
      <c r="R45" s="713" t="s">
        <v>17</v>
      </c>
      <c r="S45" s="714">
        <f t="shared" si="12"/>
        <v>100</v>
      </c>
      <c r="T45" s="713" t="s">
        <v>17</v>
      </c>
      <c r="U45" s="714">
        <f t="shared" si="13"/>
        <v>100</v>
      </c>
      <c r="V45" s="713" t="s">
        <v>17</v>
      </c>
      <c r="W45" s="714">
        <f t="shared" si="14"/>
        <v>100</v>
      </c>
      <c r="X45" s="1537"/>
      <c r="Y45" s="3533"/>
      <c r="Z45" s="1538">
        <f t="shared" si="15"/>
        <v>111</v>
      </c>
      <c r="AA45" s="1535">
        <f t="shared" si="3"/>
        <v>1</v>
      </c>
      <c r="AB45" s="1535">
        <f t="shared" si="4"/>
        <v>1</v>
      </c>
      <c r="AC45" s="1535">
        <f t="shared" si="5"/>
        <v>1</v>
      </c>
    </row>
    <row r="46" spans="1:29" ht="15.75" thickBot="1">
      <c r="A46" s="436"/>
      <c r="B46" s="207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4"/>
      <c r="M46" s="2938"/>
      <c r="N46" s="2938"/>
      <c r="O46" s="2938"/>
      <c r="P46" s="3553"/>
      <c r="Q46" s="1534">
        <f t="shared" si="11"/>
        <v>111</v>
      </c>
      <c r="R46" s="713" t="s">
        <v>17</v>
      </c>
      <c r="S46" s="714">
        <f t="shared" si="12"/>
        <v>100</v>
      </c>
      <c r="T46" s="713" t="s">
        <v>17</v>
      </c>
      <c r="U46" s="714">
        <f t="shared" si="13"/>
        <v>100</v>
      </c>
      <c r="V46" s="713" t="s">
        <v>17</v>
      </c>
      <c r="W46" s="714">
        <f t="shared" si="14"/>
        <v>100</v>
      </c>
      <c r="X46" s="1537"/>
      <c r="Y46" s="3554"/>
      <c r="Z46" s="1538">
        <f t="shared" si="15"/>
        <v>111</v>
      </c>
      <c r="AA46" s="1535">
        <f t="shared" si="3"/>
        <v>1</v>
      </c>
      <c r="AB46" s="1535">
        <f t="shared" si="4"/>
        <v>1</v>
      </c>
      <c r="AC46" s="1535">
        <f t="shared" si="5"/>
        <v>1</v>
      </c>
    </row>
    <row r="47" spans="1:29" ht="15">
      <c r="A47" s="437" t="s">
        <v>2397</v>
      </c>
      <c r="B47" s="438"/>
      <c r="C47" s="1315" t="s">
        <v>1</v>
      </c>
      <c r="D47" s="1316"/>
      <c r="E47" s="1317"/>
      <c r="F47" s="1318"/>
      <c r="G47" s="1319"/>
      <c r="H47" s="1320"/>
      <c r="I47" s="1317"/>
      <c r="J47" s="1320"/>
      <c r="K47" s="722"/>
      <c r="L47" s="2946"/>
      <c r="M47" s="2947"/>
      <c r="N47" s="2938"/>
      <c r="O47" s="2947"/>
      <c r="P47" s="3515" t="str">
        <f>A47</f>
        <v>成交单价（元/平方米）</v>
      </c>
      <c r="Q47" s="3515"/>
      <c r="R47" s="3528">
        <f>E47</f>
        <v>0</v>
      </c>
      <c r="S47" s="3528"/>
      <c r="T47" s="3528">
        <f>G47</f>
        <v>0</v>
      </c>
      <c r="U47" s="3528"/>
      <c r="V47" s="3528">
        <f>I47</f>
        <v>0</v>
      </c>
      <c r="W47" s="3528"/>
      <c r="X47" s="698"/>
      <c r="Y47" s="720"/>
      <c r="Z47" s="698"/>
      <c r="AA47" s="698"/>
      <c r="AB47" s="698"/>
      <c r="AC47" s="698"/>
    </row>
    <row r="48" spans="1:29" ht="15.75" thickBot="1">
      <c r="A48" s="444" t="s">
        <v>2489</v>
      </c>
      <c r="B48" s="445"/>
      <c r="C48" s="1321" t="e">
        <f>R49</f>
        <v>#DIV/0!</v>
      </c>
      <c r="D48" s="2535" t="s">
        <v>2880</v>
      </c>
      <c r="E48" s="1322" t="e">
        <f>R48</f>
        <v>#DIV/0!</v>
      </c>
      <c r="F48" s="2536"/>
      <c r="G48" s="1321" t="e">
        <f>T48</f>
        <v>#DIV/0!</v>
      </c>
      <c r="H48" s="2536"/>
      <c r="I48" s="1322" t="e">
        <f>V48</f>
        <v>#DIV/0!</v>
      </c>
      <c r="J48" s="2536"/>
      <c r="K48" s="2538">
        <f>F48+H48+J48</f>
        <v>0</v>
      </c>
      <c r="L48" s="2946"/>
      <c r="M48" s="2947"/>
      <c r="N48" s="2938"/>
      <c r="O48" s="2947"/>
      <c r="P48" s="3515" t="str">
        <f>A48</f>
        <v>比较价值（元/平方米）</v>
      </c>
      <c r="Q48" s="351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98"/>
      <c r="Y48" s="698"/>
      <c r="Z48" s="698"/>
      <c r="AA48" s="698"/>
      <c r="AB48" s="698"/>
      <c r="AC48" s="698"/>
    </row>
    <row r="49" spans="1:29" ht="15.75" thickBot="1">
      <c r="A49" s="448" t="s">
        <v>2490</v>
      </c>
      <c r="B49" s="449"/>
      <c r="C49" s="1324" t="e">
        <f>R49</f>
        <v>#DIV/0!</v>
      </c>
      <c r="D49" s="1324"/>
      <c r="E49" s="1324"/>
      <c r="F49" s="1324"/>
      <c r="G49" s="1324"/>
      <c r="H49" s="1324"/>
      <c r="I49" s="1324"/>
      <c r="J49" s="1324"/>
      <c r="K49" s="723"/>
      <c r="L49" s="2946"/>
      <c r="M49" s="2947"/>
      <c r="N49" s="2938"/>
      <c r="O49" s="2947"/>
      <c r="P49" s="3535" t="str">
        <f>A49</f>
        <v>估价对象XX用房的比较价值（楼面单价，元/平方米）</v>
      </c>
      <c r="Q49" s="3536"/>
      <c r="R49" s="3549" t="e">
        <f>IF(F1="售价",ROUND(IF(D48="简单平均",AVERAGE(R48:V48),R48*F48+T48*H48+V48*J48),0),ROUND(IF(D48="简单平均",AVERAGE(R48:V48),R48*F48+T48*H48+V48*J48),1))</f>
        <v>#DIV/0!</v>
      </c>
      <c r="S49" s="3549"/>
      <c r="T49" s="3549"/>
      <c r="U49" s="3549"/>
      <c r="V49" s="3549"/>
      <c r="W49" s="3549"/>
      <c r="X49" s="698"/>
      <c r="Y49" s="698"/>
      <c r="Z49" s="698"/>
      <c r="AA49" s="698"/>
      <c r="AB49" s="698"/>
      <c r="AC49" s="698"/>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58" customFormat="1" ht="13.5" customHeight="1">
      <c r="A54" s="2950"/>
      <c r="B54" s="2950"/>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58"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2" t="s">
        <v>2494</v>
      </c>
      <c r="B57" s="698"/>
      <c r="C57" s="703"/>
      <c r="D57" s="703"/>
      <c r="E57" s="703"/>
      <c r="F57" s="704"/>
      <c r="G57" s="704"/>
      <c r="H57" s="703"/>
      <c r="I57" s="703"/>
      <c r="J57" s="703"/>
      <c r="K57" s="705"/>
      <c r="L57" s="1072"/>
      <c r="M57" s="1070"/>
      <c r="N57" s="1070"/>
      <c r="O57" s="1070"/>
      <c r="P57" s="2960"/>
      <c r="Q57" s="2961"/>
      <c r="R57" s="2947"/>
      <c r="S57" s="2947"/>
      <c r="T57" s="2947"/>
      <c r="U57" s="2947"/>
      <c r="V57" s="2947"/>
      <c r="W57" s="2947"/>
      <c r="X57" s="2947"/>
      <c r="Y57" s="2947"/>
      <c r="Z57" s="2947"/>
      <c r="AA57" s="2947"/>
      <c r="AB57" s="2947"/>
      <c r="AC57" s="2947"/>
    </row>
    <row r="58" spans="1:29" s="464" customFormat="1" ht="15">
      <c r="A58" s="461" t="s">
        <v>2368</v>
      </c>
      <c r="B58" s="462"/>
      <c r="C58" s="1344" t="str">
        <f>YEAR(C7)&amp;"-"&amp;MONTH(C7)</f>
        <v>2021-10</v>
      </c>
      <c r="D58" s="1345">
        <f>EDATE(C58,-1)</f>
        <v>44440</v>
      </c>
      <c r="E58" s="1345">
        <f t="shared" ref="E58:N58" si="16">EDATE(D58,-1)</f>
        <v>44409</v>
      </c>
      <c r="F58" s="1345">
        <f t="shared" si="16"/>
        <v>44378</v>
      </c>
      <c r="G58" s="1345">
        <f t="shared" si="16"/>
        <v>44348</v>
      </c>
      <c r="H58" s="1345">
        <f t="shared" si="16"/>
        <v>44317</v>
      </c>
      <c r="I58" s="1345">
        <f t="shared" si="16"/>
        <v>44287</v>
      </c>
      <c r="J58" s="1345">
        <f t="shared" si="16"/>
        <v>44256</v>
      </c>
      <c r="K58" s="1345">
        <f t="shared" si="16"/>
        <v>44228</v>
      </c>
      <c r="L58" s="1345">
        <f t="shared" si="16"/>
        <v>44197</v>
      </c>
      <c r="M58" s="1345">
        <f t="shared" si="16"/>
        <v>44166</v>
      </c>
      <c r="N58" s="1345">
        <f t="shared" si="16"/>
        <v>44136</v>
      </c>
      <c r="O58" s="1345">
        <f>EDATE(N58,-1)</f>
        <v>44105</v>
      </c>
      <c r="P58" s="2962"/>
      <c r="Q58" s="2963"/>
      <c r="R58" s="2963"/>
      <c r="S58" s="2963"/>
      <c r="T58" s="2963"/>
      <c r="U58" s="2963"/>
      <c r="V58" s="2963"/>
      <c r="W58" s="2963"/>
      <c r="X58" s="2963"/>
      <c r="Y58" s="2963"/>
      <c r="Z58" s="2963"/>
      <c r="AA58" s="2963"/>
      <c r="AB58" s="2963"/>
      <c r="AC58" s="2963"/>
    </row>
    <row r="59" spans="1:29" s="112" customFormat="1" ht="15">
      <c r="A59" s="465"/>
      <c r="B59" s="466"/>
      <c r="C59" s="1343">
        <v>100</v>
      </c>
      <c r="D59" s="468"/>
      <c r="E59" s="468"/>
      <c r="F59" s="468"/>
      <c r="G59" s="468"/>
      <c r="H59" s="468"/>
      <c r="I59" s="468"/>
      <c r="J59" s="468"/>
      <c r="K59" s="468"/>
      <c r="L59" s="468"/>
      <c r="M59" s="469"/>
      <c r="N59" s="468"/>
      <c r="O59" s="469"/>
      <c r="P59" s="2964"/>
      <c r="Q59" s="2882"/>
      <c r="R59" s="2882"/>
      <c r="S59" s="2882"/>
      <c r="T59" s="2882"/>
      <c r="U59" s="2882"/>
      <c r="V59" s="2882"/>
      <c r="W59" s="2882"/>
      <c r="X59" s="2882"/>
      <c r="Y59" s="2882"/>
      <c r="Z59" s="2882"/>
      <c r="AA59" s="2882"/>
      <c r="AB59" s="2882"/>
      <c r="AC59" s="2882"/>
    </row>
    <row r="60" spans="1:29" s="112" customFormat="1" ht="15.75" thickBot="1">
      <c r="A60" s="471" t="s">
        <v>2405</v>
      </c>
      <c r="B60" s="472"/>
      <c r="C60" s="473"/>
      <c r="D60" s="474"/>
      <c r="E60" s="474"/>
      <c r="F60" s="474"/>
      <c r="G60" s="474"/>
      <c r="H60" s="474"/>
      <c r="I60" s="474"/>
      <c r="J60" s="474"/>
      <c r="K60" s="474"/>
      <c r="L60" s="474"/>
      <c r="M60" s="475"/>
      <c r="N60" s="474"/>
      <c r="O60" s="475"/>
      <c r="P60" s="2964"/>
      <c r="Q60" s="2961"/>
      <c r="R60" s="2882"/>
      <c r="S60" s="2882"/>
      <c r="T60" s="2882"/>
      <c r="U60" s="2882"/>
      <c r="V60" s="2882"/>
      <c r="W60" s="2882"/>
      <c r="X60" s="2882"/>
      <c r="Y60" s="2882"/>
      <c r="Z60" s="2882"/>
      <c r="AA60" s="2882"/>
      <c r="AB60" s="2882"/>
      <c r="AC60" s="2882"/>
    </row>
    <row r="61" spans="1:29" s="112" customFormat="1" ht="15">
      <c r="A61" s="477" t="s">
        <v>2370</v>
      </c>
      <c r="B61" s="466"/>
      <c r="C61" s="478" t="s">
        <v>2472</v>
      </c>
      <c r="D61" s="479"/>
      <c r="E61" s="479"/>
      <c r="F61" s="479"/>
      <c r="G61" s="479"/>
      <c r="H61" s="479"/>
      <c r="I61" s="479"/>
      <c r="J61" s="479"/>
      <c r="K61" s="479"/>
      <c r="L61" s="480"/>
      <c r="M61" s="481"/>
      <c r="N61" s="2974"/>
      <c r="O61" s="2974"/>
      <c r="P61" s="2965"/>
      <c r="Q61" s="2961"/>
      <c r="R61" s="2882"/>
      <c r="S61" s="2882"/>
      <c r="T61" s="2882"/>
      <c r="U61" s="2882"/>
      <c r="V61" s="2882"/>
      <c r="W61" s="2882"/>
      <c r="X61" s="2882"/>
      <c r="Y61" s="2882"/>
      <c r="Z61" s="2882"/>
      <c r="AA61" s="2882"/>
      <c r="AB61" s="2882"/>
      <c r="AC61" s="2882"/>
    </row>
    <row r="62" spans="1:29" s="112" customFormat="1" ht="15.75" thickBot="1">
      <c r="A62" s="477"/>
      <c r="B62" s="466"/>
      <c r="C62" s="467">
        <v>100</v>
      </c>
      <c r="D62" s="468"/>
      <c r="E62" s="468"/>
      <c r="F62" s="468"/>
      <c r="G62" s="468"/>
      <c r="H62" s="468"/>
      <c r="I62" s="468"/>
      <c r="J62" s="468"/>
      <c r="K62" s="468"/>
      <c r="L62" s="468"/>
      <c r="M62" s="470"/>
      <c r="N62" s="2974"/>
      <c r="O62" s="2974"/>
      <c r="P62" s="2964"/>
      <c r="Q62" s="2961"/>
      <c r="R62" s="2882"/>
      <c r="S62" s="2882"/>
      <c r="T62" s="2882"/>
      <c r="U62" s="2882"/>
      <c r="V62" s="2882"/>
      <c r="W62" s="2882"/>
      <c r="X62" s="2882"/>
      <c r="Y62" s="2882"/>
      <c r="Z62" s="2882"/>
      <c r="AA62" s="2882"/>
      <c r="AB62" s="2882"/>
      <c r="AC62" s="2882"/>
    </row>
    <row r="63" spans="1:29">
      <c r="A63" s="483" t="s">
        <v>2408</v>
      </c>
      <c r="B63" s="484" t="s">
        <v>2374</v>
      </c>
      <c r="C63" s="485">
        <f>C9</f>
        <v>0</v>
      </c>
      <c r="D63" s="486"/>
      <c r="E63" s="486"/>
      <c r="F63" s="486"/>
      <c r="G63" s="486"/>
      <c r="H63" s="486"/>
      <c r="I63" s="486"/>
      <c r="J63" s="486"/>
      <c r="K63" s="487"/>
      <c r="L63" s="488"/>
      <c r="M63" s="489"/>
      <c r="N63" s="2975"/>
      <c r="O63" s="2975"/>
      <c r="P63" s="2966"/>
      <c r="Q63" s="2961"/>
      <c r="R63" s="2947"/>
      <c r="S63" s="2947"/>
      <c r="T63" s="2947"/>
      <c r="U63" s="2947"/>
      <c r="V63" s="2947"/>
      <c r="W63" s="2947"/>
      <c r="X63" s="2947"/>
      <c r="Y63" s="2947"/>
      <c r="Z63" s="2947"/>
      <c r="AA63" s="2947"/>
      <c r="AB63" s="2947"/>
      <c r="AC63" s="2947"/>
    </row>
    <row r="64" spans="1:29" ht="15.75" thickBot="1">
      <c r="A64" s="490"/>
      <c r="B64" s="491"/>
      <c r="C64" s="492">
        <v>100</v>
      </c>
      <c r="D64" s="492"/>
      <c r="E64" s="492"/>
      <c r="F64" s="492"/>
      <c r="G64" s="492"/>
      <c r="H64" s="492"/>
      <c r="I64" s="492"/>
      <c r="J64" s="492"/>
      <c r="K64" s="492"/>
      <c r="L64" s="492"/>
      <c r="M64" s="493"/>
      <c r="N64" s="2976"/>
      <c r="O64" s="2976"/>
      <c r="P64" s="2966"/>
      <c r="Q64" s="2961"/>
      <c r="R64" s="2947"/>
      <c r="S64" s="2947"/>
      <c r="T64" s="2947"/>
      <c r="U64" s="2947"/>
      <c r="V64" s="2947"/>
      <c r="W64" s="2947"/>
      <c r="X64" s="2947"/>
      <c r="Y64" s="2947"/>
      <c r="Z64" s="2947"/>
      <c r="AA64" s="2947"/>
      <c r="AB64" s="2947"/>
      <c r="AC64" s="2947"/>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75"/>
      <c r="O65" s="2975"/>
      <c r="P65" s="2966"/>
      <c r="Q65" s="2961"/>
      <c r="R65" s="2947"/>
      <c r="S65" s="2947"/>
      <c r="T65" s="2947"/>
      <c r="U65" s="2947"/>
      <c r="V65" s="2947"/>
      <c r="W65" s="2947"/>
      <c r="X65" s="2947"/>
      <c r="Y65" s="2947"/>
      <c r="Z65" s="2947"/>
      <c r="AA65" s="2947"/>
      <c r="AB65" s="2947"/>
      <c r="AC65" s="294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6"/>
      <c r="O66" s="2976"/>
      <c r="P66" s="2966"/>
      <c r="Q66" s="2961"/>
      <c r="R66" s="2947"/>
      <c r="S66" s="2947"/>
      <c r="T66" s="2947"/>
      <c r="U66" s="2947"/>
      <c r="V66" s="2947"/>
      <c r="W66" s="2947"/>
      <c r="X66" s="2947"/>
      <c r="Y66" s="2947"/>
      <c r="Z66" s="2947"/>
      <c r="AA66" s="2947"/>
      <c r="AB66" s="2947"/>
      <c r="AC66" s="2947"/>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0"/>
      <c r="B68" s="504"/>
      <c r="C68" s="505"/>
      <c r="D68" s="505"/>
      <c r="E68" s="505"/>
      <c r="F68" s="505"/>
      <c r="G68" s="505"/>
      <c r="H68" s="505"/>
      <c r="I68" s="505"/>
      <c r="J68" s="505"/>
      <c r="K68" s="506"/>
      <c r="L68" s="507"/>
      <c r="M68" s="508"/>
      <c r="N68" s="2975"/>
      <c r="O68" s="2975"/>
      <c r="P68" s="2966"/>
      <c r="Q68" s="2961"/>
      <c r="R68" s="2947"/>
      <c r="S68" s="2947"/>
      <c r="T68" s="2947"/>
      <c r="U68" s="2947"/>
      <c r="V68" s="2947"/>
      <c r="W68" s="2947"/>
      <c r="X68" s="2947"/>
      <c r="Y68" s="2947"/>
      <c r="Z68" s="2947"/>
      <c r="AA68" s="2947"/>
      <c r="AB68" s="2947"/>
      <c r="AC68" s="294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6"/>
      <c r="O69" s="2976"/>
      <c r="P69" s="2966"/>
      <c r="Q69" s="2961"/>
      <c r="R69" s="2947"/>
      <c r="S69" s="2947"/>
      <c r="T69" s="2947"/>
      <c r="U69" s="2947"/>
      <c r="V69" s="2947"/>
      <c r="W69" s="2947"/>
      <c r="X69" s="2947"/>
      <c r="Y69" s="2947"/>
      <c r="Z69" s="2947"/>
      <c r="AA69" s="2947"/>
      <c r="AB69" s="2947"/>
      <c r="AC69" s="2947"/>
    </row>
    <row r="70" spans="1:29" s="429" customFormat="1" ht="15.75" thickTop="1">
      <c r="A70" s="509"/>
      <c r="B70" s="494">
        <f>B12</f>
        <v>111</v>
      </c>
      <c r="C70" s="510"/>
      <c r="D70" s="510"/>
      <c r="E70" s="510"/>
      <c r="F70" s="510"/>
      <c r="G70" s="510"/>
      <c r="H70" s="511"/>
      <c r="I70" s="511"/>
      <c r="J70" s="511"/>
      <c r="K70" s="511"/>
      <c r="L70" s="512"/>
      <c r="M70" s="513"/>
      <c r="N70" s="2977"/>
      <c r="O70" s="2977"/>
      <c r="P70" s="2967"/>
      <c r="Q70" s="2968"/>
      <c r="R70" s="2969"/>
      <c r="S70" s="2969"/>
      <c r="T70" s="2969"/>
      <c r="U70" s="2969"/>
      <c r="V70" s="2969"/>
      <c r="W70" s="2969"/>
      <c r="X70" s="2969"/>
      <c r="Y70" s="2969"/>
      <c r="Z70" s="2969"/>
      <c r="AA70" s="2969"/>
      <c r="AB70" s="2969"/>
      <c r="AC70" s="2969"/>
    </row>
    <row r="71" spans="1:29" s="429" customFormat="1" ht="15.75" thickBot="1">
      <c r="A71" s="509"/>
      <c r="B71" s="499"/>
      <c r="C71" s="516"/>
      <c r="D71" s="492"/>
      <c r="E71" s="492"/>
      <c r="F71" s="492"/>
      <c r="G71" s="492"/>
      <c r="H71" s="492"/>
      <c r="I71" s="492"/>
      <c r="J71" s="492"/>
      <c r="K71" s="492"/>
      <c r="L71" s="492"/>
      <c r="M71" s="493"/>
      <c r="N71" s="2976"/>
      <c r="O71" s="2976"/>
      <c r="P71" s="2967"/>
      <c r="Q71" s="2968"/>
      <c r="R71" s="2969"/>
      <c r="S71" s="2969"/>
      <c r="T71" s="2969"/>
      <c r="U71" s="2969"/>
      <c r="V71" s="2969"/>
      <c r="W71" s="2969"/>
      <c r="X71" s="2969"/>
      <c r="Y71" s="2969"/>
      <c r="Z71" s="2969"/>
      <c r="AA71" s="2969"/>
      <c r="AB71" s="2969"/>
      <c r="AC71" s="2969"/>
    </row>
    <row r="72" spans="1:29" s="429" customFormat="1" ht="15.75" thickTop="1">
      <c r="A72" s="509"/>
      <c r="B72" s="494">
        <f>B13</f>
        <v>111</v>
      </c>
      <c r="C72" s="510"/>
      <c r="D72" s="510"/>
      <c r="E72" s="510"/>
      <c r="F72" s="510"/>
      <c r="G72" s="510"/>
      <c r="H72" s="511"/>
      <c r="I72" s="511"/>
      <c r="J72" s="511"/>
      <c r="K72" s="511"/>
      <c r="L72" s="512"/>
      <c r="M72" s="513"/>
      <c r="N72" s="2977"/>
      <c r="O72" s="2977"/>
      <c r="P72" s="2970"/>
      <c r="Q72" s="2971"/>
      <c r="R72" s="2969"/>
      <c r="S72" s="2969"/>
      <c r="T72" s="2969"/>
      <c r="U72" s="2969"/>
      <c r="V72" s="2969"/>
      <c r="W72" s="2969"/>
      <c r="X72" s="2969"/>
      <c r="Y72" s="2969"/>
      <c r="Z72" s="2969"/>
      <c r="AA72" s="2969"/>
      <c r="AB72" s="2969"/>
      <c r="AC72" s="2969"/>
    </row>
    <row r="73" spans="1:29" s="429" customFormat="1" ht="15.75" thickBot="1">
      <c r="A73" s="509"/>
      <c r="B73" s="499"/>
      <c r="C73" s="516"/>
      <c r="D73" s="492"/>
      <c r="E73" s="492"/>
      <c r="F73" s="492"/>
      <c r="G73" s="516"/>
      <c r="H73" s="518"/>
      <c r="I73" s="518"/>
      <c r="J73" s="518"/>
      <c r="K73" s="518"/>
      <c r="L73" s="518"/>
      <c r="M73" s="519"/>
      <c r="N73" s="2977"/>
      <c r="O73" s="2977"/>
      <c r="P73" s="2967"/>
      <c r="Q73" s="2968"/>
      <c r="R73" s="2969"/>
      <c r="S73" s="2969"/>
      <c r="T73" s="2969"/>
      <c r="U73" s="2969"/>
      <c r="V73" s="2969"/>
      <c r="W73" s="2969"/>
      <c r="X73" s="2969"/>
      <c r="Y73" s="2969"/>
      <c r="Z73" s="2969"/>
      <c r="AA73" s="2969"/>
      <c r="AB73" s="2969"/>
      <c r="AC73" s="2969"/>
    </row>
    <row r="74" spans="1:29" s="429" customFormat="1" ht="15.75" thickTop="1">
      <c r="A74" s="509"/>
      <c r="B74" s="502">
        <f>B14</f>
        <v>111</v>
      </c>
      <c r="C74" s="510"/>
      <c r="D74" s="510"/>
      <c r="E74" s="510"/>
      <c r="F74" s="510"/>
      <c r="G74" s="479"/>
      <c r="H74" s="520"/>
      <c r="I74" s="520"/>
      <c r="J74" s="520"/>
      <c r="K74" s="520"/>
      <c r="L74" s="521"/>
      <c r="M74" s="522"/>
      <c r="N74" s="2977"/>
      <c r="O74" s="2977"/>
      <c r="P74" s="2972"/>
      <c r="Q74" s="2968"/>
      <c r="R74" s="2969"/>
      <c r="S74" s="2969"/>
      <c r="T74" s="2969"/>
      <c r="U74" s="2969"/>
      <c r="V74" s="2969"/>
      <c r="W74" s="2969"/>
      <c r="X74" s="2969"/>
      <c r="Y74" s="2969"/>
      <c r="Z74" s="2969"/>
      <c r="AA74" s="2969"/>
      <c r="AB74" s="2969"/>
      <c r="AC74" s="2969"/>
    </row>
    <row r="75" spans="1:29" s="429" customFormat="1" ht="15.75" thickBot="1">
      <c r="A75" s="524"/>
      <c r="B75" s="525"/>
      <c r="C75" s="526"/>
      <c r="D75" s="526"/>
      <c r="E75" s="526"/>
      <c r="F75" s="526"/>
      <c r="G75" s="526"/>
      <c r="H75" s="527"/>
      <c r="I75" s="527"/>
      <c r="J75" s="527"/>
      <c r="K75" s="527"/>
      <c r="L75" s="527"/>
      <c r="M75" s="528"/>
      <c r="N75" s="2977"/>
      <c r="O75" s="2977"/>
      <c r="P75" s="2967"/>
      <c r="Q75" s="2968"/>
      <c r="R75" s="2969"/>
      <c r="S75" s="2969"/>
      <c r="T75" s="2969"/>
      <c r="U75" s="2969"/>
      <c r="V75" s="2969"/>
      <c r="W75" s="2969"/>
      <c r="X75" s="2969"/>
      <c r="Y75" s="2969"/>
      <c r="Z75" s="2969"/>
      <c r="AA75" s="2969"/>
      <c r="AB75" s="2969"/>
      <c r="AC75" s="2969"/>
    </row>
    <row r="76" spans="1:29">
      <c r="A76" s="483" t="s">
        <v>2379</v>
      </c>
      <c r="B76" s="484" t="s">
        <v>2416</v>
      </c>
      <c r="C76" s="529" t="s">
        <v>2417</v>
      </c>
      <c r="D76" s="529" t="s">
        <v>2418</v>
      </c>
      <c r="E76" s="529" t="s">
        <v>2419</v>
      </c>
      <c r="F76" s="529" t="s">
        <v>2420</v>
      </c>
      <c r="G76" s="529" t="s">
        <v>2421</v>
      </c>
      <c r="H76" s="485"/>
      <c r="I76" s="485"/>
      <c r="J76" s="485"/>
      <c r="K76" s="530"/>
      <c r="L76" s="531"/>
      <c r="M76" s="532"/>
      <c r="N76" s="2975"/>
      <c r="O76" s="2975"/>
      <c r="P76" s="2973"/>
      <c r="Q76" s="2961"/>
      <c r="R76" s="2947"/>
      <c r="S76" s="2947"/>
      <c r="T76" s="2947"/>
      <c r="U76" s="2947"/>
      <c r="V76" s="2947"/>
      <c r="W76" s="2947"/>
      <c r="X76" s="2947"/>
      <c r="Y76" s="2947"/>
      <c r="Z76" s="2947"/>
      <c r="AA76" s="2947"/>
      <c r="AB76" s="2947"/>
      <c r="AC76" s="2947"/>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6"/>
      <c r="O77" s="2976"/>
      <c r="P77" s="2966"/>
      <c r="Q77" s="2961"/>
      <c r="R77" s="2947"/>
      <c r="S77" s="2947"/>
      <c r="T77" s="2947"/>
      <c r="U77" s="2947"/>
      <c r="V77" s="2947"/>
      <c r="W77" s="2947"/>
      <c r="X77" s="2947"/>
      <c r="Y77" s="2947"/>
      <c r="Z77" s="2947"/>
      <c r="AA77" s="2947"/>
      <c r="AB77" s="2947"/>
      <c r="AC77" s="2947"/>
    </row>
    <row r="78" spans="1:29" ht="15.75" thickTop="1">
      <c r="A78" s="490"/>
      <c r="B78" s="494" t="s">
        <v>2422</v>
      </c>
      <c r="C78" s="534" t="s">
        <v>2417</v>
      </c>
      <c r="D78" s="534" t="s">
        <v>2418</v>
      </c>
      <c r="E78" s="534" t="s">
        <v>2419</v>
      </c>
      <c r="F78" s="534" t="s">
        <v>2420</v>
      </c>
      <c r="G78" s="534" t="s">
        <v>2421</v>
      </c>
      <c r="H78" s="495"/>
      <c r="I78" s="495"/>
      <c r="J78" s="495"/>
      <c r="K78" s="496"/>
      <c r="L78" s="497"/>
      <c r="M78" s="498"/>
      <c r="N78" s="2975"/>
      <c r="O78" s="2975"/>
      <c r="P78" s="2966"/>
      <c r="Q78" s="2961"/>
      <c r="R78" s="2947"/>
      <c r="S78" s="2947"/>
      <c r="T78" s="2947"/>
      <c r="U78" s="2947"/>
      <c r="V78" s="2947"/>
      <c r="W78" s="2947"/>
      <c r="X78" s="2947"/>
      <c r="Y78" s="2947"/>
      <c r="Z78" s="2947"/>
      <c r="AA78" s="2947"/>
      <c r="AB78" s="2947"/>
      <c r="AC78" s="2947"/>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6"/>
      <c r="O79" s="2976"/>
      <c r="P79" s="2966"/>
      <c r="Q79" s="2961"/>
      <c r="R79" s="2947"/>
      <c r="S79" s="2947"/>
      <c r="T79" s="2947"/>
      <c r="U79" s="2947"/>
      <c r="V79" s="2947"/>
      <c r="W79" s="2947"/>
      <c r="X79" s="2947"/>
      <c r="Y79" s="2947"/>
      <c r="Z79" s="2947"/>
      <c r="AA79" s="2947"/>
      <c r="AB79" s="2947"/>
      <c r="AC79" s="2947"/>
    </row>
    <row r="80" spans="1:29" ht="15.75" thickTop="1">
      <c r="A80" s="490"/>
      <c r="B80" s="494" t="s">
        <v>2423</v>
      </c>
      <c r="C80" s="534" t="s">
        <v>2417</v>
      </c>
      <c r="D80" s="534" t="s">
        <v>2418</v>
      </c>
      <c r="E80" s="534" t="s">
        <v>2419</v>
      </c>
      <c r="F80" s="534" t="s">
        <v>2420</v>
      </c>
      <c r="G80" s="534" t="s">
        <v>2421</v>
      </c>
      <c r="H80" s="495"/>
      <c r="I80" s="495"/>
      <c r="J80" s="495"/>
      <c r="K80" s="496"/>
      <c r="L80" s="497"/>
      <c r="M80" s="498"/>
      <c r="N80" s="2975"/>
      <c r="O80" s="2975"/>
      <c r="P80" s="2966"/>
      <c r="Q80" s="2961"/>
      <c r="R80" s="2947"/>
      <c r="S80" s="2947"/>
      <c r="T80" s="2947"/>
      <c r="U80" s="2947"/>
      <c r="V80" s="2947"/>
      <c r="W80" s="2947"/>
      <c r="X80" s="2947"/>
      <c r="Y80" s="2947"/>
      <c r="Z80" s="2947"/>
      <c r="AA80" s="2947"/>
      <c r="AB80" s="2947"/>
      <c r="AC80" s="2947"/>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6"/>
      <c r="O81" s="2976"/>
      <c r="P81" s="2966"/>
      <c r="Q81" s="2961"/>
      <c r="R81" s="2947"/>
      <c r="S81" s="2947"/>
      <c r="T81" s="2947"/>
      <c r="U81" s="2947"/>
      <c r="V81" s="2947"/>
      <c r="W81" s="2947"/>
      <c r="X81" s="2947"/>
      <c r="Y81" s="2947"/>
      <c r="Z81" s="2947"/>
      <c r="AA81" s="2947"/>
      <c r="AB81" s="2947"/>
      <c r="AC81" s="2947"/>
    </row>
    <row r="82" spans="1:29" ht="15.75" thickTop="1">
      <c r="A82" s="490"/>
      <c r="B82" s="502" t="s">
        <v>2475</v>
      </c>
      <c r="C82" s="615" t="s">
        <v>2495</v>
      </c>
      <c r="D82" s="615" t="s">
        <v>2496</v>
      </c>
      <c r="E82" s="615" t="s">
        <v>2497</v>
      </c>
      <c r="F82" s="615" t="s">
        <v>2498</v>
      </c>
      <c r="G82" s="615" t="s">
        <v>2499</v>
      </c>
      <c r="H82" s="495"/>
      <c r="I82" s="495"/>
      <c r="J82" s="495"/>
      <c r="K82" s="495"/>
      <c r="L82" s="495"/>
      <c r="M82" s="1290"/>
      <c r="N82" s="2976"/>
      <c r="O82" s="2976"/>
      <c r="P82" s="2966"/>
      <c r="Q82" s="2961"/>
      <c r="R82" s="2947"/>
      <c r="S82" s="2947"/>
      <c r="T82" s="2947"/>
      <c r="U82" s="2947"/>
      <c r="V82" s="2947"/>
      <c r="W82" s="2947"/>
      <c r="X82" s="2947"/>
      <c r="Y82" s="2947"/>
      <c r="Z82" s="2947"/>
      <c r="AA82" s="2947"/>
      <c r="AB82" s="2947"/>
      <c r="AC82" s="2947"/>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6"/>
      <c r="O83" s="2976"/>
      <c r="P83" s="2966"/>
      <c r="Q83" s="2961"/>
      <c r="R83" s="2947"/>
      <c r="S83" s="2947"/>
      <c r="T83" s="2947"/>
      <c r="U83" s="2947"/>
      <c r="V83" s="2947"/>
      <c r="W83" s="2947"/>
      <c r="X83" s="2947"/>
      <c r="Y83" s="2947"/>
      <c r="Z83" s="2947"/>
      <c r="AA83" s="2947"/>
      <c r="AB83" s="2947"/>
      <c r="AC83" s="2947"/>
    </row>
    <row r="84" spans="1:29" ht="15.75" thickTop="1">
      <c r="A84" s="490"/>
      <c r="B84" s="494" t="s">
        <v>2429</v>
      </c>
      <c r="C84" s="534" t="s">
        <v>2417</v>
      </c>
      <c r="D84" s="534" t="s">
        <v>2418</v>
      </c>
      <c r="E84" s="534" t="s">
        <v>2419</v>
      </c>
      <c r="F84" s="534" t="s">
        <v>2420</v>
      </c>
      <c r="G84" s="534" t="s">
        <v>2421</v>
      </c>
      <c r="H84" s="495"/>
      <c r="I84" s="495"/>
      <c r="J84" s="495"/>
      <c r="K84" s="496"/>
      <c r="L84" s="497"/>
      <c r="M84" s="498"/>
      <c r="N84" s="2975"/>
      <c r="O84" s="2975"/>
      <c r="P84" s="2966"/>
      <c r="Q84" s="2961"/>
      <c r="R84" s="2947"/>
      <c r="S84" s="2947"/>
      <c r="T84" s="2947"/>
      <c r="U84" s="2947"/>
      <c r="V84" s="2947"/>
      <c r="W84" s="2947"/>
      <c r="X84" s="2947"/>
      <c r="Y84" s="2947"/>
      <c r="Z84" s="2947"/>
      <c r="AA84" s="2947"/>
      <c r="AB84" s="2947"/>
      <c r="AC84" s="2947"/>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6"/>
      <c r="O85" s="2976"/>
      <c r="P85" s="2966"/>
      <c r="Q85" s="2961"/>
      <c r="R85" s="2947"/>
      <c r="S85" s="2947"/>
      <c r="T85" s="2947"/>
      <c r="U85" s="2947"/>
      <c r="V85" s="2947"/>
      <c r="W85" s="2947"/>
      <c r="X85" s="2947"/>
      <c r="Y85" s="2947"/>
      <c r="Z85" s="2947"/>
      <c r="AA85" s="2947"/>
      <c r="AB85" s="2947"/>
      <c r="AC85" s="2947"/>
    </row>
    <row r="86" spans="1:29" s="112" customFormat="1" ht="15.75" thickTop="1">
      <c r="A86" s="535"/>
      <c r="B86" s="494" t="s">
        <v>2500</v>
      </c>
      <c r="C86" s="510"/>
      <c r="D86" s="510"/>
      <c r="E86" s="510"/>
      <c r="F86" s="510"/>
      <c r="G86" s="510"/>
      <c r="H86" s="510"/>
      <c r="I86" s="510"/>
      <c r="J86" s="510"/>
      <c r="K86" s="510"/>
      <c r="L86" s="536"/>
      <c r="M86" s="537"/>
      <c r="N86" s="2974"/>
      <c r="O86" s="2974"/>
      <c r="P86" s="2966"/>
      <c r="Q86" s="2961"/>
      <c r="R86" s="2882"/>
      <c r="S86" s="2882"/>
      <c r="T86" s="2882"/>
      <c r="U86" s="2882"/>
      <c r="V86" s="2882"/>
      <c r="W86" s="2882"/>
      <c r="X86" s="2882"/>
      <c r="Y86" s="2882"/>
      <c r="Z86" s="2882"/>
      <c r="AA86" s="2882"/>
      <c r="AB86" s="2882"/>
      <c r="AC86" s="2882"/>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6"/>
      <c r="O87" s="2976"/>
      <c r="P87" s="2966"/>
      <c r="Q87" s="2961"/>
      <c r="R87" s="2882"/>
      <c r="S87" s="2882"/>
      <c r="T87" s="2882"/>
      <c r="U87" s="2882"/>
      <c r="V87" s="2882"/>
      <c r="W87" s="2882"/>
      <c r="X87" s="2882"/>
      <c r="Y87" s="2882"/>
      <c r="Z87" s="2882"/>
      <c r="AA87" s="2882"/>
      <c r="AB87" s="2882"/>
      <c r="AC87" s="2882"/>
    </row>
    <row r="88" spans="1:29" s="112" customFormat="1" ht="15.75" thickTop="1">
      <c r="A88" s="535"/>
      <c r="B88" s="494" t="str">
        <f>B26</f>
        <v>平面位置/可视性</v>
      </c>
      <c r="C88" s="510"/>
      <c r="D88" s="510"/>
      <c r="E88" s="510"/>
      <c r="F88" s="2110"/>
      <c r="G88" s="510"/>
      <c r="H88" s="510"/>
      <c r="I88" s="510"/>
      <c r="J88" s="510"/>
      <c r="K88" s="510"/>
      <c r="L88" s="510"/>
      <c r="M88" s="537"/>
      <c r="N88" s="2974"/>
      <c r="O88" s="2974"/>
      <c r="P88" s="2966"/>
      <c r="Q88" s="2961"/>
      <c r="R88" s="2882"/>
      <c r="S88" s="2882"/>
      <c r="T88" s="2882"/>
      <c r="U88" s="2882"/>
      <c r="V88" s="2882"/>
      <c r="W88" s="2882"/>
      <c r="X88" s="2882"/>
      <c r="Y88" s="2882"/>
      <c r="Z88" s="2882"/>
      <c r="AA88" s="2882"/>
      <c r="AB88" s="2882"/>
      <c r="AC88" s="2882"/>
    </row>
    <row r="89" spans="1:29" s="112" customFormat="1" ht="15.75" thickBot="1">
      <c r="A89" s="535"/>
      <c r="B89" s="499"/>
      <c r="C89" s="516"/>
      <c r="D89" s="492"/>
      <c r="E89" s="492"/>
      <c r="F89" s="492"/>
      <c r="G89" s="492"/>
      <c r="H89" s="492"/>
      <c r="I89" s="492"/>
      <c r="J89" s="492"/>
      <c r="K89" s="492"/>
      <c r="L89" s="492"/>
      <c r="M89" s="492"/>
      <c r="N89" s="2976"/>
      <c r="O89" s="2976"/>
      <c r="P89" s="2966"/>
      <c r="Q89" s="2961"/>
      <c r="R89" s="2882"/>
      <c r="S89" s="2882"/>
      <c r="T89" s="2882"/>
      <c r="U89" s="2882"/>
      <c r="V89" s="2882"/>
      <c r="W89" s="2882"/>
      <c r="X89" s="2882"/>
      <c r="Y89" s="2882"/>
      <c r="Z89" s="2882"/>
      <c r="AA89" s="2882"/>
      <c r="AB89" s="2882"/>
      <c r="AC89" s="2882"/>
    </row>
    <row r="90" spans="1:29" s="429" customFormat="1" ht="15.75" thickTop="1">
      <c r="A90" s="509"/>
      <c r="B90" s="494" t="str">
        <f>B27</f>
        <v>人流量</v>
      </c>
      <c r="C90" s="510"/>
      <c r="D90" s="510"/>
      <c r="E90" s="510"/>
      <c r="F90" s="510"/>
      <c r="G90" s="510"/>
      <c r="H90" s="511"/>
      <c r="I90" s="511"/>
      <c r="J90" s="511"/>
      <c r="K90" s="511"/>
      <c r="L90" s="512"/>
      <c r="M90" s="513"/>
      <c r="N90" s="2977"/>
      <c r="O90" s="2977"/>
      <c r="P90" s="2967"/>
      <c r="Q90" s="2968"/>
      <c r="R90" s="2969"/>
      <c r="S90" s="2969"/>
      <c r="T90" s="2969"/>
      <c r="U90" s="2969"/>
      <c r="V90" s="2969"/>
      <c r="W90" s="2969"/>
      <c r="X90" s="2969"/>
      <c r="Y90" s="2969"/>
      <c r="Z90" s="2969"/>
      <c r="AA90" s="2969"/>
      <c r="AB90" s="2969"/>
      <c r="AC90" s="2969"/>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0"/>
      <c r="B92" s="494" t="str">
        <f>B28</f>
        <v>楼层</v>
      </c>
      <c r="C92" s="510"/>
      <c r="D92" s="510"/>
      <c r="E92" s="510"/>
      <c r="F92" s="510"/>
      <c r="G92" s="510"/>
      <c r="H92" s="510"/>
      <c r="I92" s="510"/>
      <c r="J92" s="510"/>
      <c r="K92" s="510"/>
      <c r="L92" s="536"/>
      <c r="M92" s="537"/>
      <c r="N92" s="2975"/>
      <c r="O92" s="2975"/>
      <c r="P92" s="2966"/>
      <c r="Q92" s="2961"/>
      <c r="R92" s="2947"/>
      <c r="S92" s="2947"/>
      <c r="T92" s="2947"/>
      <c r="U92" s="2947"/>
      <c r="V92" s="2947"/>
      <c r="W92" s="2947"/>
      <c r="X92" s="2947"/>
      <c r="Y92" s="2947"/>
      <c r="Z92" s="2947"/>
      <c r="AA92" s="2947"/>
      <c r="AB92" s="2947"/>
      <c r="AC92" s="2947"/>
    </row>
    <row r="93" spans="1:29" ht="15.75" thickBot="1">
      <c r="A93" s="490"/>
      <c r="B93" s="499"/>
      <c r="C93" s="492"/>
      <c r="D93" s="492"/>
      <c r="E93" s="492"/>
      <c r="F93" s="492"/>
      <c r="G93" s="492"/>
      <c r="H93" s="492"/>
      <c r="I93" s="492"/>
      <c r="J93" s="492"/>
      <c r="K93" s="492"/>
      <c r="L93" s="492"/>
      <c r="M93" s="493"/>
      <c r="N93" s="2976"/>
      <c r="O93" s="2976"/>
      <c r="P93" s="2966"/>
      <c r="Q93" s="2961"/>
      <c r="R93" s="2947"/>
      <c r="S93" s="2947"/>
      <c r="T93" s="2947"/>
      <c r="U93" s="2947"/>
      <c r="V93" s="2947"/>
      <c r="W93" s="2947"/>
      <c r="X93" s="2947"/>
      <c r="Y93" s="2947"/>
      <c r="Z93" s="2947"/>
      <c r="AA93" s="2947"/>
      <c r="AB93" s="2947"/>
      <c r="AC93" s="2947"/>
    </row>
    <row r="94" spans="1:29" ht="15.75" thickTop="1">
      <c r="A94" s="490"/>
      <c r="B94" s="494">
        <f>B29</f>
        <v>111</v>
      </c>
      <c r="C94" s="510"/>
      <c r="D94" s="510"/>
      <c r="E94" s="510"/>
      <c r="F94" s="510"/>
      <c r="G94" s="539"/>
      <c r="H94" s="539"/>
      <c r="I94" s="539"/>
      <c r="J94" s="539"/>
      <c r="K94" s="540"/>
      <c r="L94" s="541"/>
      <c r="M94" s="542"/>
      <c r="N94" s="2975"/>
      <c r="O94" s="2975"/>
      <c r="P94" s="2966"/>
      <c r="Q94" s="2961"/>
      <c r="R94" s="2947"/>
      <c r="S94" s="2947"/>
      <c r="T94" s="2947"/>
      <c r="U94" s="2947"/>
      <c r="V94" s="2947"/>
      <c r="W94" s="2947"/>
      <c r="X94" s="2947"/>
      <c r="Y94" s="2947"/>
      <c r="Z94" s="2947"/>
      <c r="AA94" s="2947"/>
      <c r="AB94" s="2947"/>
      <c r="AC94" s="2947"/>
    </row>
    <row r="95" spans="1:29" ht="15.75" thickBot="1">
      <c r="A95" s="490"/>
      <c r="B95" s="499"/>
      <c r="C95" s="516"/>
      <c r="D95" s="492"/>
      <c r="E95" s="492"/>
      <c r="F95" s="492"/>
      <c r="G95" s="492"/>
      <c r="H95" s="492"/>
      <c r="I95" s="492"/>
      <c r="J95" s="492"/>
      <c r="K95" s="492"/>
      <c r="L95" s="492"/>
      <c r="M95" s="493"/>
      <c r="N95" s="2976"/>
      <c r="O95" s="2976"/>
      <c r="P95" s="2966"/>
      <c r="Q95" s="2961"/>
      <c r="R95" s="2947"/>
      <c r="S95" s="2947"/>
      <c r="T95" s="2947"/>
      <c r="U95" s="2947"/>
      <c r="V95" s="2947"/>
      <c r="W95" s="2947"/>
      <c r="X95" s="2947"/>
      <c r="Y95" s="2947"/>
      <c r="Z95" s="2947"/>
      <c r="AA95" s="2947"/>
      <c r="AB95" s="2947"/>
      <c r="AC95" s="2947"/>
    </row>
    <row r="96" spans="1:29" ht="15.75" thickTop="1">
      <c r="A96" s="490"/>
      <c r="B96" s="494">
        <f>B30</f>
        <v>111</v>
      </c>
      <c r="C96" s="510"/>
      <c r="D96" s="510"/>
      <c r="E96" s="510"/>
      <c r="F96" s="510"/>
      <c r="G96" s="539"/>
      <c r="H96" s="539"/>
      <c r="I96" s="539"/>
      <c r="J96" s="539"/>
      <c r="K96" s="540"/>
      <c r="L96" s="541"/>
      <c r="M96" s="542"/>
      <c r="N96" s="2975"/>
      <c r="O96" s="2975"/>
      <c r="P96" s="2966"/>
      <c r="Q96" s="2961"/>
      <c r="R96" s="2947"/>
      <c r="S96" s="2947"/>
      <c r="T96" s="2947"/>
      <c r="U96" s="2947"/>
      <c r="V96" s="2947"/>
      <c r="W96" s="2947"/>
      <c r="X96" s="2947"/>
      <c r="Y96" s="2947"/>
      <c r="Z96" s="2947"/>
      <c r="AA96" s="2947"/>
      <c r="AB96" s="2947"/>
      <c r="AC96" s="2947"/>
    </row>
    <row r="97" spans="1:29" ht="15.75" thickBot="1">
      <c r="A97" s="490"/>
      <c r="B97" s="499"/>
      <c r="C97" s="516"/>
      <c r="D97" s="492"/>
      <c r="E97" s="492"/>
      <c r="F97" s="492"/>
      <c r="G97" s="492"/>
      <c r="H97" s="492"/>
      <c r="I97" s="492"/>
      <c r="J97" s="492"/>
      <c r="K97" s="492"/>
      <c r="L97" s="492"/>
      <c r="M97" s="493"/>
      <c r="N97" s="2976"/>
      <c r="O97" s="2976"/>
      <c r="P97" s="2966"/>
      <c r="Q97" s="2961"/>
      <c r="R97" s="2947"/>
      <c r="S97" s="2947"/>
      <c r="T97" s="2947"/>
      <c r="U97" s="2947"/>
      <c r="V97" s="2947"/>
      <c r="W97" s="2947"/>
      <c r="X97" s="2947"/>
      <c r="Y97" s="2947"/>
      <c r="Z97" s="2947"/>
      <c r="AA97" s="2947"/>
      <c r="AB97" s="2947"/>
      <c r="AC97" s="2947"/>
    </row>
    <row r="98" spans="1:29" ht="15.75" thickTop="1">
      <c r="A98" s="490"/>
      <c r="B98" s="502">
        <f>B31</f>
        <v>111</v>
      </c>
      <c r="C98" s="510"/>
      <c r="D98" s="510"/>
      <c r="E98" s="510"/>
      <c r="F98" s="510"/>
      <c r="G98" s="543"/>
      <c r="H98" s="543"/>
      <c r="I98" s="543"/>
      <c r="J98" s="543"/>
      <c r="K98" s="544"/>
      <c r="L98" s="545"/>
      <c r="M98" s="546"/>
      <c r="N98" s="2975"/>
      <c r="O98" s="2975"/>
      <c r="P98" s="2966"/>
      <c r="Q98" s="2961"/>
      <c r="R98" s="2947"/>
      <c r="S98" s="2947"/>
      <c r="T98" s="2947"/>
      <c r="U98" s="2947"/>
      <c r="V98" s="2947"/>
      <c r="W98" s="2947"/>
      <c r="X98" s="2947"/>
      <c r="Y98" s="2947"/>
      <c r="Z98" s="2947"/>
      <c r="AA98" s="2947"/>
      <c r="AB98" s="2947"/>
      <c r="AC98" s="2947"/>
    </row>
    <row r="99" spans="1:29" ht="15.75" thickBot="1">
      <c r="A99" s="2111"/>
      <c r="B99" s="525"/>
      <c r="C99" s="526"/>
      <c r="D99" s="526"/>
      <c r="E99" s="526"/>
      <c r="F99" s="526"/>
      <c r="G99" s="547"/>
      <c r="H99" s="547"/>
      <c r="I99" s="547"/>
      <c r="J99" s="547"/>
      <c r="K99" s="547"/>
      <c r="L99" s="547"/>
      <c r="M99" s="548"/>
      <c r="N99" s="2976"/>
      <c r="O99" s="2976"/>
      <c r="P99" s="2966"/>
      <c r="Q99" s="2961"/>
      <c r="R99" s="2947"/>
      <c r="S99" s="2947"/>
      <c r="T99" s="2947"/>
      <c r="U99" s="2947"/>
      <c r="V99" s="2947"/>
      <c r="W99" s="2947"/>
      <c r="X99" s="2947"/>
      <c r="Y99" s="2947"/>
      <c r="Z99" s="2947"/>
      <c r="AA99" s="2947"/>
      <c r="AB99" s="2947"/>
      <c r="AC99" s="2947"/>
    </row>
    <row r="100" spans="1:29">
      <c r="A100" s="483" t="s">
        <v>2383</v>
      </c>
      <c r="B100" s="484" t="s">
        <v>2501</v>
      </c>
      <c r="C100" s="486"/>
      <c r="D100" s="486"/>
      <c r="E100" s="486"/>
      <c r="F100" s="486"/>
      <c r="G100" s="486"/>
      <c r="H100" s="486"/>
      <c r="I100" s="486"/>
      <c r="J100" s="486"/>
      <c r="K100" s="487"/>
      <c r="L100" s="488"/>
      <c r="M100" s="489"/>
      <c r="N100" s="2975"/>
      <c r="O100" s="2975"/>
      <c r="P100" s="2966"/>
      <c r="Q100" s="2961"/>
      <c r="R100" s="2947"/>
      <c r="S100" s="2947"/>
      <c r="T100" s="2947"/>
      <c r="U100" s="2947"/>
      <c r="V100" s="2947"/>
      <c r="W100" s="2947"/>
      <c r="X100" s="2947"/>
      <c r="Y100" s="2947"/>
      <c r="Z100" s="2947"/>
      <c r="AA100" s="2947"/>
      <c r="AB100" s="2947"/>
      <c r="AC100" s="2947"/>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29" customFormat="1">
      <c r="A103" s="549"/>
      <c r="B103" s="550"/>
      <c r="C103" s="551"/>
      <c r="D103" s="551"/>
      <c r="E103" s="551"/>
      <c r="F103" s="551"/>
      <c r="G103" s="551"/>
      <c r="H103" s="551"/>
      <c r="I103" s="551"/>
      <c r="J103" s="552"/>
      <c r="K103" s="552"/>
      <c r="L103" s="553"/>
      <c r="M103" s="554"/>
      <c r="N103" s="2977"/>
      <c r="O103" s="2977"/>
      <c r="P103" s="2967"/>
      <c r="Q103" s="2968"/>
      <c r="R103" s="2969"/>
      <c r="S103" s="2969"/>
      <c r="T103" s="2969"/>
      <c r="U103" s="2969"/>
      <c r="V103" s="2969"/>
      <c r="W103" s="2969"/>
      <c r="X103" s="2969"/>
      <c r="Y103" s="2969"/>
      <c r="Z103" s="2969"/>
      <c r="AA103" s="2969"/>
      <c r="AB103" s="2969"/>
      <c r="AC103" s="2969"/>
    </row>
    <row r="104" spans="1:29" s="429" customFormat="1" ht="15.75" thickBot="1">
      <c r="A104" s="509"/>
      <c r="B104" s="499"/>
      <c r="C104" s="516"/>
      <c r="D104" s="492"/>
      <c r="E104" s="492"/>
      <c r="F104" s="492"/>
      <c r="G104" s="492"/>
      <c r="H104" s="492"/>
      <c r="I104" s="492"/>
      <c r="J104" s="492"/>
      <c r="K104" s="492"/>
      <c r="L104" s="492"/>
      <c r="M104" s="493"/>
      <c r="N104" s="2976"/>
      <c r="O104" s="2976"/>
      <c r="P104" s="2967"/>
      <c r="Q104" s="2968"/>
      <c r="R104" s="2969"/>
      <c r="S104" s="2969"/>
      <c r="T104" s="2969"/>
      <c r="U104" s="2969"/>
      <c r="V104" s="2969"/>
      <c r="W104" s="2969"/>
      <c r="X104" s="2969"/>
      <c r="Y104" s="2969"/>
      <c r="Z104" s="2969"/>
      <c r="AA104" s="2969"/>
      <c r="AB104" s="2969"/>
      <c r="AC104" s="2969"/>
    </row>
    <row r="105" spans="1:29" ht="15" thickTop="1">
      <c r="A105" s="555"/>
      <c r="B105" s="494" t="s">
        <v>2434</v>
      </c>
      <c r="C105" s="510"/>
      <c r="D105" s="510"/>
      <c r="E105" s="539"/>
      <c r="F105" s="539"/>
      <c r="G105" s="539"/>
      <c r="H105" s="539"/>
      <c r="I105" s="539"/>
      <c r="J105" s="539"/>
      <c r="K105" s="540"/>
      <c r="L105" s="541"/>
      <c r="M105" s="542"/>
      <c r="N105" s="2975"/>
      <c r="O105" s="2975"/>
      <c r="P105" s="2966"/>
      <c r="Q105" s="2961"/>
      <c r="R105" s="2947"/>
      <c r="S105" s="2947"/>
      <c r="T105" s="2947"/>
      <c r="U105" s="2947"/>
      <c r="V105" s="2947"/>
      <c r="W105" s="2947"/>
      <c r="X105" s="2947"/>
      <c r="Y105" s="2947"/>
      <c r="Z105" s="2947"/>
      <c r="AA105" s="2947"/>
      <c r="AB105" s="2947"/>
      <c r="AC105" s="2947"/>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5"/>
      <c r="B107" s="494" t="s">
        <v>2436</v>
      </c>
      <c r="C107" s="510"/>
      <c r="D107" s="510"/>
      <c r="E107" s="510"/>
      <c r="F107" s="539"/>
      <c r="G107" s="539"/>
      <c r="H107" s="539"/>
      <c r="I107" s="539"/>
      <c r="J107" s="539"/>
      <c r="K107" s="540"/>
      <c r="L107" s="541"/>
      <c r="M107" s="542"/>
      <c r="N107" s="2975"/>
      <c r="O107" s="2975"/>
      <c r="P107" s="2966"/>
      <c r="Q107" s="2961"/>
      <c r="R107" s="2947"/>
      <c r="S107" s="2947"/>
      <c r="T107" s="2947"/>
      <c r="U107" s="2947"/>
      <c r="V107" s="2947"/>
      <c r="W107" s="2947"/>
      <c r="X107" s="2947"/>
      <c r="Y107" s="2947"/>
      <c r="Z107" s="2947"/>
      <c r="AA107" s="2947"/>
      <c r="AB107" s="2947"/>
      <c r="AC107" s="2947"/>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5"/>
      <c r="O109" s="2975"/>
      <c r="P109" s="2966"/>
      <c r="Q109" s="2961"/>
      <c r="R109" s="2947"/>
      <c r="S109" s="2947"/>
      <c r="T109" s="2947"/>
      <c r="U109" s="2947"/>
      <c r="V109" s="2947"/>
      <c r="W109" s="2947"/>
      <c r="X109" s="2947"/>
      <c r="Y109" s="2947"/>
      <c r="Z109" s="2947"/>
      <c r="AA109" s="2947"/>
      <c r="AB109" s="2947"/>
      <c r="AC109" s="2947"/>
    </row>
    <row r="110" spans="1:29">
      <c r="A110" s="555"/>
      <c r="B110" s="502"/>
      <c r="C110" s="559">
        <v>0.5</v>
      </c>
      <c r="D110" s="559">
        <v>0.6</v>
      </c>
      <c r="E110" s="559">
        <v>0.7</v>
      </c>
      <c r="F110" s="559">
        <v>0.8</v>
      </c>
      <c r="G110" s="559">
        <v>0.9</v>
      </c>
      <c r="H110" s="559">
        <v>1.0001</v>
      </c>
      <c r="I110" s="578"/>
      <c r="J110" s="578"/>
      <c r="K110" s="579"/>
      <c r="L110" s="580"/>
      <c r="M110" s="581"/>
      <c r="N110" s="2975"/>
      <c r="O110" s="2975"/>
      <c r="P110" s="2966"/>
      <c r="Q110" s="2961"/>
      <c r="R110" s="2947"/>
      <c r="S110" s="2947"/>
      <c r="T110" s="2947"/>
      <c r="U110" s="2947"/>
      <c r="V110" s="2947"/>
      <c r="W110" s="2947"/>
      <c r="X110" s="2947"/>
      <c r="Y110" s="2947"/>
      <c r="Z110" s="2947"/>
      <c r="AA110" s="2947"/>
      <c r="AB110" s="2947"/>
      <c r="AC110" s="2947"/>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6"/>
      <c r="O111" s="2976"/>
      <c r="P111" s="2966"/>
      <c r="Q111" s="2961"/>
      <c r="R111" s="2947"/>
      <c r="S111" s="2947"/>
      <c r="T111" s="2947"/>
      <c r="U111" s="2947"/>
      <c r="V111" s="2947"/>
      <c r="W111" s="2947"/>
      <c r="X111" s="2947"/>
      <c r="Y111" s="2947"/>
      <c r="Z111" s="2947"/>
      <c r="AA111" s="2947"/>
      <c r="AB111" s="2947"/>
      <c r="AC111" s="2947"/>
    </row>
    <row r="112" spans="1:29" s="429" customFormat="1" ht="15" thickTop="1">
      <c r="A112" s="549"/>
      <c r="B112" s="494" t="s">
        <v>2438</v>
      </c>
      <c r="C112" s="510"/>
      <c r="D112" s="510"/>
      <c r="E112" s="510"/>
      <c r="F112" s="510"/>
      <c r="G112" s="510"/>
      <c r="H112" s="539"/>
      <c r="I112" s="539"/>
      <c r="J112" s="539"/>
      <c r="K112" s="540"/>
      <c r="L112" s="541"/>
      <c r="M112" s="542"/>
      <c r="N112" s="2977"/>
      <c r="O112" s="2977"/>
      <c r="P112" s="2967"/>
      <c r="Q112" s="2968"/>
      <c r="R112" s="2969"/>
      <c r="S112" s="2969"/>
      <c r="T112" s="2969"/>
      <c r="U112" s="2969"/>
      <c r="V112" s="2969"/>
      <c r="W112" s="2969"/>
      <c r="X112" s="2969"/>
      <c r="Y112" s="2969"/>
      <c r="Z112" s="2969"/>
      <c r="AA112" s="2969"/>
      <c r="AB112" s="2969"/>
      <c r="AC112" s="2969"/>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5"/>
      <c r="B114" s="494" t="s">
        <v>2502</v>
      </c>
      <c r="C114" s="510"/>
      <c r="D114" s="510"/>
      <c r="E114" s="539"/>
      <c r="F114" s="539"/>
      <c r="G114" s="539"/>
      <c r="H114" s="539"/>
      <c r="I114" s="539"/>
      <c r="J114" s="539"/>
      <c r="K114" s="540"/>
      <c r="L114" s="541"/>
      <c r="M114" s="542"/>
      <c r="N114" s="2975"/>
      <c r="O114" s="2975"/>
      <c r="P114" s="2966"/>
      <c r="Q114" s="2961"/>
      <c r="R114" s="2947"/>
      <c r="S114" s="2947"/>
      <c r="T114" s="2947"/>
      <c r="U114" s="2947"/>
      <c r="V114" s="2947"/>
      <c r="W114" s="2947"/>
      <c r="X114" s="2947"/>
      <c r="Y114" s="2947"/>
      <c r="Z114" s="2947"/>
      <c r="AA114" s="2947"/>
      <c r="AB114" s="2947"/>
      <c r="AC114" s="2947"/>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5"/>
      <c r="B116" s="494" t="s">
        <v>2503</v>
      </c>
      <c r="C116" s="510"/>
      <c r="D116" s="510"/>
      <c r="E116" s="510"/>
      <c r="F116" s="510"/>
      <c r="G116" s="510"/>
      <c r="H116" s="539"/>
      <c r="I116" s="539"/>
      <c r="J116" s="539"/>
      <c r="K116" s="540"/>
      <c r="L116" s="541"/>
      <c r="M116" s="542"/>
      <c r="N116" s="2975"/>
      <c r="O116" s="2975"/>
      <c r="P116" s="2966"/>
      <c r="Q116" s="2961"/>
      <c r="R116" s="2947"/>
      <c r="S116" s="2947"/>
      <c r="T116" s="2947"/>
      <c r="U116" s="2947"/>
      <c r="V116" s="2947"/>
      <c r="W116" s="2947"/>
      <c r="X116" s="2947"/>
      <c r="Y116" s="2947"/>
      <c r="Z116" s="2947"/>
      <c r="AA116" s="2947"/>
      <c r="AB116" s="2947"/>
      <c r="AC116" s="2947"/>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6"/>
      <c r="O117" s="2976"/>
      <c r="P117" s="2966"/>
      <c r="Q117" s="2961"/>
      <c r="R117" s="2947"/>
      <c r="S117" s="2947"/>
      <c r="T117" s="2947"/>
      <c r="U117" s="2947"/>
      <c r="V117" s="2947"/>
      <c r="W117" s="2947"/>
      <c r="X117" s="2947"/>
      <c r="Y117" s="2947"/>
      <c r="Z117" s="2947"/>
      <c r="AA117" s="2947"/>
      <c r="AB117" s="2947"/>
      <c r="AC117" s="2947"/>
    </row>
    <row r="118" spans="1:29" ht="15" thickTop="1">
      <c r="A118" s="555"/>
      <c r="B118" s="494" t="s">
        <v>2504</v>
      </c>
      <c r="C118" s="582"/>
      <c r="D118" s="582"/>
      <c r="E118" s="582"/>
      <c r="F118" s="582"/>
      <c r="G118" s="582"/>
      <c r="H118" s="511"/>
      <c r="I118" s="511"/>
      <c r="J118" s="511"/>
      <c r="K118" s="511"/>
      <c r="L118" s="512"/>
      <c r="M118" s="513"/>
      <c r="N118" s="2975"/>
      <c r="O118" s="2975"/>
      <c r="P118" s="2966"/>
      <c r="Q118" s="2961"/>
      <c r="R118" s="2947"/>
      <c r="S118" s="2947"/>
      <c r="T118" s="2947"/>
      <c r="U118" s="2947"/>
      <c r="V118" s="2947"/>
      <c r="W118" s="2947"/>
      <c r="X118" s="2947"/>
      <c r="Y118" s="2947"/>
      <c r="Z118" s="2947"/>
      <c r="AA118" s="2947"/>
      <c r="AB118" s="2947"/>
      <c r="AC118" s="2947"/>
    </row>
    <row r="119" spans="1:29" ht="15.75" thickBot="1">
      <c r="A119" s="490"/>
      <c r="B119" s="499"/>
      <c r="C119" s="516"/>
      <c r="D119" s="492"/>
      <c r="E119" s="492"/>
      <c r="F119" s="492"/>
      <c r="G119" s="492"/>
      <c r="H119" s="492"/>
      <c r="I119" s="492"/>
      <c r="J119" s="492"/>
      <c r="K119" s="492"/>
      <c r="L119" s="492"/>
      <c r="M119" s="493"/>
      <c r="N119" s="2976"/>
      <c r="O119" s="2976"/>
      <c r="P119" s="2966"/>
      <c r="Q119" s="2961"/>
      <c r="R119" s="2947"/>
      <c r="S119" s="2947"/>
      <c r="T119" s="2947"/>
      <c r="U119" s="2947"/>
      <c r="V119" s="2947"/>
      <c r="W119" s="2947"/>
      <c r="X119" s="2947"/>
      <c r="Y119" s="2947"/>
      <c r="Z119" s="2947"/>
      <c r="AA119" s="2947"/>
      <c r="AB119" s="2947"/>
      <c r="AC119" s="2947"/>
    </row>
    <row r="120" spans="1:29" s="429" customFormat="1" ht="15" thickTop="1">
      <c r="A120" s="549"/>
      <c r="B120" s="494" t="s">
        <v>2505</v>
      </c>
      <c r="C120" s="539"/>
      <c r="D120" s="539"/>
      <c r="E120" s="539"/>
      <c r="F120" s="539"/>
      <c r="G120" s="511"/>
      <c r="H120" s="511"/>
      <c r="I120" s="511"/>
      <c r="J120" s="511"/>
      <c r="K120" s="511"/>
      <c r="L120" s="512"/>
      <c r="M120" s="513"/>
      <c r="N120" s="2977"/>
      <c r="O120" s="2977"/>
      <c r="P120" s="2967"/>
      <c r="Q120" s="2968"/>
      <c r="R120" s="2969"/>
      <c r="S120" s="2969"/>
      <c r="T120" s="2969"/>
      <c r="U120" s="2969"/>
      <c r="V120" s="2969"/>
      <c r="W120" s="2969"/>
      <c r="X120" s="2969"/>
      <c r="Y120" s="2969"/>
      <c r="Z120" s="2969"/>
      <c r="AA120" s="2969"/>
      <c r="AB120" s="2969"/>
      <c r="AC120" s="2969"/>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5"/>
      <c r="B122" s="494" t="s">
        <v>2440</v>
      </c>
      <c r="C122" s="510"/>
      <c r="D122" s="510"/>
      <c r="E122" s="510"/>
      <c r="F122" s="539"/>
      <c r="G122" s="539"/>
      <c r="H122" s="539"/>
      <c r="I122" s="539"/>
      <c r="J122" s="539"/>
      <c r="K122" s="540"/>
      <c r="L122" s="541"/>
      <c r="M122" s="542"/>
      <c r="N122" s="2975"/>
      <c r="O122" s="2975"/>
      <c r="P122" s="2966"/>
      <c r="Q122" s="2961"/>
      <c r="R122" s="2947"/>
      <c r="S122" s="2947"/>
      <c r="T122" s="2947"/>
      <c r="U122" s="2947"/>
      <c r="V122" s="2947"/>
      <c r="W122" s="2947"/>
      <c r="X122" s="2947"/>
      <c r="Y122" s="2947"/>
      <c r="Z122" s="2947"/>
      <c r="AA122" s="2947"/>
      <c r="AB122" s="2947"/>
      <c r="AC122" s="2947"/>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75"/>
      <c r="O124" s="2975"/>
      <c r="P124" s="2967"/>
      <c r="Q124" s="2961"/>
      <c r="R124" s="2947"/>
      <c r="S124" s="2947"/>
      <c r="T124" s="2947"/>
      <c r="U124" s="2947"/>
      <c r="V124" s="2947"/>
      <c r="W124" s="2947"/>
      <c r="X124" s="2947"/>
      <c r="Y124" s="2947"/>
      <c r="Z124" s="2947"/>
      <c r="AA124" s="2947"/>
      <c r="AB124" s="2947"/>
      <c r="AC124" s="2947"/>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6"/>
      <c r="O125" s="2976"/>
      <c r="P125" s="2966"/>
      <c r="Q125" s="2961"/>
      <c r="R125" s="2947"/>
      <c r="S125" s="2947"/>
      <c r="T125" s="2947"/>
      <c r="U125" s="2947"/>
      <c r="V125" s="2947"/>
      <c r="W125" s="2947"/>
      <c r="X125" s="2947"/>
      <c r="Y125" s="2947"/>
      <c r="Z125" s="2947"/>
      <c r="AA125" s="2947"/>
      <c r="AB125" s="2947"/>
      <c r="AC125" s="2947"/>
    </row>
    <row r="126" spans="1:29" s="429" customFormat="1" ht="15" thickTop="1">
      <c r="A126" s="549"/>
      <c r="B126" s="494">
        <f>B44</f>
        <v>111</v>
      </c>
      <c r="C126" s="510"/>
      <c r="D126" s="510"/>
      <c r="E126" s="510"/>
      <c r="F126" s="510"/>
      <c r="G126" s="510"/>
      <c r="H126" s="511"/>
      <c r="I126" s="511"/>
      <c r="J126" s="511"/>
      <c r="K126" s="511"/>
      <c r="L126" s="512"/>
      <c r="M126" s="513"/>
      <c r="N126" s="2977"/>
      <c r="O126" s="2977"/>
      <c r="P126" s="2967"/>
      <c r="Q126" s="2968"/>
      <c r="R126" s="2969"/>
      <c r="S126" s="2969"/>
      <c r="T126" s="2969"/>
      <c r="U126" s="2969"/>
      <c r="V126" s="2969"/>
      <c r="W126" s="2969"/>
      <c r="X126" s="2969"/>
      <c r="Y126" s="2969"/>
      <c r="Z126" s="2969"/>
      <c r="AA126" s="2969"/>
      <c r="AB126" s="2969"/>
      <c r="AC126" s="2969"/>
    </row>
    <row r="127" spans="1:29" s="429" customFormat="1" ht="15.75" thickBot="1">
      <c r="A127" s="509"/>
      <c r="B127" s="499"/>
      <c r="C127" s="516"/>
      <c r="D127" s="492"/>
      <c r="E127" s="492"/>
      <c r="F127" s="492"/>
      <c r="G127" s="516"/>
      <c r="H127" s="518"/>
      <c r="I127" s="518"/>
      <c r="J127" s="518"/>
      <c r="K127" s="518"/>
      <c r="L127" s="518"/>
      <c r="M127" s="519"/>
      <c r="N127" s="2977"/>
      <c r="O127" s="2977"/>
      <c r="P127" s="2967"/>
      <c r="Q127" s="2968"/>
      <c r="R127" s="2969"/>
      <c r="S127" s="2969"/>
      <c r="T127" s="2969"/>
      <c r="U127" s="2969"/>
      <c r="V127" s="2969"/>
      <c r="W127" s="2969"/>
      <c r="X127" s="2969"/>
      <c r="Y127" s="2969"/>
      <c r="Z127" s="2969"/>
      <c r="AA127" s="2969"/>
      <c r="AB127" s="2969"/>
      <c r="AC127" s="2969"/>
    </row>
    <row r="128" spans="1:29" ht="15" thickTop="1">
      <c r="A128" s="555"/>
      <c r="B128" s="494">
        <f>B45</f>
        <v>111</v>
      </c>
      <c r="C128" s="510"/>
      <c r="D128" s="510"/>
      <c r="E128" s="510"/>
      <c r="F128" s="510"/>
      <c r="G128" s="539"/>
      <c r="H128" s="539"/>
      <c r="I128" s="539"/>
      <c r="J128" s="539"/>
      <c r="K128" s="540"/>
      <c r="L128" s="541"/>
      <c r="M128" s="542"/>
      <c r="N128" s="2975"/>
      <c r="O128" s="2975"/>
      <c r="P128" s="2966"/>
      <c r="Q128" s="2961"/>
      <c r="R128" s="2947"/>
      <c r="S128" s="2947"/>
      <c r="T128" s="2947"/>
      <c r="U128" s="2947"/>
      <c r="V128" s="2947"/>
      <c r="W128" s="2947"/>
      <c r="X128" s="2947"/>
      <c r="Y128" s="2947"/>
      <c r="Z128" s="2947"/>
      <c r="AA128" s="2947"/>
      <c r="AB128" s="2947"/>
      <c r="AC128" s="2947"/>
    </row>
    <row r="129" spans="1:29" ht="15.75" thickBot="1">
      <c r="A129" s="490"/>
      <c r="B129" s="499"/>
      <c r="C129" s="516"/>
      <c r="D129" s="492"/>
      <c r="E129" s="492"/>
      <c r="F129" s="492"/>
      <c r="G129" s="492"/>
      <c r="H129" s="492"/>
      <c r="I129" s="492"/>
      <c r="J129" s="492"/>
      <c r="K129" s="492"/>
      <c r="L129" s="492"/>
      <c r="M129" s="493"/>
      <c r="N129" s="2976"/>
      <c r="O129" s="2976"/>
      <c r="P129" s="2966"/>
      <c r="Q129" s="2961"/>
      <c r="R129" s="2947"/>
      <c r="S129" s="2947"/>
      <c r="T129" s="2947"/>
      <c r="U129" s="2947"/>
      <c r="V129" s="2947"/>
      <c r="W129" s="2947"/>
      <c r="X129" s="2947"/>
      <c r="Y129" s="2947"/>
      <c r="Z129" s="2947"/>
      <c r="AA129" s="2947"/>
      <c r="AB129" s="2947"/>
      <c r="AC129" s="2947"/>
    </row>
    <row r="130" spans="1:29" ht="15" thickTop="1">
      <c r="A130" s="555"/>
      <c r="B130" s="502">
        <f>B46</f>
        <v>111</v>
      </c>
      <c r="C130" s="510"/>
      <c r="D130" s="510"/>
      <c r="E130" s="510"/>
      <c r="F130" s="510"/>
      <c r="G130" s="543"/>
      <c r="H130" s="543"/>
      <c r="I130" s="543"/>
      <c r="J130" s="543"/>
      <c r="K130" s="479"/>
      <c r="L130" s="480"/>
      <c r="M130" s="546"/>
      <c r="N130" s="2975"/>
      <c r="O130" s="2975"/>
      <c r="P130" s="2966"/>
      <c r="Q130" s="2961"/>
      <c r="R130" s="2947"/>
      <c r="S130" s="2947"/>
      <c r="T130" s="2947"/>
      <c r="U130" s="2947"/>
      <c r="V130" s="2947"/>
      <c r="W130" s="2947"/>
      <c r="X130" s="2947"/>
      <c r="Y130" s="2947"/>
      <c r="Z130" s="2947"/>
      <c r="AA130" s="2947"/>
      <c r="AB130" s="2947"/>
      <c r="AC130" s="2947"/>
    </row>
    <row r="131" spans="1:29" ht="15.75" thickBot="1">
      <c r="A131" s="2111"/>
      <c r="B131" s="525"/>
      <c r="C131" s="526"/>
      <c r="D131" s="526"/>
      <c r="E131" s="526"/>
      <c r="F131" s="526"/>
      <c r="G131" s="547"/>
      <c r="H131" s="547"/>
      <c r="I131" s="547"/>
      <c r="J131" s="547"/>
      <c r="K131" s="547"/>
      <c r="L131" s="547"/>
      <c r="M131" s="548"/>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21" sqref="E21"/>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2348</v>
      </c>
      <c r="B1" s="2140" t="s">
        <v>2506</v>
      </c>
      <c r="C1" s="1390" t="s">
        <v>2350</v>
      </c>
      <c r="D1" s="1391"/>
      <c r="E1" s="1400"/>
      <c r="F1" s="2062"/>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2147</v>
      </c>
      <c r="B2" s="1325" t="e">
        <f ca="1">IF(C2="——",ROUND(C50*D3/10000,0),ROUND(C50*D3/10000,0)-D2)</f>
        <v>#DIV/0!</v>
      </c>
      <c r="C2" s="2064"/>
      <c r="D2" s="1274" t="e">
        <f ca="1">SUMIF(INDIRECT("'"&amp;F2&amp;"'"&amp;"!A:A"),"承租人权益价值",INDIRECT("'"&amp;F2&amp;"'"&amp;"!c:c"))</f>
        <v>#REF!</v>
      </c>
      <c r="E2" s="2065" t="s">
        <v>2148</v>
      </c>
      <c r="F2" s="2066"/>
      <c r="G2" s="1038"/>
      <c r="H2" s="1038"/>
      <c r="I2" s="1038"/>
      <c r="J2" s="1038"/>
      <c r="K2" s="1038"/>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46306.38</v>
      </c>
      <c r="E3" s="2137"/>
      <c r="F3" s="1039"/>
      <c r="G3" s="1038"/>
      <c r="H3" s="1038"/>
      <c r="I3" s="1038"/>
      <c r="J3" s="1038"/>
      <c r="K3" s="1040"/>
      <c r="L3" s="2956"/>
      <c r="M3" s="2957"/>
      <c r="N3" s="2957"/>
      <c r="O3" s="2957"/>
      <c r="P3" s="707"/>
      <c r="Q3" s="707"/>
      <c r="R3" s="707"/>
      <c r="S3" s="707"/>
      <c r="T3" s="707"/>
      <c r="U3" s="707"/>
      <c r="V3" s="707"/>
      <c r="W3" s="707"/>
      <c r="X3" s="707"/>
      <c r="Y3" s="707"/>
      <c r="Z3" s="707"/>
      <c r="AA3" s="707"/>
      <c r="AB3" s="707"/>
      <c r="AC3" s="708"/>
    </row>
    <row r="4" spans="1:29" ht="15">
      <c r="A4" s="360" t="s">
        <v>2465</v>
      </c>
      <c r="B4" s="361"/>
      <c r="C4" s="3516" t="s">
        <v>2466</v>
      </c>
      <c r="D4" s="3517"/>
      <c r="E4" s="3518" t="s">
        <v>2467</v>
      </c>
      <c r="F4" s="3519"/>
      <c r="G4" s="3516" t="s">
        <v>2468</v>
      </c>
      <c r="H4" s="3517"/>
      <c r="I4" s="3516" t="s">
        <v>2469</v>
      </c>
      <c r="J4" s="3517"/>
      <c r="K4" s="566" t="s">
        <v>2470</v>
      </c>
      <c r="L4" s="2937"/>
      <c r="M4" s="2938"/>
      <c r="N4" s="2938"/>
      <c r="O4" s="2938"/>
      <c r="P4" s="3564" t="s">
        <v>2471</v>
      </c>
      <c r="Q4" s="3565"/>
      <c r="R4" s="3559" t="s">
        <v>2467</v>
      </c>
      <c r="S4" s="3560"/>
      <c r="T4" s="3559" t="s">
        <v>2468</v>
      </c>
      <c r="U4" s="3560"/>
      <c r="V4" s="3568" t="s">
        <v>2469</v>
      </c>
      <c r="W4" s="3568"/>
      <c r="X4" s="2141"/>
      <c r="Y4" s="3559" t="s">
        <v>2471</v>
      </c>
      <c r="Z4" s="3560"/>
      <c r="AA4" s="3558" t="s">
        <v>2467</v>
      </c>
      <c r="AB4" s="3558" t="s">
        <v>2468</v>
      </c>
      <c r="AC4" s="3561" t="s">
        <v>2469</v>
      </c>
    </row>
    <row r="5" spans="1:29" ht="15">
      <c r="A5" s="363"/>
      <c r="B5" s="364"/>
      <c r="C5" s="3543" t="s">
        <v>2362</v>
      </c>
      <c r="D5" s="3544"/>
      <c r="E5" s="3557" t="s">
        <v>2363</v>
      </c>
      <c r="F5" s="3542"/>
      <c r="G5" s="3543" t="s">
        <v>2364</v>
      </c>
      <c r="H5" s="3544"/>
      <c r="I5" s="3543" t="s">
        <v>2365</v>
      </c>
      <c r="J5" s="3544"/>
      <c r="K5" s="566"/>
      <c r="L5" s="2937"/>
      <c r="M5" s="2938"/>
      <c r="N5" s="2938"/>
      <c r="O5" s="2938"/>
      <c r="P5" s="3566"/>
      <c r="Q5" s="3523"/>
      <c r="R5" s="3505"/>
      <c r="S5" s="3506"/>
      <c r="T5" s="3505"/>
      <c r="U5" s="3506"/>
      <c r="V5" s="3528"/>
      <c r="W5" s="3528"/>
      <c r="X5" s="1537"/>
      <c r="Y5" s="3505"/>
      <c r="Z5" s="3506"/>
      <c r="AA5" s="3499"/>
      <c r="AB5" s="3499"/>
      <c r="AC5" s="3562"/>
    </row>
    <row r="6" spans="1:29" ht="15.75" thickBot="1">
      <c r="A6" s="365"/>
      <c r="B6" s="366"/>
      <c r="C6" s="3545" t="s">
        <v>2366</v>
      </c>
      <c r="D6" s="3546"/>
      <c r="E6" s="3547" t="s">
        <v>2366</v>
      </c>
      <c r="F6" s="3548"/>
      <c r="G6" s="3545" t="s">
        <v>2366</v>
      </c>
      <c r="H6" s="3546"/>
      <c r="I6" s="3545" t="s">
        <v>2366</v>
      </c>
      <c r="J6" s="3546"/>
      <c r="K6" s="566" t="s">
        <v>2367</v>
      </c>
      <c r="L6" s="2937"/>
      <c r="M6" s="2938"/>
      <c r="N6" s="2938"/>
      <c r="O6" s="2938"/>
      <c r="P6" s="3567"/>
      <c r="Q6" s="3525"/>
      <c r="R6" s="3505"/>
      <c r="S6" s="3506"/>
      <c r="T6" s="3526"/>
      <c r="U6" s="3527"/>
      <c r="V6" s="3528"/>
      <c r="W6" s="3528"/>
      <c r="X6" s="1537"/>
      <c r="Y6" s="3526"/>
      <c r="Z6" s="3527"/>
      <c r="AA6" s="3500"/>
      <c r="AB6" s="3500"/>
      <c r="AC6" s="3563"/>
    </row>
    <row r="7" spans="1:29" s="112" customFormat="1" ht="15.75" thickBot="1">
      <c r="A7" s="367" t="s">
        <v>2368</v>
      </c>
      <c r="B7" s="368"/>
      <c r="C7" s="369">
        <f>'数据-取费表'!B2</f>
        <v>44495</v>
      </c>
      <c r="D7" s="370">
        <v>100</v>
      </c>
      <c r="E7" s="371"/>
      <c r="F7" s="372">
        <f>SUMIF(59:59,YEAR(E7)&amp;"-"&amp;MONTH(E7),60:60)</f>
        <v>0</v>
      </c>
      <c r="G7" s="371"/>
      <c r="H7" s="370">
        <f>SUMIF(59:59,YEAR(G7)&amp;"-"&amp;MONTH(G7),60:60)</f>
        <v>0</v>
      </c>
      <c r="I7" s="371"/>
      <c r="J7" s="370">
        <f>SUMIF(59:59,YEAR(I7)&amp;"-"&amp;MONTH(I7),60:60)</f>
        <v>0</v>
      </c>
      <c r="K7" s="567"/>
      <c r="L7" s="2939"/>
      <c r="M7" s="2940"/>
      <c r="N7" s="2940"/>
      <c r="O7" s="2940"/>
      <c r="P7" s="3569" t="s">
        <v>2369</v>
      </c>
      <c r="Q7" s="3529"/>
      <c r="R7" s="709" t="s">
        <v>17</v>
      </c>
      <c r="S7" s="710">
        <f t="shared" ref="S7:S15" si="0">F7</f>
        <v>0</v>
      </c>
      <c r="T7" s="709" t="s">
        <v>17</v>
      </c>
      <c r="U7" s="710">
        <f t="shared" ref="U7:U15" si="1">H7</f>
        <v>0</v>
      </c>
      <c r="V7" s="709" t="s">
        <v>17</v>
      </c>
      <c r="W7" s="710">
        <f t="shared" ref="W7:W15" si="2">J7</f>
        <v>0</v>
      </c>
      <c r="X7" s="711"/>
      <c r="Y7" s="3501" t="s">
        <v>2369</v>
      </c>
      <c r="Z7" s="3502"/>
      <c r="AA7" s="712" t="e">
        <f>D7/F7</f>
        <v>#DIV/0!</v>
      </c>
      <c r="AB7" s="712" t="e">
        <f>D7/H7</f>
        <v>#DIV/0!</v>
      </c>
      <c r="AC7" s="2142" t="e">
        <f>D7/J7</f>
        <v>#DIV/0!</v>
      </c>
    </row>
    <row r="8" spans="1:29" s="112"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39"/>
      <c r="M8" s="2940"/>
      <c r="N8" s="2940"/>
      <c r="O8" s="2940"/>
      <c r="P8" s="3569" t="s">
        <v>2372</v>
      </c>
      <c r="Q8" s="3502"/>
      <c r="R8" s="709" t="s">
        <v>17</v>
      </c>
      <c r="S8" s="710">
        <f t="shared" si="0"/>
        <v>0</v>
      </c>
      <c r="T8" s="709" t="s">
        <v>17</v>
      </c>
      <c r="U8" s="710">
        <f t="shared" si="1"/>
        <v>0</v>
      </c>
      <c r="V8" s="709" t="s">
        <v>17</v>
      </c>
      <c r="W8" s="710">
        <f t="shared" si="2"/>
        <v>0</v>
      </c>
      <c r="X8" s="711"/>
      <c r="Y8" s="3501" t="s">
        <v>2372</v>
      </c>
      <c r="Z8" s="3502"/>
      <c r="AA8" s="712" t="e">
        <f t="shared" ref="AA8:AA47" si="3">D8/F8</f>
        <v>#DIV/0!</v>
      </c>
      <c r="AB8" s="712" t="e">
        <f t="shared" ref="AB8:AB47" si="4">D8/H8</f>
        <v>#DIV/0!</v>
      </c>
      <c r="AC8" s="2142" t="e">
        <f t="shared" ref="AC8:AC47" si="5">D8/J8</f>
        <v>#DIV/0!</v>
      </c>
    </row>
    <row r="9" spans="1:29" s="112" customFormat="1">
      <c r="A9" s="374" t="s">
        <v>2373</v>
      </c>
      <c r="B9" s="66" t="s">
        <v>2374</v>
      </c>
      <c r="C9" s="375"/>
      <c r="D9" s="130">
        <v>100</v>
      </c>
      <c r="E9" s="378"/>
      <c r="F9" s="130">
        <f>SUMIF(64:64,E9,65:65)-SUMIF(64:64,C9,65:65)+100</f>
        <v>100</v>
      </c>
      <c r="G9" s="376"/>
      <c r="H9" s="130">
        <f>SUMIF(64:64,G9,65:65)-SUMIF(64:64,C9,65:65)+100</f>
        <v>100</v>
      </c>
      <c r="I9" s="376"/>
      <c r="J9" s="130">
        <f>SUMIF(64:64,I9,65:65)-SUMIF(64:64,C9,65:65)+100</f>
        <v>100</v>
      </c>
      <c r="K9" s="567"/>
      <c r="L9" s="2939"/>
      <c r="M9" s="2940"/>
      <c r="N9" s="2940"/>
      <c r="O9" s="2940"/>
      <c r="P9" s="3539"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2142">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1"/>
      <c r="M10" s="2942"/>
      <c r="N10" s="2942"/>
      <c r="O10" s="2942"/>
      <c r="P10" s="3539"/>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2142">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3"/>
      <c r="M11" s="2938"/>
      <c r="N11" s="2938"/>
      <c r="O11" s="2938"/>
      <c r="P11" s="3539"/>
      <c r="Q11" s="1525" t="str">
        <f t="shared" si="6"/>
        <v>容积率</v>
      </c>
      <c r="R11" s="709" t="s">
        <v>17</v>
      </c>
      <c r="S11" s="710" t="e">
        <f t="shared" si="0"/>
        <v>#N/A</v>
      </c>
      <c r="T11" s="709" t="s">
        <v>17</v>
      </c>
      <c r="U11" s="710" t="e">
        <f t="shared" si="1"/>
        <v>#N/A</v>
      </c>
      <c r="V11" s="709" t="s">
        <v>17</v>
      </c>
      <c r="W11" s="710" t="e">
        <f t="shared" si="2"/>
        <v>#N/A</v>
      </c>
      <c r="X11" s="711"/>
      <c r="Y11" s="3443"/>
      <c r="Z11" s="54" t="str">
        <f t="shared" si="7"/>
        <v>容积率</v>
      </c>
      <c r="AA11" s="712" t="e">
        <f t="shared" si="3"/>
        <v>#N/A</v>
      </c>
      <c r="AB11" s="712" t="e">
        <f t="shared" si="4"/>
        <v>#N/A</v>
      </c>
      <c r="AC11" s="2142" t="e">
        <f t="shared" si="5"/>
        <v>#N/A</v>
      </c>
    </row>
    <row r="12" spans="1:29" s="112" customFormat="1" ht="15">
      <c r="A12" s="389"/>
      <c r="B12" s="2076">
        <v>111</v>
      </c>
      <c r="C12" s="390"/>
      <c r="D12" s="391">
        <v>100</v>
      </c>
      <c r="E12" s="390"/>
      <c r="F12" s="131">
        <f>SUMIF(71:71,E12,72:72)-SUMIF(71:71,C12,72:72)+100</f>
        <v>100</v>
      </c>
      <c r="G12" s="2143"/>
      <c r="H12" s="131">
        <f>SUMIF(71:71,G12,72:72)-SUMIF(71:71,C12,72:72)+100</f>
        <v>100</v>
      </c>
      <c r="I12" s="390"/>
      <c r="J12" s="131">
        <f>SUMIF(71:71,I12,72:72)-SUMIF(71:71,C12,72:72)+100</f>
        <v>100</v>
      </c>
      <c r="K12" s="569"/>
      <c r="L12" s="2939"/>
      <c r="M12" s="2940"/>
      <c r="N12" s="2940"/>
      <c r="O12" s="2940"/>
      <c r="P12" s="3539"/>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2142">
        <f>D12/J12</f>
        <v>1</v>
      </c>
    </row>
    <row r="13" spans="1:29" ht="15">
      <c r="A13" s="386"/>
      <c r="B13" s="2076">
        <v>111</v>
      </c>
      <c r="C13" s="392"/>
      <c r="D13" s="393">
        <v>100</v>
      </c>
      <c r="E13" s="390"/>
      <c r="F13" s="131">
        <f>SUMIF(73:73,E13,74:74)-SUMIF(73:73,C13,74:74)+100</f>
        <v>100</v>
      </c>
      <c r="G13" s="2143"/>
      <c r="H13" s="393">
        <f>SUMIF(73:73,G13,74:74)-SUMIF(73:73,C13,74:74)+100</f>
        <v>100</v>
      </c>
      <c r="I13" s="390"/>
      <c r="J13" s="393">
        <f>SUMIF(73:73,I13,74:74)-SUMIF(73:73,C13,74:74)+100</f>
        <v>100</v>
      </c>
      <c r="K13" s="569"/>
      <c r="L13" s="2944"/>
      <c r="M13" s="2938"/>
      <c r="N13" s="2938"/>
      <c r="O13" s="2938"/>
      <c r="P13" s="3539"/>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2142">
        <f t="shared" si="5"/>
        <v>1</v>
      </c>
    </row>
    <row r="14" spans="1:29" ht="15.75" thickBot="1">
      <c r="A14" s="394"/>
      <c r="B14" s="2078">
        <v>111</v>
      </c>
      <c r="C14" s="395"/>
      <c r="D14" s="396">
        <v>100</v>
      </c>
      <c r="E14" s="583"/>
      <c r="F14" s="396">
        <f>SUMIF(75:75,E14,76:76)-SUMIF(75:75,C14,76:76)+100</f>
        <v>100</v>
      </c>
      <c r="G14" s="2143"/>
      <c r="H14" s="396">
        <f>SUMIF(75:75,G14,76:76)-SUMIF(75:75,C14,76:76)+100</f>
        <v>100</v>
      </c>
      <c r="I14" s="390"/>
      <c r="J14" s="396">
        <f>SUMIF(75:75,I14,76:76)-SUMIF(75:75,C14,76:76)+100</f>
        <v>100</v>
      </c>
      <c r="K14" s="569"/>
      <c r="L14" s="2944"/>
      <c r="M14" s="2938"/>
      <c r="N14" s="2938"/>
      <c r="O14" s="2938"/>
      <c r="P14" s="3539"/>
      <c r="Q14" s="1525">
        <f t="shared" si="6"/>
        <v>111</v>
      </c>
      <c r="R14" s="709" t="s">
        <v>17</v>
      </c>
      <c r="S14" s="710">
        <f t="shared" si="0"/>
        <v>100</v>
      </c>
      <c r="T14" s="709" t="s">
        <v>17</v>
      </c>
      <c r="U14" s="710">
        <f t="shared" si="1"/>
        <v>100</v>
      </c>
      <c r="V14" s="709" t="s">
        <v>17</v>
      </c>
      <c r="W14" s="710">
        <f t="shared" si="2"/>
        <v>100</v>
      </c>
      <c r="X14" s="711"/>
      <c r="Y14" s="3443"/>
      <c r="Z14" s="54">
        <f t="shared" si="7"/>
        <v>111</v>
      </c>
      <c r="AA14" s="712">
        <f t="shared" si="3"/>
        <v>1</v>
      </c>
      <c r="AB14" s="712">
        <f t="shared" si="4"/>
        <v>1</v>
      </c>
      <c r="AC14" s="2142">
        <f t="shared" si="5"/>
        <v>1</v>
      </c>
    </row>
    <row r="15" spans="1:29" ht="15">
      <c r="A15" s="398" t="s">
        <v>2379</v>
      </c>
      <c r="B15" s="584" t="s">
        <v>2507</v>
      </c>
      <c r="C15" s="2144">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4"/>
      <c r="M15" s="2938"/>
      <c r="N15" s="2938"/>
      <c r="O15" s="2938"/>
      <c r="P15" s="3555" t="s">
        <v>2380</v>
      </c>
      <c r="Q15" s="1534" t="str">
        <f t="shared" si="6"/>
        <v>办公集聚程度</v>
      </c>
      <c r="R15" s="713" t="s">
        <v>17</v>
      </c>
      <c r="S15" s="714">
        <f t="shared" si="0"/>
        <v>100</v>
      </c>
      <c r="T15" s="713" t="s">
        <v>17</v>
      </c>
      <c r="U15" s="714">
        <f t="shared" si="1"/>
        <v>100</v>
      </c>
      <c r="V15" s="713" t="s">
        <v>17</v>
      </c>
      <c r="W15" s="714">
        <f t="shared" si="2"/>
        <v>100</v>
      </c>
      <c r="X15" s="1537"/>
      <c r="Y15" s="3530" t="s">
        <v>2380</v>
      </c>
      <c r="Z15" s="1538" t="str">
        <f t="shared" si="7"/>
        <v>办公集聚程度</v>
      </c>
      <c r="AA15" s="1535">
        <f t="shared" si="3"/>
        <v>1</v>
      </c>
      <c r="AB15" s="1535">
        <f t="shared" si="4"/>
        <v>1</v>
      </c>
      <c r="AC15" s="2145">
        <f t="shared" si="5"/>
        <v>1</v>
      </c>
    </row>
    <row r="16" spans="1:29" ht="15">
      <c r="A16" s="386"/>
      <c r="B16" s="585"/>
      <c r="C16" s="2087"/>
      <c r="D16" s="406"/>
      <c r="E16" s="405"/>
      <c r="F16" s="406"/>
      <c r="G16" s="2087"/>
      <c r="H16" s="408"/>
      <c r="I16" s="405"/>
      <c r="J16" s="406"/>
      <c r="K16" s="571"/>
      <c r="L16" s="2944"/>
      <c r="M16" s="2938"/>
      <c r="N16" s="2938"/>
      <c r="O16" s="2938"/>
      <c r="P16" s="3556"/>
      <c r="Q16" s="1534"/>
      <c r="R16" s="713"/>
      <c r="S16" s="714"/>
      <c r="T16" s="713"/>
      <c r="U16" s="714"/>
      <c r="V16" s="713"/>
      <c r="W16" s="714"/>
      <c r="X16" s="1537"/>
      <c r="Y16" s="3531"/>
      <c r="Z16" s="1538"/>
      <c r="AA16" s="1535">
        <v>1</v>
      </c>
      <c r="AB16" s="1535">
        <v>1</v>
      </c>
      <c r="AC16" s="2145">
        <v>1</v>
      </c>
    </row>
    <row r="17" spans="1:29" ht="15">
      <c r="A17" s="386"/>
      <c r="B17" s="586" t="s">
        <v>1944</v>
      </c>
      <c r="C17" s="2146"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944"/>
      <c r="M17" s="2938"/>
      <c r="N17" s="2938"/>
      <c r="O17" s="2938"/>
      <c r="P17" s="3556"/>
      <c r="Q17" s="1534" t="str">
        <f>B17</f>
        <v>交通便捷度</v>
      </c>
      <c r="R17" s="713" t="s">
        <v>17</v>
      </c>
      <c r="S17" s="714">
        <f>F17</f>
        <v>100</v>
      </c>
      <c r="T17" s="713" t="s">
        <v>17</v>
      </c>
      <c r="U17" s="714">
        <f>H17</f>
        <v>100</v>
      </c>
      <c r="V17" s="713" t="s">
        <v>17</v>
      </c>
      <c r="W17" s="714">
        <f>J17</f>
        <v>100</v>
      </c>
      <c r="X17" s="1537"/>
      <c r="Y17" s="3531"/>
      <c r="Z17" s="1538" t="str">
        <f>Q17</f>
        <v>交通便捷度</v>
      </c>
      <c r="AA17" s="1535">
        <f t="shared" si="3"/>
        <v>1</v>
      </c>
      <c r="AB17" s="1535">
        <f t="shared" si="4"/>
        <v>1</v>
      </c>
      <c r="AC17" s="2145">
        <f t="shared" si="5"/>
        <v>1</v>
      </c>
    </row>
    <row r="18" spans="1:29" ht="15">
      <c r="A18" s="386"/>
      <c r="B18" s="587"/>
      <c r="C18" s="2147"/>
      <c r="D18" s="408"/>
      <c r="E18" s="2085"/>
      <c r="F18" s="408"/>
      <c r="G18" s="2086"/>
      <c r="H18" s="406"/>
      <c r="I18" s="2086"/>
      <c r="J18" s="406"/>
      <c r="K18" s="571"/>
      <c r="L18" s="2944"/>
      <c r="M18" s="2938"/>
      <c r="N18" s="2938"/>
      <c r="O18" s="2938"/>
      <c r="P18" s="3556"/>
      <c r="Q18" s="1534"/>
      <c r="R18" s="713"/>
      <c r="S18" s="714"/>
      <c r="T18" s="713"/>
      <c r="U18" s="714"/>
      <c r="V18" s="713"/>
      <c r="W18" s="714"/>
      <c r="X18" s="1537"/>
      <c r="Y18" s="3531"/>
      <c r="Z18" s="1538"/>
      <c r="AA18" s="1535">
        <v>1</v>
      </c>
      <c r="AB18" s="1535">
        <v>1</v>
      </c>
      <c r="AC18" s="2145">
        <v>1</v>
      </c>
    </row>
    <row r="19" spans="1:29" ht="15">
      <c r="A19" s="386"/>
      <c r="B19" s="586" t="s">
        <v>2508</v>
      </c>
      <c r="C19" s="2146" t="str">
        <f>估价对象房地状况!C7</f>
        <v>一般</v>
      </c>
      <c r="D19" s="413">
        <v>100</v>
      </c>
      <c r="E19" s="417"/>
      <c r="F19" s="413">
        <f>SUMIF(81:81,E20,82:82)-SUMIF(81:81,C20,82:82)+100</f>
        <v>100</v>
      </c>
      <c r="G19" s="415"/>
      <c r="H19" s="408">
        <f>SUMIF(81:81,G20,82:82)-SUMIF(81:81,C20,82:82)+100</f>
        <v>100</v>
      </c>
      <c r="I19" s="415"/>
      <c r="J19" s="408">
        <f>SUMIF(81:81,I20,82:82)-SUMIF(81:81,C20,82:82)+100</f>
        <v>100</v>
      </c>
      <c r="K19" s="570"/>
      <c r="L19" s="2944"/>
      <c r="M19" s="2938"/>
      <c r="N19" s="2938"/>
      <c r="O19" s="2938"/>
      <c r="P19" s="3556"/>
      <c r="Q19" s="1534" t="str">
        <f>B19</f>
        <v>公共配套设施</v>
      </c>
      <c r="R19" s="713" t="s">
        <v>17</v>
      </c>
      <c r="S19" s="714">
        <f>F19</f>
        <v>100</v>
      </c>
      <c r="T19" s="713" t="s">
        <v>17</v>
      </c>
      <c r="U19" s="714">
        <f>H19</f>
        <v>100</v>
      </c>
      <c r="V19" s="713" t="s">
        <v>17</v>
      </c>
      <c r="W19" s="714">
        <f>J19</f>
        <v>100</v>
      </c>
      <c r="X19" s="1537"/>
      <c r="Y19" s="3531"/>
      <c r="Z19" s="1538" t="str">
        <f>Q19</f>
        <v>公共配套设施</v>
      </c>
      <c r="AA19" s="1535">
        <f t="shared" si="3"/>
        <v>1</v>
      </c>
      <c r="AB19" s="1535">
        <f t="shared" si="4"/>
        <v>1</v>
      </c>
      <c r="AC19" s="2145">
        <f t="shared" si="5"/>
        <v>1</v>
      </c>
    </row>
    <row r="20" spans="1:29" ht="15">
      <c r="A20" s="386"/>
      <c r="B20" s="587"/>
      <c r="C20" s="2087"/>
      <c r="D20" s="406"/>
      <c r="E20" s="2080"/>
      <c r="F20" s="406"/>
      <c r="G20" s="2081"/>
      <c r="H20" s="406"/>
      <c r="I20" s="2081"/>
      <c r="J20" s="406"/>
      <c r="K20" s="571"/>
      <c r="L20" s="2944"/>
      <c r="M20" s="2938"/>
      <c r="N20" s="2938"/>
      <c r="O20" s="2938"/>
      <c r="P20" s="3556"/>
      <c r="Q20" s="1534"/>
      <c r="R20" s="713"/>
      <c r="S20" s="714"/>
      <c r="T20" s="713"/>
      <c r="U20" s="714"/>
      <c r="V20" s="713"/>
      <c r="W20" s="714"/>
      <c r="X20" s="1537"/>
      <c r="Y20" s="3531"/>
      <c r="Z20" s="1538"/>
      <c r="AA20" s="1535">
        <v>1</v>
      </c>
      <c r="AB20" s="1535">
        <v>1</v>
      </c>
      <c r="AC20" s="2145">
        <v>1</v>
      </c>
    </row>
    <row r="21" spans="1:29" ht="15">
      <c r="A21" s="386"/>
      <c r="B21" s="588" t="s">
        <v>2509</v>
      </c>
      <c r="C21" s="2146"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4"/>
      <c r="M21" s="2938"/>
      <c r="N21" s="2938"/>
      <c r="O21" s="2938"/>
      <c r="P21" s="3556"/>
      <c r="Q21" s="1534" t="str">
        <f>B21</f>
        <v>基础设施水平</v>
      </c>
      <c r="R21" s="713" t="s">
        <v>17</v>
      </c>
      <c r="S21" s="714">
        <f>F21</f>
        <v>100</v>
      </c>
      <c r="T21" s="713" t="s">
        <v>17</v>
      </c>
      <c r="U21" s="714">
        <f>H21</f>
        <v>100</v>
      </c>
      <c r="V21" s="713" t="s">
        <v>17</v>
      </c>
      <c r="W21" s="714">
        <f>J21</f>
        <v>100</v>
      </c>
      <c r="X21" s="1537"/>
      <c r="Y21" s="3531"/>
      <c r="Z21" s="1538" t="str">
        <f>Q21</f>
        <v>基础设施水平</v>
      </c>
      <c r="AA21" s="1535">
        <f t="shared" ref="AA21" si="8">D21/F21</f>
        <v>1</v>
      </c>
      <c r="AB21" s="1535">
        <f t="shared" ref="AB21" si="9">D21/H21</f>
        <v>1</v>
      </c>
      <c r="AC21" s="2145">
        <f t="shared" ref="AC21" si="10">D21/J21</f>
        <v>1</v>
      </c>
    </row>
    <row r="22" spans="1:29" ht="15">
      <c r="A22" s="386"/>
      <c r="B22" s="588"/>
      <c r="C22" s="2147"/>
      <c r="D22" s="406"/>
      <c r="E22" s="405"/>
      <c r="F22" s="406"/>
      <c r="G22" s="2087"/>
      <c r="H22" s="406"/>
      <c r="I22" s="2087"/>
      <c r="J22" s="406"/>
      <c r="K22" s="1291"/>
      <c r="L22" s="2944"/>
      <c r="M22" s="2938"/>
      <c r="N22" s="2938"/>
      <c r="O22" s="2938"/>
      <c r="P22" s="3556"/>
      <c r="Q22" s="1534"/>
      <c r="R22" s="713"/>
      <c r="S22" s="714"/>
      <c r="T22" s="713"/>
      <c r="U22" s="714"/>
      <c r="V22" s="713"/>
      <c r="W22" s="714"/>
      <c r="X22" s="1537"/>
      <c r="Y22" s="3531"/>
      <c r="Z22" s="1538"/>
      <c r="AA22" s="1535">
        <v>1</v>
      </c>
      <c r="AB22" s="1535">
        <v>1</v>
      </c>
      <c r="AC22" s="2145">
        <v>1</v>
      </c>
    </row>
    <row r="23" spans="1:29" ht="15">
      <c r="A23" s="386"/>
      <c r="B23" s="586" t="s">
        <v>2510</v>
      </c>
      <c r="C23" s="2146"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44"/>
      <c r="M23" s="2938"/>
      <c r="N23" s="2938"/>
      <c r="O23" s="2938"/>
      <c r="P23" s="3556"/>
      <c r="Q23" s="1534" t="str">
        <f>B23</f>
        <v>环境质量</v>
      </c>
      <c r="R23" s="713" t="s">
        <v>17</v>
      </c>
      <c r="S23" s="714">
        <f>F23</f>
        <v>100</v>
      </c>
      <c r="T23" s="713" t="s">
        <v>17</v>
      </c>
      <c r="U23" s="714">
        <f>H23</f>
        <v>100</v>
      </c>
      <c r="V23" s="713" t="s">
        <v>17</v>
      </c>
      <c r="W23" s="714">
        <f>J23</f>
        <v>100</v>
      </c>
      <c r="X23" s="1537"/>
      <c r="Y23" s="3531"/>
      <c r="Z23" s="1538" t="str">
        <f>Q23</f>
        <v>环境质量</v>
      </c>
      <c r="AA23" s="1535">
        <f t="shared" si="3"/>
        <v>1</v>
      </c>
      <c r="AB23" s="1535">
        <f t="shared" si="4"/>
        <v>1</v>
      </c>
      <c r="AC23" s="2145">
        <f t="shared" si="5"/>
        <v>1</v>
      </c>
    </row>
    <row r="24" spans="1:29" ht="15">
      <c r="A24" s="386"/>
      <c r="B24" s="588"/>
      <c r="C24" s="2087"/>
      <c r="D24" s="406"/>
      <c r="E24" s="2080"/>
      <c r="F24" s="406"/>
      <c r="G24" s="2081"/>
      <c r="H24" s="406"/>
      <c r="I24" s="2081"/>
      <c r="J24" s="406"/>
      <c r="K24" s="571"/>
      <c r="L24" s="2944"/>
      <c r="M24" s="2938"/>
      <c r="N24" s="2938"/>
      <c r="O24" s="2938"/>
      <c r="P24" s="3556"/>
      <c r="Q24" s="1534"/>
      <c r="R24" s="713"/>
      <c r="S24" s="714"/>
      <c r="T24" s="713"/>
      <c r="U24" s="714"/>
      <c r="V24" s="713"/>
      <c r="W24" s="714"/>
      <c r="X24" s="1537"/>
      <c r="Y24" s="3531"/>
      <c r="Z24" s="1538"/>
      <c r="AA24" s="1535">
        <v>1</v>
      </c>
      <c r="AB24" s="1535">
        <v>1</v>
      </c>
      <c r="AC24" s="2145">
        <v>1</v>
      </c>
    </row>
    <row r="25" spans="1:29" ht="27">
      <c r="A25" s="363"/>
      <c r="B25" s="586" t="s">
        <v>2511</v>
      </c>
      <c r="C25" s="2091"/>
      <c r="D25" s="393">
        <v>100</v>
      </c>
      <c r="E25" s="392"/>
      <c r="F25" s="393">
        <f>SUMIF(87:87,E26,88:88)-SUMIF(87:87,C26,88:88)+100</f>
        <v>100</v>
      </c>
      <c r="G25" s="2091"/>
      <c r="H25" s="393">
        <f>SUMIF(87:87,G26,88:88)-SUMIF(87:87,C26,88:88)+100</f>
        <v>100</v>
      </c>
      <c r="I25" s="392"/>
      <c r="J25" s="393">
        <f>SUMIF(87:87,I26,88:88)-SUMIF(87:87,C26,88:88)+100</f>
        <v>100</v>
      </c>
      <c r="K25" s="570"/>
      <c r="L25" s="2944"/>
      <c r="M25" s="2938"/>
      <c r="N25" s="2938"/>
      <c r="O25" s="2938"/>
      <c r="P25" s="3556"/>
      <c r="Q25" s="1534" t="str">
        <f>B25</f>
        <v>毗邻道路的类型与等级</v>
      </c>
      <c r="R25" s="713" t="s">
        <v>17</v>
      </c>
      <c r="S25" s="714">
        <f>F25</f>
        <v>100</v>
      </c>
      <c r="T25" s="713" t="s">
        <v>17</v>
      </c>
      <c r="U25" s="714">
        <f>H25</f>
        <v>100</v>
      </c>
      <c r="V25" s="713" t="s">
        <v>17</v>
      </c>
      <c r="W25" s="714">
        <f>J25</f>
        <v>100</v>
      </c>
      <c r="X25" s="1537"/>
      <c r="Y25" s="3531"/>
      <c r="Z25" s="1538" t="str">
        <f>Q25</f>
        <v>毗邻道路的类型与等级</v>
      </c>
      <c r="AA25" s="1535">
        <f t="shared" si="3"/>
        <v>1</v>
      </c>
      <c r="AB25" s="1535">
        <f t="shared" si="4"/>
        <v>1</v>
      </c>
      <c r="AC25" s="2145">
        <f t="shared" si="5"/>
        <v>1</v>
      </c>
    </row>
    <row r="26" spans="1:29" ht="15">
      <c r="A26" s="363"/>
      <c r="B26" s="587"/>
      <c r="C26" s="589"/>
      <c r="D26" s="393"/>
      <c r="E26" s="572"/>
      <c r="F26" s="393"/>
      <c r="G26" s="589"/>
      <c r="H26" s="393"/>
      <c r="I26" s="572"/>
      <c r="J26" s="393"/>
      <c r="K26" s="571"/>
      <c r="L26" s="2944"/>
      <c r="M26" s="2938"/>
      <c r="N26" s="2938"/>
      <c r="O26" s="2938"/>
      <c r="P26" s="3556"/>
      <c r="Q26" s="1534"/>
      <c r="R26" s="713"/>
      <c r="S26" s="714"/>
      <c r="T26" s="713"/>
      <c r="U26" s="714"/>
      <c r="V26" s="713"/>
      <c r="W26" s="714"/>
      <c r="X26" s="1537"/>
      <c r="Y26" s="3531"/>
      <c r="Z26" s="1538"/>
      <c r="AA26" s="1535">
        <v>1</v>
      </c>
      <c r="AB26" s="1535">
        <v>1</v>
      </c>
      <c r="AC26" s="2145">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44"/>
      <c r="M27" s="2938"/>
      <c r="N27" s="2938"/>
      <c r="O27" s="2938"/>
      <c r="P27" s="3556"/>
      <c r="Q27" s="1534" t="str">
        <f t="shared" ref="Q27:Q47" si="11">B27</f>
        <v>楼层</v>
      </c>
      <c r="R27" s="713" t="s">
        <v>17</v>
      </c>
      <c r="S27" s="714">
        <f>F27</f>
        <v>100</v>
      </c>
      <c r="T27" s="713" t="s">
        <v>17</v>
      </c>
      <c r="U27" s="714">
        <f>H27</f>
        <v>100</v>
      </c>
      <c r="V27" s="713" t="s">
        <v>17</v>
      </c>
      <c r="W27" s="714">
        <f>J27</f>
        <v>100</v>
      </c>
      <c r="X27" s="1537"/>
      <c r="Y27" s="3531"/>
      <c r="Z27" s="1538" t="str">
        <f>Q27</f>
        <v>楼层</v>
      </c>
      <c r="AA27" s="1535">
        <f t="shared" si="3"/>
        <v>1</v>
      </c>
      <c r="AB27" s="1535">
        <f t="shared" si="4"/>
        <v>1</v>
      </c>
      <c r="AC27" s="2145">
        <f t="shared" si="5"/>
        <v>1</v>
      </c>
    </row>
    <row r="28" spans="1:29" s="112" customFormat="1" ht="15">
      <c r="A28" s="389"/>
      <c r="B28" s="586" t="s">
        <v>2512</v>
      </c>
      <c r="C28" s="2148"/>
      <c r="D28" s="420">
        <v>100</v>
      </c>
      <c r="E28" s="2139"/>
      <c r="F28" s="420">
        <f>SUMIF(91:91,E28,92:92)-SUMIF(91:91,C28,92:92)+100</f>
        <v>100</v>
      </c>
      <c r="G28" s="2148"/>
      <c r="H28" s="420">
        <f>SUMIF(91:91,G28,92:92)-SUMIF(91:91,C28,92:92)+100</f>
        <v>100</v>
      </c>
      <c r="I28" s="2139"/>
      <c r="J28" s="420">
        <f>SUMIF(91:91,I28,92:92)-SUMIF(91:91,C28,92:92)+100</f>
        <v>100</v>
      </c>
      <c r="K28" s="568"/>
      <c r="L28" s="2939"/>
      <c r="M28" s="2940"/>
      <c r="N28" s="2940"/>
      <c r="O28" s="2940"/>
      <c r="P28" s="3556"/>
      <c r="Q28" s="1525" t="str">
        <f t="shared" si="11"/>
        <v>朝向</v>
      </c>
      <c r="R28" s="709" t="s">
        <v>17</v>
      </c>
      <c r="S28" s="710">
        <f>F28</f>
        <v>100</v>
      </c>
      <c r="T28" s="709" t="s">
        <v>17</v>
      </c>
      <c r="U28" s="710">
        <f>H28</f>
        <v>100</v>
      </c>
      <c r="V28" s="709" t="s">
        <v>17</v>
      </c>
      <c r="W28" s="710">
        <f>J28</f>
        <v>100</v>
      </c>
      <c r="X28" s="711"/>
      <c r="Y28" s="3531"/>
      <c r="Z28" s="54" t="str">
        <f>Q28</f>
        <v>朝向</v>
      </c>
      <c r="AA28" s="1535">
        <f>D28/F28</f>
        <v>1</v>
      </c>
      <c r="AB28" s="1535">
        <f>D28/H28</f>
        <v>1</v>
      </c>
      <c r="AC28" s="2145">
        <f>D28/J28</f>
        <v>1</v>
      </c>
    </row>
    <row r="29" spans="1:29" ht="15">
      <c r="A29" s="386"/>
      <c r="B29" s="2149">
        <v>111</v>
      </c>
      <c r="C29" s="2091"/>
      <c r="D29" s="393">
        <v>100</v>
      </c>
      <c r="E29" s="390"/>
      <c r="F29" s="393">
        <f>SUMIF(93:93,E29,94:94)-SUMIF(93:93,C29,94:94)+100</f>
        <v>100</v>
      </c>
      <c r="G29" s="2143"/>
      <c r="H29" s="393">
        <f>SUMIF(93:93,G29,94:94)-SUMIF(93:93,C29,94:94)+100</f>
        <v>100</v>
      </c>
      <c r="I29" s="390"/>
      <c r="J29" s="393">
        <f>SUMIF(93:93,I29,94:94)-SUMIF(93:93,C29,94:94)+100</f>
        <v>100</v>
      </c>
      <c r="K29" s="569"/>
      <c r="L29" s="2944"/>
      <c r="M29" s="2938"/>
      <c r="N29" s="2938"/>
      <c r="O29" s="2938"/>
      <c r="P29" s="3556"/>
      <c r="Q29" s="1534">
        <f t="shared" si="11"/>
        <v>111</v>
      </c>
      <c r="R29" s="713" t="s">
        <v>17</v>
      </c>
      <c r="S29" s="714">
        <f t="shared" ref="S29:S47" si="12">F29</f>
        <v>100</v>
      </c>
      <c r="T29" s="713" t="s">
        <v>17</v>
      </c>
      <c r="U29" s="714">
        <f t="shared" ref="U29:U47" si="13">H29</f>
        <v>100</v>
      </c>
      <c r="V29" s="713" t="s">
        <v>17</v>
      </c>
      <c r="W29" s="714">
        <f t="shared" ref="W29:W47" si="14">J29</f>
        <v>100</v>
      </c>
      <c r="X29" s="1537"/>
      <c r="Y29" s="3531"/>
      <c r="Z29" s="1538">
        <f t="shared" ref="Z29:Z47" si="15">Q29</f>
        <v>111</v>
      </c>
      <c r="AA29" s="1535">
        <f t="shared" si="3"/>
        <v>1</v>
      </c>
      <c r="AB29" s="1535">
        <f t="shared" si="4"/>
        <v>1</v>
      </c>
      <c r="AC29" s="2145">
        <f t="shared" si="5"/>
        <v>1</v>
      </c>
    </row>
    <row r="30" spans="1:29" ht="15">
      <c r="A30" s="386"/>
      <c r="B30" s="2149">
        <v>111</v>
      </c>
      <c r="C30" s="2091"/>
      <c r="D30" s="393">
        <v>100</v>
      </c>
      <c r="E30" s="390"/>
      <c r="F30" s="393">
        <f>SUMIF(95:95,E30,96:96)-SUMIF(95:95,C30,96:96)+100</f>
        <v>100</v>
      </c>
      <c r="G30" s="2143"/>
      <c r="H30" s="393">
        <f>SUMIF(95:95,G30,96:96)-SUMIF(95:95,C30,96:96)+100</f>
        <v>100</v>
      </c>
      <c r="I30" s="390"/>
      <c r="J30" s="393">
        <f>SUMIF(95:95,I30,96:96)-SUMIF(95:95,C30,96:96)+100</f>
        <v>100</v>
      </c>
      <c r="K30" s="569"/>
      <c r="L30" s="2944"/>
      <c r="M30" s="2938"/>
      <c r="N30" s="2938"/>
      <c r="O30" s="2938"/>
      <c r="P30" s="3556"/>
      <c r="Q30" s="1534">
        <f t="shared" si="11"/>
        <v>111</v>
      </c>
      <c r="R30" s="713" t="s">
        <v>17</v>
      </c>
      <c r="S30" s="714">
        <f t="shared" si="12"/>
        <v>100</v>
      </c>
      <c r="T30" s="713" t="s">
        <v>17</v>
      </c>
      <c r="U30" s="714">
        <f t="shared" si="13"/>
        <v>100</v>
      </c>
      <c r="V30" s="713" t="s">
        <v>17</v>
      </c>
      <c r="W30" s="714">
        <f t="shared" si="14"/>
        <v>100</v>
      </c>
      <c r="X30" s="1537"/>
      <c r="Y30" s="3531"/>
      <c r="Z30" s="1538">
        <f t="shared" si="15"/>
        <v>111</v>
      </c>
      <c r="AA30" s="1535">
        <f t="shared" si="3"/>
        <v>1</v>
      </c>
      <c r="AB30" s="1535">
        <f t="shared" si="4"/>
        <v>1</v>
      </c>
      <c r="AC30" s="2145">
        <f t="shared" si="5"/>
        <v>1</v>
      </c>
    </row>
    <row r="31" spans="1:29" ht="15">
      <c r="A31" s="386"/>
      <c r="B31" s="2149">
        <v>111</v>
      </c>
      <c r="C31" s="2091"/>
      <c r="D31" s="393">
        <v>100</v>
      </c>
      <c r="E31" s="390"/>
      <c r="F31" s="393">
        <f>SUMIF(97:97,E31,98:98)-SUMIF(97:97,C31,98:98)+100</f>
        <v>100</v>
      </c>
      <c r="G31" s="2143"/>
      <c r="H31" s="393">
        <f>SUMIF(97:97,G31,98:98)-SUMIF(97:97,C31,98:98)+100</f>
        <v>100</v>
      </c>
      <c r="I31" s="390"/>
      <c r="J31" s="393">
        <f>SUMIF(97:97,I31,98:98)-SUMIF(97:97,C31,98:98)+100</f>
        <v>100</v>
      </c>
      <c r="K31" s="569"/>
      <c r="L31" s="2944"/>
      <c r="M31" s="2938"/>
      <c r="N31" s="2938"/>
      <c r="O31" s="2938"/>
      <c r="P31" s="3556"/>
      <c r="Q31" s="1534">
        <f t="shared" si="11"/>
        <v>111</v>
      </c>
      <c r="R31" s="713" t="s">
        <v>17</v>
      </c>
      <c r="S31" s="714">
        <f t="shared" si="12"/>
        <v>100</v>
      </c>
      <c r="T31" s="713" t="s">
        <v>17</v>
      </c>
      <c r="U31" s="714">
        <f t="shared" si="13"/>
        <v>100</v>
      </c>
      <c r="V31" s="713" t="s">
        <v>17</v>
      </c>
      <c r="W31" s="714">
        <f t="shared" si="14"/>
        <v>100</v>
      </c>
      <c r="X31" s="1537"/>
      <c r="Y31" s="3531"/>
      <c r="Z31" s="1538">
        <f t="shared" si="15"/>
        <v>111</v>
      </c>
      <c r="AA31" s="1535">
        <f t="shared" si="3"/>
        <v>1</v>
      </c>
      <c r="AB31" s="1535">
        <f t="shared" si="4"/>
        <v>1</v>
      </c>
      <c r="AC31" s="2145">
        <f t="shared" si="5"/>
        <v>1</v>
      </c>
    </row>
    <row r="32" spans="1:29" ht="15.75" thickBot="1">
      <c r="A32" s="394"/>
      <c r="B32" s="590">
        <v>111</v>
      </c>
      <c r="C32" s="2092"/>
      <c r="D32" s="396">
        <v>100</v>
      </c>
      <c r="E32" s="583"/>
      <c r="F32" s="396">
        <f>SUMIF(99:99,E32,100:100)-SUMIF(99:99,C32,100:100)+100</f>
        <v>100</v>
      </c>
      <c r="G32" s="2143"/>
      <c r="H32" s="396">
        <f>SUMIF(99:99,G32,100:100)-SUMIF(99:99,C32,100:100)+100</f>
        <v>100</v>
      </c>
      <c r="I32" s="390"/>
      <c r="J32" s="396">
        <f>SUMIF(99:99,I32,100:100)-SUMIF(99:99,C32,100:100)+100</f>
        <v>100</v>
      </c>
      <c r="K32" s="569"/>
      <c r="L32" s="2944"/>
      <c r="M32" s="2938"/>
      <c r="N32" s="2938"/>
      <c r="O32" s="2938"/>
      <c r="P32" s="3556"/>
      <c r="Q32" s="1534">
        <f t="shared" si="11"/>
        <v>111</v>
      </c>
      <c r="R32" s="713" t="s">
        <v>17</v>
      </c>
      <c r="S32" s="714">
        <f t="shared" si="12"/>
        <v>100</v>
      </c>
      <c r="T32" s="713" t="s">
        <v>17</v>
      </c>
      <c r="U32" s="714">
        <f t="shared" si="13"/>
        <v>100</v>
      </c>
      <c r="V32" s="713" t="s">
        <v>17</v>
      </c>
      <c r="W32" s="714">
        <f t="shared" si="14"/>
        <v>100</v>
      </c>
      <c r="X32" s="1537"/>
      <c r="Y32" s="3531"/>
      <c r="Z32" s="1538">
        <f t="shared" si="15"/>
        <v>111</v>
      </c>
      <c r="AA32" s="1535">
        <f t="shared" si="3"/>
        <v>1</v>
      </c>
      <c r="AB32" s="1535">
        <f t="shared" si="4"/>
        <v>1</v>
      </c>
      <c r="AC32" s="2145">
        <f t="shared" si="5"/>
        <v>1</v>
      </c>
    </row>
    <row r="33" spans="1:29" ht="15">
      <c r="A33" s="398" t="s">
        <v>2383</v>
      </c>
      <c r="B33" s="66" t="s">
        <v>2513</v>
      </c>
      <c r="C33" s="2150"/>
      <c r="D33" s="425">
        <v>100</v>
      </c>
      <c r="E33" s="2150"/>
      <c r="F33" s="419">
        <f>SUMIF(101:101,E33,102:102)-SUMIF(101:101,C33,102:102)+100</f>
        <v>100</v>
      </c>
      <c r="G33" s="2150"/>
      <c r="H33" s="393">
        <f>SUMIF(101:101,G33,102:102)-SUMIF(101:101,C33,102:102)+100</f>
        <v>100</v>
      </c>
      <c r="I33" s="2150"/>
      <c r="J33" s="425">
        <f>SUMIF(101:101,I33,102:102)-SUMIF(101:101,C33,102:102)+100</f>
        <v>100</v>
      </c>
      <c r="K33" s="568"/>
      <c r="L33" s="2944"/>
      <c r="M33" s="2938"/>
      <c r="N33" s="2938"/>
      <c r="O33" s="2938"/>
      <c r="P33" s="3551" t="s">
        <v>2385</v>
      </c>
      <c r="Q33" s="1534" t="str">
        <f t="shared" si="11"/>
        <v>建筑类型</v>
      </c>
      <c r="R33" s="713" t="s">
        <v>17</v>
      </c>
      <c r="S33" s="714">
        <f t="shared" si="12"/>
        <v>100</v>
      </c>
      <c r="T33" s="713" t="s">
        <v>17</v>
      </c>
      <c r="U33" s="714">
        <f t="shared" si="13"/>
        <v>100</v>
      </c>
      <c r="V33" s="713" t="s">
        <v>17</v>
      </c>
      <c r="W33" s="714">
        <f t="shared" si="14"/>
        <v>100</v>
      </c>
      <c r="X33" s="1537"/>
      <c r="Y33" s="3533" t="s">
        <v>2385</v>
      </c>
      <c r="Z33" s="1538" t="str">
        <f t="shared" si="15"/>
        <v>建筑类型</v>
      </c>
      <c r="AA33" s="1535">
        <f t="shared" si="3"/>
        <v>1</v>
      </c>
      <c r="AB33" s="1535">
        <f t="shared" si="4"/>
        <v>1</v>
      </c>
      <c r="AC33" s="2145">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3"/>
      <c r="M34" s="2945"/>
      <c r="N34" s="2945"/>
      <c r="O34" s="2945"/>
      <c r="P34" s="3552"/>
      <c r="Q34" s="715" t="str">
        <f t="shared" si="11"/>
        <v>项目建筑规模</v>
      </c>
      <c r="R34" s="716" t="s">
        <v>17</v>
      </c>
      <c r="S34" s="717" t="e">
        <f t="shared" si="12"/>
        <v>#N/A</v>
      </c>
      <c r="T34" s="716" t="s">
        <v>17</v>
      </c>
      <c r="U34" s="717" t="e">
        <f t="shared" si="13"/>
        <v>#N/A</v>
      </c>
      <c r="V34" s="716" t="s">
        <v>17</v>
      </c>
      <c r="W34" s="717" t="e">
        <f t="shared" si="14"/>
        <v>#N/A</v>
      </c>
      <c r="X34" s="718"/>
      <c r="Y34" s="3533"/>
      <c r="Z34" s="719" t="str">
        <f t="shared" si="15"/>
        <v>项目建筑规模</v>
      </c>
      <c r="AA34" s="1535" t="e">
        <f t="shared" si="3"/>
        <v>#N/A</v>
      </c>
      <c r="AB34" s="1535" t="e">
        <f t="shared" si="4"/>
        <v>#N/A</v>
      </c>
      <c r="AC34" s="2145"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4"/>
      <c r="M35" s="2938"/>
      <c r="N35" s="2938"/>
      <c r="O35" s="2938"/>
      <c r="P35" s="3552"/>
      <c r="Q35" s="1534" t="str">
        <f t="shared" si="11"/>
        <v>建筑结构</v>
      </c>
      <c r="R35" s="713" t="s">
        <v>17</v>
      </c>
      <c r="S35" s="714">
        <f t="shared" si="12"/>
        <v>100</v>
      </c>
      <c r="T35" s="713" t="s">
        <v>17</v>
      </c>
      <c r="U35" s="714">
        <f t="shared" si="13"/>
        <v>100</v>
      </c>
      <c r="V35" s="713" t="s">
        <v>17</v>
      </c>
      <c r="W35" s="714">
        <f t="shared" si="14"/>
        <v>100</v>
      </c>
      <c r="X35" s="1537"/>
      <c r="Y35" s="3533"/>
      <c r="Z35" s="1538" t="str">
        <f t="shared" si="15"/>
        <v>建筑结构</v>
      </c>
      <c r="AA35" s="1535">
        <f t="shared" si="3"/>
        <v>1</v>
      </c>
      <c r="AB35" s="1535">
        <f t="shared" si="4"/>
        <v>1</v>
      </c>
      <c r="AC35" s="2145">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4"/>
      <c r="M36" s="2938"/>
      <c r="N36" s="2938"/>
      <c r="O36" s="2938"/>
      <c r="P36" s="3552"/>
      <c r="Q36" s="1534" t="str">
        <f t="shared" si="11"/>
        <v>公共部分装修</v>
      </c>
      <c r="R36" s="713" t="s">
        <v>17</v>
      </c>
      <c r="S36" s="714">
        <f t="shared" si="12"/>
        <v>100</v>
      </c>
      <c r="T36" s="713" t="s">
        <v>17</v>
      </c>
      <c r="U36" s="714">
        <f t="shared" si="13"/>
        <v>100</v>
      </c>
      <c r="V36" s="713" t="s">
        <v>17</v>
      </c>
      <c r="W36" s="714">
        <f t="shared" si="14"/>
        <v>100</v>
      </c>
      <c r="X36" s="1537"/>
      <c r="Y36" s="3533"/>
      <c r="Z36" s="1538" t="str">
        <f t="shared" si="15"/>
        <v>公共部分装修</v>
      </c>
      <c r="AA36" s="1535">
        <f t="shared" si="3"/>
        <v>1</v>
      </c>
      <c r="AB36" s="1535">
        <f t="shared" si="4"/>
        <v>1</v>
      </c>
      <c r="AC36" s="2145">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4"/>
      <c r="M37" s="2938"/>
      <c r="N37" s="2938"/>
      <c r="O37" s="2938"/>
      <c r="P37" s="3552"/>
      <c r="Q37" s="1534" t="str">
        <f t="shared" si="11"/>
        <v>成新度</v>
      </c>
      <c r="R37" s="713" t="s">
        <v>17</v>
      </c>
      <c r="S37" s="714" t="e">
        <f t="shared" si="12"/>
        <v>#N/A</v>
      </c>
      <c r="T37" s="713" t="s">
        <v>17</v>
      </c>
      <c r="U37" s="714" t="e">
        <f t="shared" si="13"/>
        <v>#N/A</v>
      </c>
      <c r="V37" s="713" t="s">
        <v>17</v>
      </c>
      <c r="W37" s="714" t="e">
        <f t="shared" si="14"/>
        <v>#N/A</v>
      </c>
      <c r="X37" s="1537"/>
      <c r="Y37" s="3533"/>
      <c r="Z37" s="1538" t="str">
        <f t="shared" si="15"/>
        <v>成新度</v>
      </c>
      <c r="AA37" s="1535" t="e">
        <f t="shared" si="3"/>
        <v>#N/A</v>
      </c>
      <c r="AB37" s="1535" t="e">
        <f t="shared" si="4"/>
        <v>#N/A</v>
      </c>
      <c r="AC37" s="2145" t="e">
        <f t="shared" si="5"/>
        <v>#N/A</v>
      </c>
    </row>
    <row r="38" spans="1:29" s="112"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9"/>
      <c r="M38" s="2940"/>
      <c r="N38" s="2940"/>
      <c r="O38" s="2940"/>
      <c r="P38" s="3552"/>
      <c r="Q38" s="1525" t="str">
        <f t="shared" si="11"/>
        <v>写字楼等级</v>
      </c>
      <c r="R38" s="709" t="s">
        <v>17</v>
      </c>
      <c r="S38" s="710">
        <f t="shared" si="12"/>
        <v>100</v>
      </c>
      <c r="T38" s="709" t="s">
        <v>17</v>
      </c>
      <c r="U38" s="710">
        <f t="shared" si="13"/>
        <v>100</v>
      </c>
      <c r="V38" s="709" t="s">
        <v>17</v>
      </c>
      <c r="W38" s="710">
        <f t="shared" si="14"/>
        <v>100</v>
      </c>
      <c r="X38" s="711"/>
      <c r="Y38" s="3533"/>
      <c r="Z38" s="54" t="str">
        <f t="shared" si="15"/>
        <v>写字楼等级</v>
      </c>
      <c r="AA38" s="712">
        <f t="shared" si="3"/>
        <v>1</v>
      </c>
      <c r="AB38" s="712">
        <f t="shared" si="4"/>
        <v>1</v>
      </c>
      <c r="AC38" s="2142">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4"/>
      <c r="M39" s="2938"/>
      <c r="N39" s="2938"/>
      <c r="O39" s="2938"/>
      <c r="P39" s="3552" t="s">
        <v>2385</v>
      </c>
      <c r="Q39" s="1534" t="str">
        <f t="shared" si="11"/>
        <v>物业管理</v>
      </c>
      <c r="R39" s="713" t="s">
        <v>17</v>
      </c>
      <c r="S39" s="714">
        <f t="shared" si="12"/>
        <v>100</v>
      </c>
      <c r="T39" s="713" t="s">
        <v>17</v>
      </c>
      <c r="U39" s="714">
        <f t="shared" si="13"/>
        <v>100</v>
      </c>
      <c r="V39" s="713" t="s">
        <v>17</v>
      </c>
      <c r="W39" s="714">
        <f t="shared" si="14"/>
        <v>100</v>
      </c>
      <c r="X39" s="1537"/>
      <c r="Y39" s="3533" t="s">
        <v>2385</v>
      </c>
      <c r="Z39" s="1538" t="str">
        <f t="shared" si="15"/>
        <v>物业管理</v>
      </c>
      <c r="AA39" s="1535">
        <f t="shared" si="3"/>
        <v>1</v>
      </c>
      <c r="AB39" s="1535">
        <f t="shared" si="4"/>
        <v>1</v>
      </c>
      <c r="AC39" s="2145">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4"/>
      <c r="M40" s="2938"/>
      <c r="N40" s="2938"/>
      <c r="O40" s="2938"/>
      <c r="P40" s="3552"/>
      <c r="Q40" s="1534" t="str">
        <f t="shared" si="11"/>
        <v>市政基础设施</v>
      </c>
      <c r="R40" s="713" t="s">
        <v>17</v>
      </c>
      <c r="S40" s="714">
        <f t="shared" si="12"/>
        <v>100</v>
      </c>
      <c r="T40" s="713" t="s">
        <v>17</v>
      </c>
      <c r="U40" s="714">
        <f t="shared" si="13"/>
        <v>100</v>
      </c>
      <c r="V40" s="713" t="s">
        <v>17</v>
      </c>
      <c r="W40" s="714">
        <f t="shared" si="14"/>
        <v>100</v>
      </c>
      <c r="X40" s="1537"/>
      <c r="Y40" s="3533"/>
      <c r="Z40" s="1538" t="str">
        <f t="shared" si="15"/>
        <v>市政基础设施</v>
      </c>
      <c r="AA40" s="1535">
        <f t="shared" si="3"/>
        <v>1</v>
      </c>
      <c r="AB40" s="1535">
        <f t="shared" si="4"/>
        <v>1</v>
      </c>
      <c r="AC40" s="2145">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4"/>
      <c r="M41" s="2938"/>
      <c r="N41" s="2938"/>
      <c r="O41" s="2938"/>
      <c r="P41" s="3552"/>
      <c r="Q41" s="1534" t="str">
        <f t="shared" si="11"/>
        <v>层高</v>
      </c>
      <c r="R41" s="713" t="s">
        <v>17</v>
      </c>
      <c r="S41" s="714">
        <f t="shared" si="12"/>
        <v>100</v>
      </c>
      <c r="T41" s="713" t="s">
        <v>17</v>
      </c>
      <c r="U41" s="714">
        <f t="shared" si="13"/>
        <v>100</v>
      </c>
      <c r="V41" s="713" t="s">
        <v>17</v>
      </c>
      <c r="W41" s="714">
        <f t="shared" si="14"/>
        <v>100</v>
      </c>
      <c r="X41" s="1537"/>
      <c r="Y41" s="3533"/>
      <c r="Z41" s="1538" t="str">
        <f t="shared" si="15"/>
        <v>层高</v>
      </c>
      <c r="AA41" s="1535">
        <f t="shared" si="3"/>
        <v>1</v>
      </c>
      <c r="AB41" s="1535">
        <f t="shared" si="4"/>
        <v>1</v>
      </c>
      <c r="AC41" s="2145">
        <f t="shared" si="5"/>
        <v>1</v>
      </c>
    </row>
    <row r="42" spans="1:29" s="429" customFormat="1" ht="15">
      <c r="A42" s="426"/>
      <c r="B42" s="1536"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3"/>
      <c r="M42" s="2945"/>
      <c r="N42" s="2945"/>
      <c r="O42" s="2945"/>
      <c r="P42" s="3552"/>
      <c r="Q42" s="715" t="str">
        <f t="shared" si="11"/>
        <v>单套建筑面积</v>
      </c>
      <c r="R42" s="716" t="s">
        <v>17</v>
      </c>
      <c r="S42" s="717">
        <f t="shared" si="12"/>
        <v>100</v>
      </c>
      <c r="T42" s="716" t="s">
        <v>17</v>
      </c>
      <c r="U42" s="717">
        <f t="shared" si="13"/>
        <v>100</v>
      </c>
      <c r="V42" s="716" t="s">
        <v>17</v>
      </c>
      <c r="W42" s="717">
        <f t="shared" si="14"/>
        <v>100</v>
      </c>
      <c r="X42" s="718"/>
      <c r="Y42" s="3533"/>
      <c r="Z42" s="719" t="str">
        <f t="shared" si="15"/>
        <v>单套建筑面积</v>
      </c>
      <c r="AA42" s="1535">
        <f t="shared" si="3"/>
        <v>1</v>
      </c>
      <c r="AB42" s="1535">
        <f t="shared" si="4"/>
        <v>1</v>
      </c>
      <c r="AC42" s="2145">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4"/>
      <c r="M43" s="2938"/>
      <c r="N43" s="2938"/>
      <c r="O43" s="2938"/>
      <c r="P43" s="3552"/>
      <c r="Q43" s="1534" t="str">
        <f t="shared" si="11"/>
        <v>内部装修</v>
      </c>
      <c r="R43" s="713" t="s">
        <v>17</v>
      </c>
      <c r="S43" s="714">
        <f t="shared" si="12"/>
        <v>100</v>
      </c>
      <c r="T43" s="713" t="s">
        <v>17</v>
      </c>
      <c r="U43" s="714">
        <f t="shared" si="13"/>
        <v>100</v>
      </c>
      <c r="V43" s="713" t="s">
        <v>17</v>
      </c>
      <c r="W43" s="714">
        <f t="shared" si="14"/>
        <v>100</v>
      </c>
      <c r="X43" s="1537"/>
      <c r="Y43" s="3533"/>
      <c r="Z43" s="1538" t="str">
        <f t="shared" si="15"/>
        <v>内部装修</v>
      </c>
      <c r="AA43" s="1535">
        <f t="shared" si="3"/>
        <v>1</v>
      </c>
      <c r="AB43" s="1535">
        <f t="shared" si="4"/>
        <v>1</v>
      </c>
      <c r="AC43" s="2145">
        <f t="shared" si="5"/>
        <v>1</v>
      </c>
    </row>
    <row r="44" spans="1:29" ht="15">
      <c r="A44" s="430"/>
      <c r="B44" s="380" t="s">
        <v>2396</v>
      </c>
      <c r="C44" s="418"/>
      <c r="D44" s="393">
        <v>100</v>
      </c>
      <c r="E44" s="2089"/>
      <c r="F44" s="419">
        <f>SUMIF(125:125,E44,126:126)-SUMIF(125:125,C44,126:126)+100</f>
        <v>100</v>
      </c>
      <c r="G44" s="2089"/>
      <c r="H44" s="393">
        <f>SUMIF(125:125,G44,126:126)-SUMIF(125:125,C44,126:126)+100</f>
        <v>100</v>
      </c>
      <c r="I44" s="2089"/>
      <c r="J44" s="393">
        <f>SUMIF(125:125,I44,126:126)-SUMIF(125:125,C44,126:126)+100</f>
        <v>100</v>
      </c>
      <c r="K44" s="568"/>
      <c r="L44" s="2944"/>
      <c r="M44" s="2938"/>
      <c r="N44" s="2938"/>
      <c r="O44" s="2938"/>
      <c r="P44" s="3552"/>
      <c r="Q44" s="1534" t="str">
        <f t="shared" si="11"/>
        <v>内部装修维护情况</v>
      </c>
      <c r="R44" s="713" t="s">
        <v>17</v>
      </c>
      <c r="S44" s="714">
        <f t="shared" si="12"/>
        <v>100</v>
      </c>
      <c r="T44" s="713" t="s">
        <v>17</v>
      </c>
      <c r="U44" s="714">
        <f t="shared" si="13"/>
        <v>100</v>
      </c>
      <c r="V44" s="713" t="s">
        <v>17</v>
      </c>
      <c r="W44" s="714">
        <f t="shared" si="14"/>
        <v>100</v>
      </c>
      <c r="X44" s="1537"/>
      <c r="Y44" s="3533"/>
      <c r="Z44" s="1538" t="str">
        <f t="shared" si="15"/>
        <v>内部装修维护情况</v>
      </c>
      <c r="AA44" s="1535">
        <f t="shared" si="3"/>
        <v>1</v>
      </c>
      <c r="AB44" s="1535">
        <f t="shared" si="4"/>
        <v>1</v>
      </c>
      <c r="AC44" s="2145">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9"/>
      <c r="M45" s="2940"/>
      <c r="N45" s="2940"/>
      <c r="O45" s="2940"/>
      <c r="P45" s="3552"/>
      <c r="Q45" s="1525">
        <f t="shared" si="11"/>
        <v>111</v>
      </c>
      <c r="R45" s="709" t="s">
        <v>17</v>
      </c>
      <c r="S45" s="710">
        <f t="shared" si="12"/>
        <v>100</v>
      </c>
      <c r="T45" s="709" t="s">
        <v>17</v>
      </c>
      <c r="U45" s="710">
        <f t="shared" si="13"/>
        <v>100</v>
      </c>
      <c r="V45" s="709" t="s">
        <v>17</v>
      </c>
      <c r="W45" s="710">
        <f t="shared" si="14"/>
        <v>100</v>
      </c>
      <c r="X45" s="711"/>
      <c r="Y45" s="3533"/>
      <c r="Z45" s="54">
        <f t="shared" si="15"/>
        <v>111</v>
      </c>
      <c r="AA45" s="712">
        <f t="shared" si="3"/>
        <v>1</v>
      </c>
      <c r="AB45" s="712">
        <f t="shared" si="4"/>
        <v>1</v>
      </c>
      <c r="AC45" s="2142">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4"/>
      <c r="M46" s="2938"/>
      <c r="N46" s="2938"/>
      <c r="O46" s="2938"/>
      <c r="P46" s="3552"/>
      <c r="Q46" s="1534">
        <f t="shared" si="11"/>
        <v>111</v>
      </c>
      <c r="R46" s="713" t="s">
        <v>17</v>
      </c>
      <c r="S46" s="714">
        <f t="shared" si="12"/>
        <v>100</v>
      </c>
      <c r="T46" s="713" t="s">
        <v>17</v>
      </c>
      <c r="U46" s="714">
        <f t="shared" si="13"/>
        <v>100</v>
      </c>
      <c r="V46" s="713" t="s">
        <v>17</v>
      </c>
      <c r="W46" s="714">
        <f t="shared" si="14"/>
        <v>100</v>
      </c>
      <c r="X46" s="1537"/>
      <c r="Y46" s="3533"/>
      <c r="Z46" s="1538">
        <f t="shared" si="15"/>
        <v>111</v>
      </c>
      <c r="AA46" s="1535">
        <f t="shared" si="3"/>
        <v>1</v>
      </c>
      <c r="AB46" s="1535">
        <f t="shared" si="4"/>
        <v>1</v>
      </c>
      <c r="AC46" s="2145">
        <f t="shared" si="5"/>
        <v>1</v>
      </c>
    </row>
    <row r="47" spans="1:29" ht="15.75" thickBot="1">
      <c r="A47" s="436"/>
      <c r="B47" s="207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4"/>
      <c r="M47" s="2938"/>
      <c r="N47" s="2938"/>
      <c r="O47" s="2938"/>
      <c r="P47" s="3553"/>
      <c r="Q47" s="1534">
        <f t="shared" si="11"/>
        <v>111</v>
      </c>
      <c r="R47" s="713" t="s">
        <v>17</v>
      </c>
      <c r="S47" s="714">
        <f t="shared" si="12"/>
        <v>100</v>
      </c>
      <c r="T47" s="713" t="s">
        <v>17</v>
      </c>
      <c r="U47" s="714">
        <f t="shared" si="13"/>
        <v>100</v>
      </c>
      <c r="V47" s="713" t="s">
        <v>17</v>
      </c>
      <c r="W47" s="714">
        <f t="shared" si="14"/>
        <v>100</v>
      </c>
      <c r="X47" s="1537"/>
      <c r="Y47" s="3554"/>
      <c r="Z47" s="1538">
        <f t="shared" si="15"/>
        <v>111</v>
      </c>
      <c r="AA47" s="1535">
        <f t="shared" si="3"/>
        <v>1</v>
      </c>
      <c r="AB47" s="1535">
        <f t="shared" si="4"/>
        <v>1</v>
      </c>
      <c r="AC47" s="2145">
        <f t="shared" si="5"/>
        <v>1</v>
      </c>
    </row>
    <row r="48" spans="1:29" ht="15">
      <c r="A48" s="437" t="s">
        <v>2397</v>
      </c>
      <c r="B48" s="438"/>
      <c r="C48" s="1315" t="s">
        <v>1</v>
      </c>
      <c r="D48" s="1316"/>
      <c r="E48" s="1317"/>
      <c r="F48" s="1318"/>
      <c r="G48" s="1319"/>
      <c r="H48" s="1320"/>
      <c r="I48" s="1317"/>
      <c r="J48" s="443"/>
      <c r="K48" s="722"/>
      <c r="L48" s="2946"/>
      <c r="M48" s="2938"/>
      <c r="N48" s="2938"/>
      <c r="O48" s="2938"/>
      <c r="P48" s="3539" t="str">
        <f>A48</f>
        <v>成交单价（元/平方米）</v>
      </c>
      <c r="Q48" s="3515"/>
      <c r="R48" s="3550">
        <f>E48</f>
        <v>0</v>
      </c>
      <c r="S48" s="3550"/>
      <c r="T48" s="3550">
        <f>G48</f>
        <v>0</v>
      </c>
      <c r="U48" s="3550"/>
      <c r="V48" s="3550">
        <f>I48</f>
        <v>0</v>
      </c>
      <c r="W48" s="3550"/>
      <c r="X48" s="404"/>
      <c r="Y48" s="720"/>
      <c r="Z48" s="404"/>
      <c r="AA48" s="404"/>
      <c r="AB48" s="404"/>
      <c r="AC48" s="585"/>
    </row>
    <row r="49" spans="1:29" ht="15.75" thickBot="1">
      <c r="A49" s="444" t="s">
        <v>2489</v>
      </c>
      <c r="B49" s="445"/>
      <c r="C49" s="1321" t="e">
        <f>R50</f>
        <v>#DIV/0!</v>
      </c>
      <c r="D49" s="2535" t="s">
        <v>2880</v>
      </c>
      <c r="E49" s="1322" t="e">
        <f>R49</f>
        <v>#DIV/0!</v>
      </c>
      <c r="F49" s="2536"/>
      <c r="G49" s="1321" t="e">
        <f>T49</f>
        <v>#DIV/0!</v>
      </c>
      <c r="H49" s="2536"/>
      <c r="I49" s="1322" t="e">
        <f>V49</f>
        <v>#DIV/0!</v>
      </c>
      <c r="J49" s="2536"/>
      <c r="K49" s="2538">
        <f>F49+H49+J49</f>
        <v>0</v>
      </c>
      <c r="L49" s="2946"/>
      <c r="M49" s="2938"/>
      <c r="N49" s="2938"/>
      <c r="O49" s="2938"/>
      <c r="P49" s="3539" t="str">
        <f>A49</f>
        <v>比较价值（元/平方米）</v>
      </c>
      <c r="Q49" s="3515"/>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404"/>
      <c r="Y49" s="404"/>
      <c r="Z49" s="404"/>
      <c r="AA49" s="404"/>
      <c r="AB49" s="404"/>
      <c r="AC49" s="585"/>
    </row>
    <row r="50" spans="1:29" ht="15.75" thickBot="1">
      <c r="A50" s="448" t="s">
        <v>2490</v>
      </c>
      <c r="B50" s="449"/>
      <c r="C50" s="1324" t="e">
        <f>R50</f>
        <v>#DIV/0!</v>
      </c>
      <c r="D50" s="1324"/>
      <c r="E50" s="1324"/>
      <c r="F50" s="1324"/>
      <c r="G50" s="1324"/>
      <c r="H50" s="1324"/>
      <c r="I50" s="1324"/>
      <c r="J50" s="450"/>
      <c r="K50" s="723"/>
      <c r="L50" s="2946"/>
      <c r="M50" s="2938"/>
      <c r="N50" s="2938"/>
      <c r="O50" s="2938"/>
      <c r="P50" s="3570" t="str">
        <f>A50</f>
        <v>估价对象XX用房的比较价值（楼面单价，元/平方米）</v>
      </c>
      <c r="Q50" s="3571"/>
      <c r="R50" s="3572" t="e">
        <f>IF(F1="售价",ROUND(IF(D49="简单平均",AVERAGE(R49:V49),R49*F49+T49*H49+V49*J49),0),ROUND(IF(D49="简单平均",AVERAGE(R49:V49),R49*F49+T49*H49+V49*J49),1))</f>
        <v>#DIV/0!</v>
      </c>
      <c r="S50" s="3572"/>
      <c r="T50" s="3572"/>
      <c r="U50" s="3572"/>
      <c r="V50" s="3572"/>
      <c r="W50" s="3572"/>
      <c r="X50" s="2129"/>
      <c r="Y50" s="2129"/>
      <c r="Z50" s="2129"/>
      <c r="AA50" s="2129"/>
      <c r="AB50" s="2129"/>
      <c r="AC50" s="2130"/>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58" customFormat="1" ht="13.5" customHeight="1">
      <c r="A55" s="2950"/>
      <c r="B55" s="2950"/>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58"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2" t="s">
        <v>2494</v>
      </c>
      <c r="B58" s="698"/>
      <c r="C58" s="703"/>
      <c r="D58" s="703"/>
      <c r="E58" s="703"/>
      <c r="F58" s="704"/>
      <c r="G58" s="704"/>
      <c r="H58" s="703"/>
      <c r="I58" s="703"/>
      <c r="J58" s="703"/>
      <c r="K58" s="705"/>
      <c r="L58" s="1072"/>
      <c r="M58" s="1070"/>
      <c r="N58" s="2991"/>
      <c r="O58" s="2991"/>
      <c r="P58" s="2980"/>
      <c r="Q58" s="2961"/>
      <c r="R58" s="2947"/>
      <c r="S58" s="2947"/>
      <c r="T58" s="2947"/>
      <c r="U58" s="2947"/>
      <c r="V58" s="2947"/>
      <c r="W58" s="2947"/>
      <c r="X58" s="2947"/>
      <c r="Y58" s="2947"/>
      <c r="Z58" s="2947"/>
      <c r="AA58" s="2947"/>
      <c r="AB58" s="2947"/>
      <c r="AC58" s="2947"/>
    </row>
    <row r="59" spans="1:29" s="464" customFormat="1" ht="15">
      <c r="A59" s="461" t="s">
        <v>2368</v>
      </c>
      <c r="B59" s="462"/>
      <c r="C59" s="1344" t="str">
        <f>YEAR(C7)&amp;"-"&amp;MONTH(C7)</f>
        <v>2021-10</v>
      </c>
      <c r="D59" s="1345">
        <f>EDATE(C59,-1)</f>
        <v>44440</v>
      </c>
      <c r="E59" s="1345">
        <f>EDATE(D59,-1)</f>
        <v>44409</v>
      </c>
      <c r="F59" s="1345">
        <f t="shared" ref="F59:O59" si="16">EDATE(E59,-1)</f>
        <v>44378</v>
      </c>
      <c r="G59" s="1345">
        <f t="shared" si="16"/>
        <v>44348</v>
      </c>
      <c r="H59" s="1345">
        <f t="shared" si="16"/>
        <v>44317</v>
      </c>
      <c r="I59" s="1345">
        <f t="shared" si="16"/>
        <v>44287</v>
      </c>
      <c r="J59" s="1345">
        <f t="shared" si="16"/>
        <v>44256</v>
      </c>
      <c r="K59" s="1345">
        <f t="shared" si="16"/>
        <v>44228</v>
      </c>
      <c r="L59" s="1345">
        <f t="shared" si="16"/>
        <v>44197</v>
      </c>
      <c r="M59" s="1345">
        <f t="shared" si="16"/>
        <v>44166</v>
      </c>
      <c r="N59" s="1345">
        <f t="shared" si="16"/>
        <v>44136</v>
      </c>
      <c r="O59" s="1345">
        <f t="shared" si="16"/>
        <v>44105</v>
      </c>
      <c r="P59" s="2981"/>
      <c r="Q59" s="2963"/>
      <c r="R59" s="2963"/>
      <c r="S59" s="2963"/>
      <c r="T59" s="2963"/>
      <c r="U59" s="2963"/>
      <c r="V59" s="2963"/>
      <c r="W59" s="2963"/>
      <c r="X59" s="2963"/>
      <c r="Y59" s="2963"/>
      <c r="Z59" s="2963"/>
      <c r="AA59" s="2963"/>
      <c r="AB59" s="2963"/>
      <c r="AC59" s="2963"/>
    </row>
    <row r="60" spans="1:29" s="112" customFormat="1" ht="15">
      <c r="A60" s="465"/>
      <c r="B60" s="466"/>
      <c r="C60" s="1343">
        <v>100</v>
      </c>
      <c r="D60" s="468"/>
      <c r="E60" s="468"/>
      <c r="F60" s="468"/>
      <c r="G60" s="468"/>
      <c r="H60" s="468"/>
      <c r="I60" s="468"/>
      <c r="J60" s="468"/>
      <c r="K60" s="468"/>
      <c r="L60" s="468"/>
      <c r="M60" s="469"/>
      <c r="N60" s="468"/>
      <c r="O60" s="469"/>
      <c r="P60" s="2982"/>
      <c r="Q60" s="2882"/>
      <c r="R60" s="2882"/>
      <c r="S60" s="2882"/>
      <c r="T60" s="2882"/>
      <c r="U60" s="2882"/>
      <c r="V60" s="2882"/>
      <c r="W60" s="2882"/>
      <c r="X60" s="2882"/>
      <c r="Y60" s="2882"/>
      <c r="Z60" s="2882"/>
      <c r="AA60" s="2882"/>
      <c r="AB60" s="2882"/>
      <c r="AC60" s="2882"/>
    </row>
    <row r="61" spans="1:29" s="112" customFormat="1" ht="15.75" thickBot="1">
      <c r="A61" s="471" t="s">
        <v>2405</v>
      </c>
      <c r="B61" s="472"/>
      <c r="C61" s="473"/>
      <c r="D61" s="474"/>
      <c r="E61" s="474"/>
      <c r="F61" s="474"/>
      <c r="G61" s="474"/>
      <c r="H61" s="474"/>
      <c r="I61" s="474"/>
      <c r="J61" s="474"/>
      <c r="K61" s="474"/>
      <c r="L61" s="474"/>
      <c r="M61" s="475"/>
      <c r="N61" s="474"/>
      <c r="O61" s="475"/>
      <c r="P61" s="2982"/>
      <c r="Q61" s="2961"/>
      <c r="R61" s="2882"/>
      <c r="S61" s="2882"/>
      <c r="T61" s="2882"/>
      <c r="U61" s="2882"/>
      <c r="V61" s="2882"/>
      <c r="W61" s="2882"/>
      <c r="X61" s="2882"/>
      <c r="Y61" s="2882"/>
      <c r="Z61" s="2882"/>
      <c r="AA61" s="2882"/>
      <c r="AB61" s="2882"/>
      <c r="AC61" s="2882"/>
    </row>
    <row r="62" spans="1:29" s="112" customFormat="1" ht="15">
      <c r="A62" s="477" t="s">
        <v>2370</v>
      </c>
      <c r="B62" s="466"/>
      <c r="C62" s="478" t="s">
        <v>2472</v>
      </c>
      <c r="D62" s="479"/>
      <c r="E62" s="479"/>
      <c r="F62" s="479"/>
      <c r="G62" s="479"/>
      <c r="H62" s="479"/>
      <c r="I62" s="479"/>
      <c r="J62" s="479"/>
      <c r="K62" s="479"/>
      <c r="L62" s="480"/>
      <c r="M62" s="481"/>
      <c r="N62" s="2974"/>
      <c r="O62" s="2974"/>
      <c r="P62" s="2983"/>
      <c r="Q62" s="2961"/>
      <c r="R62" s="2882"/>
      <c r="S62" s="2882"/>
      <c r="T62" s="2882"/>
      <c r="U62" s="2882"/>
      <c r="V62" s="2882"/>
      <c r="W62" s="2882"/>
      <c r="X62" s="2882"/>
      <c r="Y62" s="2882"/>
      <c r="Z62" s="2882"/>
      <c r="AA62" s="2882"/>
      <c r="AB62" s="2882"/>
      <c r="AC62" s="2882"/>
    </row>
    <row r="63" spans="1:29" s="112" customFormat="1" ht="15.75" thickBot="1">
      <c r="A63" s="477"/>
      <c r="B63" s="466"/>
      <c r="C63" s="467">
        <v>100</v>
      </c>
      <c r="D63" s="468"/>
      <c r="E63" s="468"/>
      <c r="F63" s="468"/>
      <c r="G63" s="468"/>
      <c r="H63" s="468"/>
      <c r="I63" s="468"/>
      <c r="J63" s="468"/>
      <c r="K63" s="468"/>
      <c r="L63" s="468"/>
      <c r="M63" s="470"/>
      <c r="N63" s="2974"/>
      <c r="O63" s="2974"/>
      <c r="P63" s="2982"/>
      <c r="Q63" s="2961"/>
      <c r="R63" s="2882"/>
      <c r="S63" s="2882"/>
      <c r="T63" s="2882"/>
      <c r="U63" s="2882"/>
      <c r="V63" s="2882"/>
      <c r="W63" s="2882"/>
      <c r="X63" s="2882"/>
      <c r="Y63" s="2882"/>
      <c r="Z63" s="2882"/>
      <c r="AA63" s="2882"/>
      <c r="AB63" s="2882"/>
      <c r="AC63" s="2882"/>
    </row>
    <row r="64" spans="1:29">
      <c r="A64" s="483" t="s">
        <v>2408</v>
      </c>
      <c r="B64" s="484" t="s">
        <v>2374</v>
      </c>
      <c r="C64" s="485">
        <f>C9</f>
        <v>0</v>
      </c>
      <c r="D64" s="486"/>
      <c r="E64" s="486"/>
      <c r="F64" s="486"/>
      <c r="G64" s="486"/>
      <c r="H64" s="486"/>
      <c r="I64" s="486"/>
      <c r="J64" s="486"/>
      <c r="K64" s="487"/>
      <c r="L64" s="488"/>
      <c r="M64" s="489"/>
      <c r="N64" s="2975"/>
      <c r="O64" s="2975"/>
      <c r="P64" s="2984"/>
      <c r="Q64" s="2961"/>
      <c r="R64" s="2947"/>
      <c r="S64" s="2947"/>
      <c r="T64" s="2947"/>
      <c r="U64" s="2947"/>
      <c r="V64" s="2947"/>
      <c r="W64" s="2947"/>
      <c r="X64" s="2947"/>
      <c r="Y64" s="2947"/>
      <c r="Z64" s="2947"/>
      <c r="AA64" s="2947"/>
      <c r="AB64" s="2947"/>
      <c r="AC64" s="2947"/>
    </row>
    <row r="65" spans="1:29" ht="15.75" thickBot="1">
      <c r="A65" s="490"/>
      <c r="B65" s="491"/>
      <c r="C65" s="492">
        <v>100</v>
      </c>
      <c r="D65" s="492"/>
      <c r="E65" s="492"/>
      <c r="F65" s="492"/>
      <c r="G65" s="492"/>
      <c r="H65" s="492"/>
      <c r="I65" s="492"/>
      <c r="J65" s="492"/>
      <c r="K65" s="492"/>
      <c r="L65" s="492"/>
      <c r="M65" s="493"/>
      <c r="N65" s="2976"/>
      <c r="O65" s="2976"/>
      <c r="P65" s="2984"/>
      <c r="Q65" s="2961"/>
      <c r="R65" s="2947"/>
      <c r="S65" s="2947"/>
      <c r="T65" s="2947"/>
      <c r="U65" s="2947"/>
      <c r="V65" s="2947"/>
      <c r="W65" s="2947"/>
      <c r="X65" s="2947"/>
      <c r="Y65" s="2947"/>
      <c r="Z65" s="2947"/>
      <c r="AA65" s="2947"/>
      <c r="AB65" s="2947"/>
      <c r="AC65" s="2947"/>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75"/>
      <c r="O66" s="2975"/>
      <c r="P66" s="2984"/>
      <c r="Q66" s="2961"/>
      <c r="R66" s="2947"/>
      <c r="S66" s="2947"/>
      <c r="T66" s="2947"/>
      <c r="U66" s="2947"/>
      <c r="V66" s="2947"/>
      <c r="W66" s="2947"/>
      <c r="X66" s="2947"/>
      <c r="Y66" s="2947"/>
      <c r="Z66" s="2947"/>
      <c r="AA66" s="2947"/>
      <c r="AB66" s="2947"/>
      <c r="AC66" s="294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6"/>
      <c r="O67" s="2976"/>
      <c r="P67" s="2984"/>
      <c r="Q67" s="2961"/>
      <c r="R67" s="2947"/>
      <c r="S67" s="2947"/>
      <c r="T67" s="2947"/>
      <c r="U67" s="2947"/>
      <c r="V67" s="2947"/>
      <c r="W67" s="2947"/>
      <c r="X67" s="2947"/>
      <c r="Y67" s="2947"/>
      <c r="Z67" s="2947"/>
      <c r="AA67" s="2947"/>
      <c r="AB67" s="2947"/>
      <c r="AC67" s="2947"/>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0"/>
      <c r="B69" s="504"/>
      <c r="C69" s="505"/>
      <c r="D69" s="505"/>
      <c r="E69" s="505"/>
      <c r="F69" s="505"/>
      <c r="G69" s="505"/>
      <c r="H69" s="505"/>
      <c r="I69" s="505"/>
      <c r="J69" s="505"/>
      <c r="K69" s="506"/>
      <c r="L69" s="507"/>
      <c r="M69" s="508"/>
      <c r="N69" s="2975"/>
      <c r="O69" s="2975"/>
      <c r="P69" s="2984"/>
      <c r="Q69" s="2961"/>
      <c r="R69" s="2947"/>
      <c r="S69" s="2947"/>
      <c r="T69" s="2947"/>
      <c r="U69" s="2947"/>
      <c r="V69" s="2947"/>
      <c r="W69" s="2947"/>
      <c r="X69" s="2947"/>
      <c r="Y69" s="2947"/>
      <c r="Z69" s="2947"/>
      <c r="AA69" s="2947"/>
      <c r="AB69" s="2947"/>
      <c r="AC69" s="2947"/>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6"/>
      <c r="O70" s="2976"/>
      <c r="P70" s="2984"/>
      <c r="Q70" s="2961"/>
      <c r="R70" s="2947"/>
      <c r="S70" s="2947"/>
      <c r="T70" s="2947"/>
      <c r="U70" s="2947"/>
      <c r="V70" s="2947"/>
      <c r="W70" s="2947"/>
      <c r="X70" s="2947"/>
      <c r="Y70" s="2947"/>
      <c r="Z70" s="2947"/>
      <c r="AA70" s="2947"/>
      <c r="AB70" s="2947"/>
      <c r="AC70" s="2947"/>
    </row>
    <row r="71" spans="1:29" s="429" customFormat="1" ht="15.75" thickTop="1">
      <c r="A71" s="509"/>
      <c r="B71" s="494">
        <f>B12</f>
        <v>111</v>
      </c>
      <c r="C71" s="510"/>
      <c r="D71" s="510"/>
      <c r="E71" s="510"/>
      <c r="F71" s="510"/>
      <c r="G71" s="510"/>
      <c r="H71" s="511"/>
      <c r="I71" s="511"/>
      <c r="J71" s="511"/>
      <c r="K71" s="511"/>
      <c r="L71" s="512"/>
      <c r="M71" s="513"/>
      <c r="N71" s="2977"/>
      <c r="O71" s="2977"/>
      <c r="P71" s="2985"/>
      <c r="Q71" s="2968"/>
      <c r="R71" s="2969"/>
      <c r="S71" s="2969"/>
      <c r="T71" s="2969"/>
      <c r="U71" s="2969"/>
      <c r="V71" s="2969"/>
      <c r="W71" s="2969"/>
      <c r="X71" s="2969"/>
      <c r="Y71" s="2969"/>
      <c r="Z71" s="2969"/>
      <c r="AA71" s="2969"/>
      <c r="AB71" s="2969"/>
      <c r="AC71" s="2969"/>
    </row>
    <row r="72" spans="1:29" s="429" customFormat="1" ht="15.75" thickBot="1">
      <c r="A72" s="509"/>
      <c r="B72" s="499"/>
      <c r="C72" s="516"/>
      <c r="D72" s="492"/>
      <c r="E72" s="492"/>
      <c r="F72" s="492"/>
      <c r="G72" s="492"/>
      <c r="H72" s="492"/>
      <c r="I72" s="492"/>
      <c r="J72" s="492"/>
      <c r="K72" s="492"/>
      <c r="L72" s="492"/>
      <c r="M72" s="493"/>
      <c r="N72" s="2976"/>
      <c r="O72" s="2976"/>
      <c r="P72" s="2985"/>
      <c r="Q72" s="2968"/>
      <c r="R72" s="2969"/>
      <c r="S72" s="2969"/>
      <c r="T72" s="2969"/>
      <c r="U72" s="2969"/>
      <c r="V72" s="2969"/>
      <c r="W72" s="2969"/>
      <c r="X72" s="2969"/>
      <c r="Y72" s="2969"/>
      <c r="Z72" s="2969"/>
      <c r="AA72" s="2969"/>
      <c r="AB72" s="2969"/>
      <c r="AC72" s="2969"/>
    </row>
    <row r="73" spans="1:29" s="429" customFormat="1" ht="15.75" thickTop="1">
      <c r="A73" s="509"/>
      <c r="B73" s="494">
        <f>B13</f>
        <v>111</v>
      </c>
      <c r="C73" s="510"/>
      <c r="D73" s="510"/>
      <c r="E73" s="510"/>
      <c r="F73" s="510"/>
      <c r="G73" s="510"/>
      <c r="H73" s="511"/>
      <c r="I73" s="511"/>
      <c r="J73" s="511"/>
      <c r="K73" s="511"/>
      <c r="L73" s="512"/>
      <c r="M73" s="513"/>
      <c r="N73" s="2977"/>
      <c r="O73" s="2977"/>
      <c r="P73" s="2986"/>
      <c r="Q73" s="2971"/>
      <c r="R73" s="2969"/>
      <c r="S73" s="2969"/>
      <c r="T73" s="2969"/>
      <c r="U73" s="2969"/>
      <c r="V73" s="2969"/>
      <c r="W73" s="2969"/>
      <c r="X73" s="2969"/>
      <c r="Y73" s="2969"/>
      <c r="Z73" s="2969"/>
      <c r="AA73" s="2969"/>
      <c r="AB73" s="2969"/>
      <c r="AC73" s="2969"/>
    </row>
    <row r="74" spans="1:29" s="429" customFormat="1" ht="15.75" thickBot="1">
      <c r="A74" s="509"/>
      <c r="B74" s="499"/>
      <c r="C74" s="516"/>
      <c r="D74" s="516"/>
      <c r="E74" s="516"/>
      <c r="F74" s="516"/>
      <c r="G74" s="516"/>
      <c r="H74" s="518"/>
      <c r="I74" s="518"/>
      <c r="J74" s="518"/>
      <c r="K74" s="518"/>
      <c r="L74" s="518"/>
      <c r="M74" s="519"/>
      <c r="N74" s="2977"/>
      <c r="O74" s="2977"/>
      <c r="P74" s="2985"/>
      <c r="Q74" s="2968"/>
      <c r="R74" s="2969"/>
      <c r="S74" s="2969"/>
      <c r="T74" s="2969"/>
      <c r="U74" s="2969"/>
      <c r="V74" s="2969"/>
      <c r="W74" s="2969"/>
      <c r="X74" s="2969"/>
      <c r="Y74" s="2969"/>
      <c r="Z74" s="2969"/>
      <c r="AA74" s="2969"/>
      <c r="AB74" s="2969"/>
      <c r="AC74" s="2969"/>
    </row>
    <row r="75" spans="1:29" s="429" customFormat="1" ht="15.75" thickTop="1">
      <c r="A75" s="509"/>
      <c r="B75" s="502">
        <f>B14</f>
        <v>111</v>
      </c>
      <c r="C75" s="479"/>
      <c r="D75" s="479"/>
      <c r="E75" s="479"/>
      <c r="F75" s="479"/>
      <c r="G75" s="479"/>
      <c r="H75" s="520"/>
      <c r="I75" s="520"/>
      <c r="J75" s="520"/>
      <c r="K75" s="520"/>
      <c r="L75" s="521"/>
      <c r="M75" s="522"/>
      <c r="N75" s="2977"/>
      <c r="O75" s="2977"/>
      <c r="P75" s="2987"/>
      <c r="Q75" s="2968"/>
      <c r="R75" s="2969"/>
      <c r="S75" s="2969"/>
      <c r="T75" s="2969"/>
      <c r="U75" s="2969"/>
      <c r="V75" s="2969"/>
      <c r="W75" s="2969"/>
      <c r="X75" s="2969"/>
      <c r="Y75" s="2969"/>
      <c r="Z75" s="2969"/>
      <c r="AA75" s="2969"/>
      <c r="AB75" s="2969"/>
      <c r="AC75" s="2969"/>
    </row>
    <row r="76" spans="1:29" s="429" customFormat="1" ht="15.75" thickBot="1">
      <c r="A76" s="524"/>
      <c r="B76" s="525"/>
      <c r="C76" s="526"/>
      <c r="D76" s="526"/>
      <c r="E76" s="526"/>
      <c r="F76" s="526"/>
      <c r="G76" s="526"/>
      <c r="H76" s="527"/>
      <c r="I76" s="527"/>
      <c r="J76" s="527"/>
      <c r="K76" s="527"/>
      <c r="L76" s="527"/>
      <c r="M76" s="528"/>
      <c r="N76" s="2977"/>
      <c r="O76" s="2977"/>
      <c r="P76" s="2985"/>
      <c r="Q76" s="2968"/>
      <c r="R76" s="2969"/>
      <c r="S76" s="2969"/>
      <c r="T76" s="2969"/>
      <c r="U76" s="2969"/>
      <c r="V76" s="2969"/>
      <c r="W76" s="2969"/>
      <c r="X76" s="2969"/>
      <c r="Y76" s="2969"/>
      <c r="Z76" s="2969"/>
      <c r="AA76" s="2969"/>
      <c r="AB76" s="2969"/>
      <c r="AC76" s="2969"/>
    </row>
    <row r="77" spans="1:29">
      <c r="A77" s="483" t="s">
        <v>2379</v>
      </c>
      <c r="B77" s="484" t="s">
        <v>2517</v>
      </c>
      <c r="C77" s="529" t="s">
        <v>2417</v>
      </c>
      <c r="D77" s="529" t="s">
        <v>2418</v>
      </c>
      <c r="E77" s="529" t="s">
        <v>2419</v>
      </c>
      <c r="F77" s="529" t="s">
        <v>2420</v>
      </c>
      <c r="G77" s="529" t="s">
        <v>2421</v>
      </c>
      <c r="H77" s="485"/>
      <c r="I77" s="485"/>
      <c r="J77" s="485"/>
      <c r="K77" s="530"/>
      <c r="L77" s="531"/>
      <c r="M77" s="532"/>
      <c r="N77" s="2975"/>
      <c r="O77" s="2975"/>
      <c r="P77" s="2988"/>
      <c r="Q77" s="2961"/>
      <c r="R77" s="2947"/>
      <c r="S77" s="2947"/>
      <c r="T77" s="2947"/>
      <c r="U77" s="2947"/>
      <c r="V77" s="2947"/>
      <c r="W77" s="2947"/>
      <c r="X77" s="2947"/>
      <c r="Y77" s="2947"/>
      <c r="Z77" s="2947"/>
      <c r="AA77" s="2947"/>
      <c r="AB77" s="2947"/>
      <c r="AC77" s="2947"/>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6"/>
      <c r="O78" s="2976"/>
      <c r="P78" s="2984"/>
      <c r="Q78" s="2961"/>
      <c r="R78" s="2947"/>
      <c r="S78" s="2947"/>
      <c r="T78" s="2947"/>
      <c r="U78" s="2947"/>
      <c r="V78" s="2947"/>
      <c r="W78" s="2947"/>
      <c r="X78" s="2947"/>
      <c r="Y78" s="2947"/>
      <c r="Z78" s="2947"/>
      <c r="AA78" s="2947"/>
      <c r="AB78" s="2947"/>
      <c r="AC78" s="2947"/>
    </row>
    <row r="79" spans="1:29" ht="15.75" thickTop="1">
      <c r="A79" s="490"/>
      <c r="B79" s="494" t="s">
        <v>2422</v>
      </c>
      <c r="C79" s="534" t="s">
        <v>2417</v>
      </c>
      <c r="D79" s="534" t="s">
        <v>2418</v>
      </c>
      <c r="E79" s="534" t="s">
        <v>2419</v>
      </c>
      <c r="F79" s="534" t="s">
        <v>2420</v>
      </c>
      <c r="G79" s="534" t="s">
        <v>2421</v>
      </c>
      <c r="H79" s="495"/>
      <c r="I79" s="495"/>
      <c r="J79" s="495"/>
      <c r="K79" s="496"/>
      <c r="L79" s="497"/>
      <c r="M79" s="498"/>
      <c r="N79" s="2975"/>
      <c r="O79" s="2975"/>
      <c r="P79" s="2984"/>
      <c r="Q79" s="2961"/>
      <c r="R79" s="2947"/>
      <c r="S79" s="2947"/>
      <c r="T79" s="2947"/>
      <c r="U79" s="2947"/>
      <c r="V79" s="2947"/>
      <c r="W79" s="2947"/>
      <c r="X79" s="2947"/>
      <c r="Y79" s="2947"/>
      <c r="Z79" s="2947"/>
      <c r="AA79" s="2947"/>
      <c r="AB79" s="2947"/>
      <c r="AC79" s="2947"/>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6"/>
      <c r="O80" s="2976"/>
      <c r="P80" s="2984"/>
      <c r="Q80" s="2961"/>
      <c r="R80" s="2947"/>
      <c r="S80" s="2947"/>
      <c r="T80" s="2947"/>
      <c r="U80" s="2947"/>
      <c r="V80" s="2947"/>
      <c r="W80" s="2947"/>
      <c r="X80" s="2947"/>
      <c r="Y80" s="2947"/>
      <c r="Z80" s="2947"/>
      <c r="AA80" s="2947"/>
      <c r="AB80" s="2947"/>
      <c r="AC80" s="2947"/>
    </row>
    <row r="81" spans="1:29" ht="15.75" thickTop="1">
      <c r="A81" s="490"/>
      <c r="B81" s="494" t="s">
        <v>2423</v>
      </c>
      <c r="C81" s="534" t="s">
        <v>2417</v>
      </c>
      <c r="D81" s="534" t="s">
        <v>2418</v>
      </c>
      <c r="E81" s="534" t="s">
        <v>2419</v>
      </c>
      <c r="F81" s="534" t="s">
        <v>2420</v>
      </c>
      <c r="G81" s="534" t="s">
        <v>2421</v>
      </c>
      <c r="H81" s="495"/>
      <c r="I81" s="495"/>
      <c r="J81" s="495"/>
      <c r="K81" s="496"/>
      <c r="L81" s="497"/>
      <c r="M81" s="498"/>
      <c r="N81" s="2975"/>
      <c r="O81" s="2975"/>
      <c r="P81" s="2984"/>
      <c r="Q81" s="2961"/>
      <c r="R81" s="2947"/>
      <c r="S81" s="2947"/>
      <c r="T81" s="2947"/>
      <c r="U81" s="2947"/>
      <c r="V81" s="2947"/>
      <c r="W81" s="2947"/>
      <c r="X81" s="2947"/>
      <c r="Y81" s="2947"/>
      <c r="Z81" s="2947"/>
      <c r="AA81" s="2947"/>
      <c r="AB81" s="2947"/>
      <c r="AC81" s="2947"/>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6"/>
      <c r="O82" s="2976"/>
      <c r="P82" s="2984"/>
      <c r="Q82" s="2961"/>
      <c r="R82" s="2947"/>
      <c r="S82" s="2947"/>
      <c r="T82" s="2947"/>
      <c r="U82" s="2947"/>
      <c r="V82" s="2947"/>
      <c r="W82" s="2947"/>
      <c r="X82" s="2947"/>
      <c r="Y82" s="2947"/>
      <c r="Z82" s="2947"/>
      <c r="AA82" s="2947"/>
      <c r="AB82" s="2947"/>
      <c r="AC82" s="2947"/>
    </row>
    <row r="83" spans="1:29" ht="15.75" thickTop="1">
      <c r="A83" s="490"/>
      <c r="B83" s="502" t="s">
        <v>2509</v>
      </c>
      <c r="C83" s="615" t="s">
        <v>2495</v>
      </c>
      <c r="D83" s="615" t="s">
        <v>2496</v>
      </c>
      <c r="E83" s="615" t="s">
        <v>2497</v>
      </c>
      <c r="F83" s="615" t="s">
        <v>2498</v>
      </c>
      <c r="G83" s="615" t="s">
        <v>2499</v>
      </c>
      <c r="H83" s="495"/>
      <c r="I83" s="495"/>
      <c r="J83" s="495"/>
      <c r="K83" s="495"/>
      <c r="L83" s="495"/>
      <c r="M83" s="1290"/>
      <c r="N83" s="2976"/>
      <c r="O83" s="2976"/>
      <c r="P83" s="2984"/>
      <c r="Q83" s="2961"/>
      <c r="R83" s="2947"/>
      <c r="S83" s="2947"/>
      <c r="T83" s="2947"/>
      <c r="U83" s="2947"/>
      <c r="V83" s="2947"/>
      <c r="W83" s="2947"/>
      <c r="X83" s="2947"/>
      <c r="Y83" s="2947"/>
      <c r="Z83" s="2947"/>
      <c r="AA83" s="2947"/>
      <c r="AB83" s="2947"/>
      <c r="AC83" s="2947"/>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6"/>
      <c r="O84" s="2976"/>
      <c r="P84" s="2984"/>
      <c r="Q84" s="2961"/>
      <c r="R84" s="2947"/>
      <c r="S84" s="2947"/>
      <c r="T84" s="2947"/>
      <c r="U84" s="2947"/>
      <c r="V84" s="2947"/>
      <c r="W84" s="2947"/>
      <c r="X84" s="2947"/>
      <c r="Y84" s="2947"/>
      <c r="Z84" s="2947"/>
      <c r="AA84" s="2947"/>
      <c r="AB84" s="2947"/>
      <c r="AC84" s="2947"/>
    </row>
    <row r="85" spans="1:29" ht="15.75" thickTop="1">
      <c r="A85" s="490"/>
      <c r="B85" s="494" t="s">
        <v>2518</v>
      </c>
      <c r="C85" s="534" t="s">
        <v>2417</v>
      </c>
      <c r="D85" s="534" t="s">
        <v>2418</v>
      </c>
      <c r="E85" s="534" t="s">
        <v>2419</v>
      </c>
      <c r="F85" s="534" t="s">
        <v>2420</v>
      </c>
      <c r="G85" s="534" t="s">
        <v>2421</v>
      </c>
      <c r="H85" s="495"/>
      <c r="I85" s="495"/>
      <c r="J85" s="495"/>
      <c r="K85" s="496"/>
      <c r="L85" s="497"/>
      <c r="M85" s="498"/>
      <c r="N85" s="2975"/>
      <c r="O85" s="2975"/>
      <c r="P85" s="2984"/>
      <c r="Q85" s="2961"/>
      <c r="R85" s="2947"/>
      <c r="S85" s="2947"/>
      <c r="T85" s="2947"/>
      <c r="U85" s="2947"/>
      <c r="V85" s="2947"/>
      <c r="W85" s="2947"/>
      <c r="X85" s="2947"/>
      <c r="Y85" s="2947"/>
      <c r="Z85" s="2947"/>
      <c r="AA85" s="2947"/>
      <c r="AB85" s="2947"/>
      <c r="AC85" s="2947"/>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6"/>
      <c r="O86" s="2976"/>
      <c r="P86" s="2984"/>
      <c r="Q86" s="2961"/>
      <c r="R86" s="2947"/>
      <c r="S86" s="2947"/>
      <c r="T86" s="2947"/>
      <c r="U86" s="2947"/>
      <c r="V86" s="2947"/>
      <c r="W86" s="2947"/>
      <c r="X86" s="2947"/>
      <c r="Y86" s="2947"/>
      <c r="Z86" s="2947"/>
      <c r="AA86" s="2947"/>
      <c r="AB86" s="2947"/>
      <c r="AC86" s="2947"/>
    </row>
    <row r="87" spans="1:29" s="112" customFormat="1" ht="27.75" thickTop="1">
      <c r="A87" s="535"/>
      <c r="B87" s="494" t="s">
        <v>2519</v>
      </c>
      <c r="C87" s="510"/>
      <c r="D87" s="510"/>
      <c r="E87" s="510"/>
      <c r="F87" s="510"/>
      <c r="G87" s="510"/>
      <c r="H87" s="510"/>
      <c r="I87" s="510"/>
      <c r="J87" s="510"/>
      <c r="K87" s="510"/>
      <c r="L87" s="536"/>
      <c r="M87" s="537"/>
      <c r="N87" s="2974"/>
      <c r="O87" s="2974"/>
      <c r="P87" s="2984"/>
      <c r="Q87" s="2961"/>
      <c r="R87" s="2882"/>
      <c r="S87" s="2882"/>
      <c r="T87" s="2882"/>
      <c r="U87" s="2882"/>
      <c r="V87" s="2882"/>
      <c r="W87" s="2882"/>
      <c r="X87" s="2882"/>
      <c r="Y87" s="2882"/>
      <c r="Z87" s="2882"/>
      <c r="AA87" s="2882"/>
      <c r="AB87" s="2882"/>
      <c r="AC87" s="2882"/>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6"/>
      <c r="O88" s="2976"/>
      <c r="P88" s="2984"/>
      <c r="Q88" s="2961"/>
      <c r="R88" s="2882"/>
      <c r="S88" s="2882"/>
      <c r="T88" s="2882"/>
      <c r="U88" s="2882"/>
      <c r="V88" s="2882"/>
      <c r="W88" s="2882"/>
      <c r="X88" s="2882"/>
      <c r="Y88" s="2882"/>
      <c r="Z88" s="2882"/>
      <c r="AA88" s="2882"/>
      <c r="AB88" s="2882"/>
      <c r="AC88" s="2882"/>
    </row>
    <row r="89" spans="1:29" s="112" customFormat="1" ht="15.75" thickTop="1">
      <c r="A89" s="535"/>
      <c r="B89" s="494" t="str">
        <f>B27</f>
        <v>楼层</v>
      </c>
      <c r="C89" s="510"/>
      <c r="D89" s="510"/>
      <c r="E89" s="510"/>
      <c r="F89" s="2110"/>
      <c r="G89" s="510"/>
      <c r="H89" s="510"/>
      <c r="I89" s="510"/>
      <c r="J89" s="510"/>
      <c r="K89" s="510"/>
      <c r="L89" s="510"/>
      <c r="M89" s="537"/>
      <c r="N89" s="2974"/>
      <c r="O89" s="2974"/>
      <c r="P89" s="2984"/>
      <c r="Q89" s="2961"/>
      <c r="R89" s="2882"/>
      <c r="S89" s="2882"/>
      <c r="T89" s="2882"/>
      <c r="U89" s="2882"/>
      <c r="V89" s="2882"/>
      <c r="W89" s="2882"/>
      <c r="X89" s="2882"/>
      <c r="Y89" s="2882"/>
      <c r="Z89" s="2882"/>
      <c r="AA89" s="2882"/>
      <c r="AB89" s="2882"/>
      <c r="AC89" s="2882"/>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6"/>
      <c r="O90" s="2976"/>
      <c r="P90" s="2984"/>
      <c r="Q90" s="2961"/>
      <c r="R90" s="2882"/>
      <c r="S90" s="2882"/>
      <c r="T90" s="2882"/>
      <c r="U90" s="2882"/>
      <c r="V90" s="2882"/>
      <c r="W90" s="2882"/>
      <c r="X90" s="2882"/>
      <c r="Y90" s="2882"/>
      <c r="Z90" s="2882"/>
      <c r="AA90" s="2882"/>
      <c r="AB90" s="2882"/>
      <c r="AC90" s="2882"/>
    </row>
    <row r="91" spans="1:29" s="429" customFormat="1" ht="15.75" thickTop="1">
      <c r="A91" s="509"/>
      <c r="B91" s="494" t="str">
        <f>B28</f>
        <v>朝向</v>
      </c>
      <c r="C91" s="510"/>
      <c r="D91" s="510"/>
      <c r="E91" s="510"/>
      <c r="F91" s="510"/>
      <c r="G91" s="510"/>
      <c r="H91" s="511"/>
      <c r="I91" s="511"/>
      <c r="J91" s="511"/>
      <c r="K91" s="511"/>
      <c r="L91" s="512"/>
      <c r="M91" s="513"/>
      <c r="N91" s="2977"/>
      <c r="O91" s="2977"/>
      <c r="P91" s="2985"/>
      <c r="Q91" s="2968"/>
      <c r="R91" s="2969"/>
      <c r="S91" s="2969"/>
      <c r="T91" s="2969"/>
      <c r="U91" s="2969"/>
      <c r="V91" s="2969"/>
      <c r="W91" s="2969"/>
      <c r="X91" s="2969"/>
      <c r="Y91" s="2969"/>
      <c r="Z91" s="2969"/>
      <c r="AA91" s="2969"/>
      <c r="AB91" s="2969"/>
      <c r="AC91" s="296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0"/>
      <c r="B93" s="494">
        <f>B29</f>
        <v>111</v>
      </c>
      <c r="C93" s="510"/>
      <c r="D93" s="510"/>
      <c r="E93" s="510"/>
      <c r="F93" s="510"/>
      <c r="G93" s="510"/>
      <c r="H93" s="510"/>
      <c r="I93" s="510"/>
      <c r="J93" s="510"/>
      <c r="K93" s="510"/>
      <c r="L93" s="536"/>
      <c r="M93" s="537"/>
      <c r="N93" s="2975"/>
      <c r="O93" s="2975"/>
      <c r="P93" s="2984"/>
      <c r="Q93" s="2961"/>
      <c r="R93" s="2947"/>
      <c r="S93" s="2947"/>
      <c r="T93" s="2947"/>
      <c r="U93" s="2947"/>
      <c r="V93" s="2947"/>
      <c r="W93" s="2947"/>
      <c r="X93" s="2947"/>
      <c r="Y93" s="2947"/>
      <c r="Z93" s="2947"/>
      <c r="AA93" s="2947"/>
      <c r="AB93" s="2947"/>
      <c r="AC93" s="2947"/>
    </row>
    <row r="94" spans="1:29" ht="15.75" thickBot="1">
      <c r="A94" s="490"/>
      <c r="B94" s="499"/>
      <c r="C94" s="516"/>
      <c r="D94" s="492"/>
      <c r="E94" s="492"/>
      <c r="F94" s="492"/>
      <c r="G94" s="492"/>
      <c r="H94" s="492"/>
      <c r="I94" s="492"/>
      <c r="J94" s="492"/>
      <c r="K94" s="492"/>
      <c r="L94" s="492"/>
      <c r="M94" s="493"/>
      <c r="N94" s="2976"/>
      <c r="O94" s="2976"/>
      <c r="P94" s="2984"/>
      <c r="Q94" s="2961"/>
      <c r="R94" s="2947"/>
      <c r="S94" s="2947"/>
      <c r="T94" s="2947"/>
      <c r="U94" s="2947"/>
      <c r="V94" s="2947"/>
      <c r="W94" s="2947"/>
      <c r="X94" s="2947"/>
      <c r="Y94" s="2947"/>
      <c r="Z94" s="2947"/>
      <c r="AA94" s="2947"/>
      <c r="AB94" s="2947"/>
      <c r="AC94" s="2947"/>
    </row>
    <row r="95" spans="1:29" ht="15.75" thickTop="1">
      <c r="A95" s="490"/>
      <c r="B95" s="494">
        <f>B30</f>
        <v>111</v>
      </c>
      <c r="C95" s="510"/>
      <c r="D95" s="510"/>
      <c r="E95" s="510"/>
      <c r="F95" s="510"/>
      <c r="G95" s="539"/>
      <c r="H95" s="539"/>
      <c r="I95" s="539"/>
      <c r="J95" s="539"/>
      <c r="K95" s="540"/>
      <c r="L95" s="541"/>
      <c r="M95" s="542"/>
      <c r="N95" s="2975"/>
      <c r="O95" s="2975"/>
      <c r="P95" s="2984"/>
      <c r="Q95" s="2961"/>
      <c r="R95" s="2947"/>
      <c r="S95" s="2947"/>
      <c r="T95" s="2947"/>
      <c r="U95" s="2947"/>
      <c r="V95" s="2947"/>
      <c r="W95" s="2947"/>
      <c r="X95" s="2947"/>
      <c r="Y95" s="2947"/>
      <c r="Z95" s="2947"/>
      <c r="AA95" s="2947"/>
      <c r="AB95" s="2947"/>
      <c r="AC95" s="2947"/>
    </row>
    <row r="96" spans="1:29" ht="15.75" thickBot="1">
      <c r="A96" s="490"/>
      <c r="B96" s="499"/>
      <c r="C96" s="516"/>
      <c r="D96" s="516"/>
      <c r="E96" s="516"/>
      <c r="F96" s="516"/>
      <c r="G96" s="492"/>
      <c r="H96" s="492"/>
      <c r="I96" s="492"/>
      <c r="J96" s="492"/>
      <c r="K96" s="492"/>
      <c r="L96" s="492"/>
      <c r="M96" s="493"/>
      <c r="N96" s="2976"/>
      <c r="O96" s="2976"/>
      <c r="P96" s="2984"/>
      <c r="Q96" s="2961"/>
      <c r="R96" s="2947"/>
      <c r="S96" s="2947"/>
      <c r="T96" s="2947"/>
      <c r="U96" s="2947"/>
      <c r="V96" s="2947"/>
      <c r="W96" s="2947"/>
      <c r="X96" s="2947"/>
      <c r="Y96" s="2947"/>
      <c r="Z96" s="2947"/>
      <c r="AA96" s="2947"/>
      <c r="AB96" s="2947"/>
      <c r="AC96" s="2947"/>
    </row>
    <row r="97" spans="1:29" ht="15.75" thickTop="1">
      <c r="A97" s="490"/>
      <c r="B97" s="494">
        <f>B31</f>
        <v>111</v>
      </c>
      <c r="C97" s="510"/>
      <c r="D97" s="510"/>
      <c r="E97" s="510"/>
      <c r="F97" s="510"/>
      <c r="G97" s="539"/>
      <c r="H97" s="539"/>
      <c r="I97" s="539"/>
      <c r="J97" s="539"/>
      <c r="K97" s="540"/>
      <c r="L97" s="541"/>
      <c r="M97" s="542"/>
      <c r="N97" s="2975"/>
      <c r="O97" s="2975"/>
      <c r="P97" s="2984"/>
      <c r="Q97" s="2961"/>
      <c r="R97" s="2947"/>
      <c r="S97" s="2947"/>
      <c r="T97" s="2947"/>
      <c r="U97" s="2947"/>
      <c r="V97" s="2947"/>
      <c r="W97" s="2947"/>
      <c r="X97" s="2947"/>
      <c r="Y97" s="2947"/>
      <c r="Z97" s="2947"/>
      <c r="AA97" s="2947"/>
      <c r="AB97" s="2947"/>
      <c r="AC97" s="2947"/>
    </row>
    <row r="98" spans="1:29" ht="15.75" thickBot="1">
      <c r="A98" s="490"/>
      <c r="B98" s="499"/>
      <c r="C98" s="516"/>
      <c r="D98" s="492"/>
      <c r="E98" s="492"/>
      <c r="F98" s="492"/>
      <c r="G98" s="492"/>
      <c r="H98" s="492"/>
      <c r="I98" s="492"/>
      <c r="J98" s="492"/>
      <c r="K98" s="492"/>
      <c r="L98" s="492"/>
      <c r="M98" s="493"/>
      <c r="N98" s="2976"/>
      <c r="O98" s="2976"/>
      <c r="P98" s="2984"/>
      <c r="Q98" s="2961"/>
      <c r="R98" s="2947"/>
      <c r="S98" s="2947"/>
      <c r="T98" s="2947"/>
      <c r="U98" s="2947"/>
      <c r="V98" s="2947"/>
      <c r="W98" s="2947"/>
      <c r="X98" s="2947"/>
      <c r="Y98" s="2947"/>
      <c r="Z98" s="2947"/>
      <c r="AA98" s="2947"/>
      <c r="AB98" s="2947"/>
      <c r="AC98" s="2947"/>
    </row>
    <row r="99" spans="1:29" ht="15.75" thickTop="1">
      <c r="A99" s="490"/>
      <c r="B99" s="502">
        <f>B32</f>
        <v>111</v>
      </c>
      <c r="C99" s="479"/>
      <c r="D99" s="479"/>
      <c r="E99" s="479"/>
      <c r="F99" s="479"/>
      <c r="G99" s="543"/>
      <c r="H99" s="543"/>
      <c r="I99" s="543"/>
      <c r="J99" s="543"/>
      <c r="K99" s="544"/>
      <c r="L99" s="545"/>
      <c r="M99" s="546"/>
      <c r="N99" s="2975"/>
      <c r="O99" s="2975"/>
      <c r="P99" s="2984"/>
      <c r="Q99" s="2961"/>
      <c r="R99" s="2947"/>
      <c r="S99" s="2947"/>
      <c r="T99" s="2947"/>
      <c r="U99" s="2947"/>
      <c r="V99" s="2947"/>
      <c r="W99" s="2947"/>
      <c r="X99" s="2947"/>
      <c r="Y99" s="2947"/>
      <c r="Z99" s="2947"/>
      <c r="AA99" s="2947"/>
      <c r="AB99" s="2947"/>
      <c r="AC99" s="2947"/>
    </row>
    <row r="100" spans="1:29" ht="15.75" thickBot="1">
      <c r="A100" s="2111"/>
      <c r="B100" s="525"/>
      <c r="C100" s="526"/>
      <c r="D100" s="526"/>
      <c r="E100" s="526"/>
      <c r="F100" s="526"/>
      <c r="G100" s="547"/>
      <c r="H100" s="547"/>
      <c r="I100" s="547"/>
      <c r="J100" s="547"/>
      <c r="K100" s="547"/>
      <c r="L100" s="547"/>
      <c r="M100" s="548"/>
      <c r="N100" s="2976"/>
      <c r="O100" s="2976"/>
      <c r="P100" s="2984"/>
      <c r="Q100" s="2961"/>
      <c r="R100" s="2947"/>
      <c r="S100" s="2947"/>
      <c r="T100" s="2947"/>
      <c r="U100" s="2947"/>
      <c r="V100" s="2947"/>
      <c r="W100" s="2947"/>
      <c r="X100" s="2947"/>
      <c r="Y100" s="2947"/>
      <c r="Z100" s="2947"/>
      <c r="AA100" s="2947"/>
      <c r="AB100" s="2947"/>
      <c r="AC100" s="2947"/>
    </row>
    <row r="101" spans="1:29">
      <c r="A101" s="483" t="s">
        <v>2383</v>
      </c>
      <c r="B101" s="484" t="s">
        <v>2432</v>
      </c>
      <c r="C101" s="486"/>
      <c r="D101" s="486"/>
      <c r="E101" s="486"/>
      <c r="F101" s="486"/>
      <c r="G101" s="486"/>
      <c r="H101" s="486"/>
      <c r="I101" s="486"/>
      <c r="J101" s="486"/>
      <c r="K101" s="487"/>
      <c r="L101" s="488"/>
      <c r="M101" s="489"/>
      <c r="N101" s="2975"/>
      <c r="O101" s="2975"/>
      <c r="P101" s="2984"/>
      <c r="Q101" s="2961"/>
      <c r="R101" s="2947"/>
      <c r="S101" s="2947"/>
      <c r="T101" s="2947"/>
      <c r="U101" s="2947"/>
      <c r="V101" s="2947"/>
      <c r="W101" s="2947"/>
      <c r="X101" s="2947"/>
      <c r="Y101" s="2947"/>
      <c r="Z101" s="2947"/>
      <c r="AA101" s="2947"/>
      <c r="AB101" s="2947"/>
      <c r="AC101" s="2947"/>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29" customFormat="1">
      <c r="A104" s="549"/>
      <c r="B104" s="550"/>
      <c r="C104" s="551"/>
      <c r="D104" s="551"/>
      <c r="E104" s="551"/>
      <c r="F104" s="551"/>
      <c r="G104" s="551"/>
      <c r="H104" s="551"/>
      <c r="I104" s="551"/>
      <c r="J104" s="552"/>
      <c r="K104" s="552"/>
      <c r="L104" s="553"/>
      <c r="M104" s="554"/>
      <c r="N104" s="2977"/>
      <c r="O104" s="2977"/>
      <c r="P104" s="2985"/>
      <c r="Q104" s="2968"/>
      <c r="R104" s="2969"/>
      <c r="S104" s="2969"/>
      <c r="T104" s="2969"/>
      <c r="U104" s="2969"/>
      <c r="V104" s="2969"/>
      <c r="W104" s="2969"/>
      <c r="X104" s="2969"/>
      <c r="Y104" s="2969"/>
      <c r="Z104" s="2969"/>
      <c r="AA104" s="2969"/>
      <c r="AB104" s="2969"/>
      <c r="AC104" s="2969"/>
    </row>
    <row r="105" spans="1:29" s="429" customFormat="1" ht="15.75" thickBot="1">
      <c r="A105" s="509"/>
      <c r="B105" s="499"/>
      <c r="C105" s="516"/>
      <c r="D105" s="492"/>
      <c r="E105" s="492"/>
      <c r="F105" s="492"/>
      <c r="G105" s="492"/>
      <c r="H105" s="492"/>
      <c r="I105" s="492"/>
      <c r="J105" s="492"/>
      <c r="K105" s="492"/>
      <c r="L105" s="492"/>
      <c r="M105" s="493"/>
      <c r="N105" s="2976"/>
      <c r="O105" s="2976"/>
      <c r="P105" s="2985"/>
      <c r="Q105" s="2968"/>
      <c r="R105" s="2969"/>
      <c r="S105" s="2969"/>
      <c r="T105" s="2969"/>
      <c r="U105" s="2969"/>
      <c r="V105" s="2969"/>
      <c r="W105" s="2969"/>
      <c r="X105" s="2969"/>
      <c r="Y105" s="2969"/>
      <c r="Z105" s="2969"/>
      <c r="AA105" s="2969"/>
      <c r="AB105" s="2969"/>
      <c r="AC105" s="2969"/>
    </row>
    <row r="106" spans="1:29" ht="15" thickTop="1">
      <c r="A106" s="555"/>
      <c r="B106" s="494" t="s">
        <v>2434</v>
      </c>
      <c r="C106" s="510"/>
      <c r="D106" s="510"/>
      <c r="E106" s="539"/>
      <c r="F106" s="539"/>
      <c r="G106" s="539"/>
      <c r="H106" s="539"/>
      <c r="I106" s="539"/>
      <c r="J106" s="539"/>
      <c r="K106" s="540"/>
      <c r="L106" s="541"/>
      <c r="M106" s="542"/>
      <c r="N106" s="2975"/>
      <c r="O106" s="2975"/>
      <c r="P106" s="2984"/>
      <c r="Q106" s="2961"/>
      <c r="R106" s="2947"/>
      <c r="S106" s="2947"/>
      <c r="T106" s="2947"/>
      <c r="U106" s="2947"/>
      <c r="V106" s="2947"/>
      <c r="W106" s="2947"/>
      <c r="X106" s="2947"/>
      <c r="Y106" s="2947"/>
      <c r="Z106" s="2947"/>
      <c r="AA106" s="2947"/>
      <c r="AB106" s="2947"/>
      <c r="AC106" s="2947"/>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5"/>
      <c r="B108" s="494" t="s">
        <v>2436</v>
      </c>
      <c r="C108" s="510"/>
      <c r="D108" s="510"/>
      <c r="E108" s="510"/>
      <c r="F108" s="539"/>
      <c r="G108" s="539"/>
      <c r="H108" s="539"/>
      <c r="I108" s="539"/>
      <c r="J108" s="539"/>
      <c r="K108" s="540"/>
      <c r="L108" s="541"/>
      <c r="M108" s="542"/>
      <c r="N108" s="2975"/>
      <c r="O108" s="2975"/>
      <c r="P108" s="2984"/>
      <c r="Q108" s="2961"/>
      <c r="R108" s="2947"/>
      <c r="S108" s="2947"/>
      <c r="T108" s="2947"/>
      <c r="U108" s="2947"/>
      <c r="V108" s="2947"/>
      <c r="W108" s="2947"/>
      <c r="X108" s="2947"/>
      <c r="Y108" s="2947"/>
      <c r="Z108" s="2947"/>
      <c r="AA108" s="2947"/>
      <c r="AB108" s="2947"/>
      <c r="AC108" s="2947"/>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5"/>
      <c r="O110" s="2975"/>
      <c r="P110" s="2984"/>
      <c r="Q110" s="2961"/>
      <c r="R110" s="2947"/>
      <c r="S110" s="2947"/>
      <c r="T110" s="2947"/>
      <c r="U110" s="2947"/>
      <c r="V110" s="2947"/>
      <c r="W110" s="2947"/>
      <c r="X110" s="2947"/>
      <c r="Y110" s="2947"/>
      <c r="Z110" s="2947"/>
      <c r="AA110" s="2947"/>
      <c r="AB110" s="2947"/>
      <c r="AC110" s="2947"/>
    </row>
    <row r="111" spans="1:29">
      <c r="A111" s="555"/>
      <c r="B111" s="502"/>
      <c r="C111" s="559">
        <v>0.5</v>
      </c>
      <c r="D111" s="559">
        <v>0.6</v>
      </c>
      <c r="E111" s="559">
        <v>0.7</v>
      </c>
      <c r="F111" s="559">
        <v>0.8</v>
      </c>
      <c r="G111" s="559">
        <v>0.9</v>
      </c>
      <c r="H111" s="559">
        <v>1.0001</v>
      </c>
      <c r="I111" s="578"/>
      <c r="J111" s="578"/>
      <c r="K111" s="579"/>
      <c r="L111" s="580"/>
      <c r="M111" s="581"/>
      <c r="N111" s="2975"/>
      <c r="O111" s="2975"/>
      <c r="P111" s="2984"/>
      <c r="Q111" s="2961"/>
      <c r="R111" s="2947"/>
      <c r="S111" s="2947"/>
      <c r="T111" s="2947"/>
      <c r="U111" s="2947"/>
      <c r="V111" s="2947"/>
      <c r="W111" s="2947"/>
      <c r="X111" s="2947"/>
      <c r="Y111" s="2947"/>
      <c r="Z111" s="2947"/>
      <c r="AA111" s="2947"/>
      <c r="AB111" s="2947"/>
      <c r="AC111" s="294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6"/>
      <c r="O112" s="2976"/>
      <c r="P112" s="2984"/>
      <c r="Q112" s="2961"/>
      <c r="R112" s="2947"/>
      <c r="S112" s="2947"/>
      <c r="T112" s="2947"/>
      <c r="U112" s="2947"/>
      <c r="V112" s="2947"/>
      <c r="W112" s="2947"/>
      <c r="X112" s="2947"/>
      <c r="Y112" s="2947"/>
      <c r="Z112" s="2947"/>
      <c r="AA112" s="2947"/>
      <c r="AB112" s="2947"/>
      <c r="AC112" s="2947"/>
    </row>
    <row r="113" spans="1:29" s="429" customFormat="1" ht="15" thickTop="1">
      <c r="A113" s="549"/>
      <c r="B113" s="494" t="s">
        <v>2520</v>
      </c>
      <c r="C113" s="510"/>
      <c r="D113" s="510"/>
      <c r="E113" s="510"/>
      <c r="F113" s="510"/>
      <c r="G113" s="510"/>
      <c r="H113" s="539"/>
      <c r="I113" s="539"/>
      <c r="J113" s="539"/>
      <c r="K113" s="540"/>
      <c r="L113" s="541"/>
      <c r="M113" s="542"/>
      <c r="N113" s="2977"/>
      <c r="O113" s="2977"/>
      <c r="P113" s="2985"/>
      <c r="Q113" s="2968"/>
      <c r="R113" s="2969"/>
      <c r="S113" s="2969"/>
      <c r="T113" s="2969"/>
      <c r="U113" s="2969"/>
      <c r="V113" s="2969"/>
      <c r="W113" s="2969"/>
      <c r="X113" s="2969"/>
      <c r="Y113" s="2969"/>
      <c r="Z113" s="2969"/>
      <c r="AA113" s="2969"/>
      <c r="AB113" s="2969"/>
      <c r="AC113" s="296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5"/>
      <c r="B115" s="494" t="s">
        <v>2437</v>
      </c>
      <c r="C115" s="510"/>
      <c r="D115" s="510"/>
      <c r="E115" s="539"/>
      <c r="F115" s="539"/>
      <c r="G115" s="539"/>
      <c r="H115" s="539"/>
      <c r="I115" s="539"/>
      <c r="J115" s="539"/>
      <c r="K115" s="540"/>
      <c r="L115" s="541"/>
      <c r="M115" s="542"/>
      <c r="N115" s="2975"/>
      <c r="O115" s="2975"/>
      <c r="P115" s="2984"/>
      <c r="Q115" s="2961"/>
      <c r="R115" s="2947"/>
      <c r="S115" s="2947"/>
      <c r="T115" s="2947"/>
      <c r="U115" s="2947"/>
      <c r="V115" s="2947"/>
      <c r="W115" s="2947"/>
      <c r="X115" s="2947"/>
      <c r="Y115" s="2947"/>
      <c r="Z115" s="2947"/>
      <c r="AA115" s="2947"/>
      <c r="AB115" s="2947"/>
      <c r="AC115" s="2947"/>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5"/>
      <c r="B117" s="494" t="s">
        <v>2438</v>
      </c>
      <c r="C117" s="510"/>
      <c r="D117" s="510"/>
      <c r="E117" s="510"/>
      <c r="F117" s="510"/>
      <c r="G117" s="510"/>
      <c r="H117" s="539"/>
      <c r="I117" s="539"/>
      <c r="J117" s="539"/>
      <c r="K117" s="540"/>
      <c r="L117" s="541"/>
      <c r="M117" s="542"/>
      <c r="N117" s="2975"/>
      <c r="O117" s="2975"/>
      <c r="P117" s="2984"/>
      <c r="Q117" s="2961"/>
      <c r="R117" s="2947"/>
      <c r="S117" s="2947"/>
      <c r="T117" s="2947"/>
      <c r="U117" s="2947"/>
      <c r="V117" s="2947"/>
      <c r="W117" s="2947"/>
      <c r="X117" s="2947"/>
      <c r="Y117" s="2947"/>
      <c r="Z117" s="2947"/>
      <c r="AA117" s="2947"/>
      <c r="AB117" s="2947"/>
      <c r="AC117" s="2947"/>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6"/>
      <c r="O118" s="2976"/>
      <c r="P118" s="2984"/>
      <c r="Q118" s="2961"/>
      <c r="R118" s="2947"/>
      <c r="S118" s="2947"/>
      <c r="T118" s="2947"/>
      <c r="U118" s="2947"/>
      <c r="V118" s="2947"/>
      <c r="W118" s="2947"/>
      <c r="X118" s="2947"/>
      <c r="Y118" s="2947"/>
      <c r="Z118" s="2947"/>
      <c r="AA118" s="2947"/>
      <c r="AB118" s="2947"/>
      <c r="AC118" s="2947"/>
    </row>
    <row r="119" spans="1:29" ht="15" thickTop="1">
      <c r="A119" s="555"/>
      <c r="B119" s="591" t="s">
        <v>2521</v>
      </c>
      <c r="C119" s="539"/>
      <c r="D119" s="539"/>
      <c r="E119" s="539"/>
      <c r="F119" s="539"/>
      <c r="G119" s="539"/>
      <c r="H119" s="539"/>
      <c r="I119" s="539"/>
      <c r="J119" s="539"/>
      <c r="K119" s="539"/>
      <c r="L119" s="2151"/>
      <c r="M119" s="2152"/>
      <c r="N119" s="2976"/>
      <c r="O119" s="2976"/>
      <c r="P119" s="2989"/>
      <c r="Q119" s="2990"/>
      <c r="R119" s="2947"/>
      <c r="S119" s="2947"/>
      <c r="T119" s="2947"/>
      <c r="U119" s="2947"/>
      <c r="V119" s="2947"/>
      <c r="W119" s="2947"/>
      <c r="X119" s="2947"/>
      <c r="Y119" s="2947"/>
      <c r="Z119" s="2947"/>
      <c r="AA119" s="2947"/>
      <c r="AB119" s="2947"/>
      <c r="AC119" s="2947"/>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6"/>
      <c r="O120" s="2976"/>
      <c r="P120" s="2984"/>
      <c r="Q120" s="2961"/>
      <c r="R120" s="2947"/>
      <c r="S120" s="2947"/>
      <c r="T120" s="2947"/>
      <c r="U120" s="2947"/>
      <c r="V120" s="2947"/>
      <c r="W120" s="2947"/>
      <c r="X120" s="2947"/>
      <c r="Y120" s="2947"/>
      <c r="Z120" s="2947"/>
      <c r="AA120" s="2947"/>
      <c r="AB120" s="2947"/>
      <c r="AC120" s="2947"/>
    </row>
    <row r="121" spans="1:29" s="429" customFormat="1" ht="15" thickTop="1">
      <c r="A121" s="549"/>
      <c r="B121" s="494" t="s">
        <v>2504</v>
      </c>
      <c r="C121" s="510"/>
      <c r="D121" s="510"/>
      <c r="E121" s="510"/>
      <c r="F121" s="539"/>
      <c r="G121" s="511"/>
      <c r="H121" s="511"/>
      <c r="I121" s="511"/>
      <c r="J121" s="511"/>
      <c r="K121" s="511"/>
      <c r="L121" s="512"/>
      <c r="M121" s="513"/>
      <c r="N121" s="2977"/>
      <c r="O121" s="2977"/>
      <c r="P121" s="2985"/>
      <c r="Q121" s="2968"/>
      <c r="R121" s="2969"/>
      <c r="S121" s="2969"/>
      <c r="T121" s="2969"/>
      <c r="U121" s="2969"/>
      <c r="V121" s="2969"/>
      <c r="W121" s="2969"/>
      <c r="X121" s="2969"/>
      <c r="Y121" s="2969"/>
      <c r="Z121" s="2969"/>
      <c r="AA121" s="2969"/>
      <c r="AB121" s="2969"/>
      <c r="AC121" s="2969"/>
    </row>
    <row r="122" spans="1:29" s="429" customFormat="1" ht="15.75" thickBot="1">
      <c r="A122" s="509"/>
      <c r="B122" s="491"/>
      <c r="C122" s="516"/>
      <c r="D122" s="516"/>
      <c r="E122" s="516"/>
      <c r="F122" s="516"/>
      <c r="G122" s="516"/>
      <c r="H122" s="516"/>
      <c r="I122" s="516"/>
      <c r="J122" s="516"/>
      <c r="K122" s="516"/>
      <c r="L122" s="516"/>
      <c r="M122" s="516"/>
      <c r="N122" s="2977"/>
      <c r="O122" s="2977"/>
      <c r="P122" s="2985"/>
      <c r="Q122" s="2968"/>
      <c r="R122" s="2969"/>
      <c r="S122" s="2969"/>
      <c r="T122" s="2969"/>
      <c r="U122" s="2969"/>
      <c r="V122" s="2969"/>
      <c r="W122" s="2969"/>
      <c r="X122" s="2969"/>
      <c r="Y122" s="2969"/>
      <c r="Z122" s="2969"/>
      <c r="AA122" s="2969"/>
      <c r="AB122" s="2969"/>
      <c r="AC122" s="2969"/>
    </row>
    <row r="123" spans="1:29" ht="15" thickTop="1">
      <c r="A123" s="555"/>
      <c r="B123" s="494" t="s">
        <v>2440</v>
      </c>
      <c r="C123" s="510"/>
      <c r="D123" s="510"/>
      <c r="E123" s="510"/>
      <c r="F123" s="539"/>
      <c r="G123" s="539"/>
      <c r="H123" s="539"/>
      <c r="I123" s="539"/>
      <c r="J123" s="539"/>
      <c r="K123" s="540"/>
      <c r="L123" s="541"/>
      <c r="M123" s="542"/>
      <c r="N123" s="2975"/>
      <c r="O123" s="2975"/>
      <c r="P123" s="2984"/>
      <c r="Q123" s="2961"/>
      <c r="R123" s="2947"/>
      <c r="S123" s="2947"/>
      <c r="T123" s="2947"/>
      <c r="U123" s="2947"/>
      <c r="V123" s="2947"/>
      <c r="W123" s="2947"/>
      <c r="X123" s="2947"/>
      <c r="Y123" s="2947"/>
      <c r="Z123" s="2947"/>
      <c r="AA123" s="2947"/>
      <c r="AB123" s="2947"/>
      <c r="AC123" s="2947"/>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75"/>
      <c r="O125" s="2975"/>
      <c r="P125" s="2985"/>
      <c r="Q125" s="2961"/>
      <c r="R125" s="2947"/>
      <c r="S125" s="2947"/>
      <c r="T125" s="2947"/>
      <c r="U125" s="2947"/>
      <c r="V125" s="2947"/>
      <c r="W125" s="2947"/>
      <c r="X125" s="2947"/>
      <c r="Y125" s="2947"/>
      <c r="Z125" s="2947"/>
      <c r="AA125" s="2947"/>
      <c r="AB125" s="2947"/>
      <c r="AC125" s="294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6"/>
      <c r="O126" s="2976"/>
      <c r="P126" s="2984"/>
      <c r="Q126" s="2961"/>
      <c r="R126" s="2947"/>
      <c r="S126" s="2947"/>
      <c r="T126" s="2947"/>
      <c r="U126" s="2947"/>
      <c r="V126" s="2947"/>
      <c r="W126" s="2947"/>
      <c r="X126" s="2947"/>
      <c r="Y126" s="2947"/>
      <c r="Z126" s="2947"/>
      <c r="AA126" s="2947"/>
      <c r="AB126" s="2947"/>
      <c r="AC126" s="2947"/>
    </row>
    <row r="127" spans="1:29" s="429" customFormat="1" ht="15" thickTop="1">
      <c r="A127" s="549"/>
      <c r="B127" s="494">
        <f>B45</f>
        <v>111</v>
      </c>
      <c r="C127" s="510"/>
      <c r="D127" s="510"/>
      <c r="E127" s="510"/>
      <c r="F127" s="510"/>
      <c r="G127" s="510"/>
      <c r="H127" s="511"/>
      <c r="I127" s="511"/>
      <c r="J127" s="511"/>
      <c r="K127" s="511"/>
      <c r="L127" s="512"/>
      <c r="M127" s="513"/>
      <c r="N127" s="2977"/>
      <c r="O127" s="2977"/>
      <c r="P127" s="2985"/>
      <c r="Q127" s="2968"/>
      <c r="R127" s="2969"/>
      <c r="S127" s="2969"/>
      <c r="T127" s="2969"/>
      <c r="U127" s="2969"/>
      <c r="V127" s="2969"/>
      <c r="W127" s="2969"/>
      <c r="X127" s="2969"/>
      <c r="Y127" s="2969"/>
      <c r="Z127" s="2969"/>
      <c r="AA127" s="2969"/>
      <c r="AB127" s="2969"/>
      <c r="AC127" s="2969"/>
    </row>
    <row r="128" spans="1:29" s="429" customFormat="1" ht="15.75" thickBot="1">
      <c r="A128" s="509"/>
      <c r="B128" s="499"/>
      <c r="C128" s="516"/>
      <c r="D128" s="492"/>
      <c r="E128" s="492"/>
      <c r="F128" s="492"/>
      <c r="G128" s="516"/>
      <c r="H128" s="518"/>
      <c r="I128" s="518"/>
      <c r="J128" s="518"/>
      <c r="K128" s="518"/>
      <c r="L128" s="518"/>
      <c r="M128" s="519"/>
      <c r="N128" s="2977"/>
      <c r="O128" s="2977"/>
      <c r="P128" s="2985"/>
      <c r="Q128" s="2968"/>
      <c r="R128" s="2969"/>
      <c r="S128" s="2969"/>
      <c r="T128" s="2969"/>
      <c r="U128" s="2969"/>
      <c r="V128" s="2969"/>
      <c r="W128" s="2969"/>
      <c r="X128" s="2969"/>
      <c r="Y128" s="2969"/>
      <c r="Z128" s="2969"/>
      <c r="AA128" s="2969"/>
      <c r="AB128" s="2969"/>
      <c r="AC128" s="2969"/>
    </row>
    <row r="129" spans="1:29" ht="15" thickTop="1">
      <c r="A129" s="555"/>
      <c r="B129" s="494">
        <f>B46</f>
        <v>111</v>
      </c>
      <c r="C129" s="510"/>
      <c r="D129" s="510"/>
      <c r="E129" s="510"/>
      <c r="F129" s="510"/>
      <c r="G129" s="539"/>
      <c r="H129" s="539"/>
      <c r="I129" s="539"/>
      <c r="J129" s="539"/>
      <c r="K129" s="540"/>
      <c r="L129" s="541"/>
      <c r="M129" s="542"/>
      <c r="N129" s="2975"/>
      <c r="O129" s="2975"/>
      <c r="P129" s="2984"/>
      <c r="Q129" s="2961"/>
      <c r="R129" s="2947"/>
      <c r="S129" s="2947"/>
      <c r="T129" s="2947"/>
      <c r="U129" s="2947"/>
      <c r="V129" s="2947"/>
      <c r="W129" s="2947"/>
      <c r="X129" s="2947"/>
      <c r="Y129" s="2947"/>
      <c r="Z129" s="2947"/>
      <c r="AA129" s="2947"/>
      <c r="AB129" s="2947"/>
      <c r="AC129" s="2947"/>
    </row>
    <row r="130" spans="1:29" ht="15.75" thickBot="1">
      <c r="A130" s="490"/>
      <c r="B130" s="499"/>
      <c r="C130" s="516"/>
      <c r="D130" s="516"/>
      <c r="E130" s="516"/>
      <c r="F130" s="516"/>
      <c r="G130" s="492"/>
      <c r="H130" s="492"/>
      <c r="I130" s="492"/>
      <c r="J130" s="492"/>
      <c r="K130" s="492"/>
      <c r="L130" s="492"/>
      <c r="M130" s="493"/>
      <c r="N130" s="2976"/>
      <c r="O130" s="2976"/>
      <c r="P130" s="2984"/>
      <c r="Q130" s="2961"/>
      <c r="R130" s="2947"/>
      <c r="S130" s="2947"/>
      <c r="T130" s="2947"/>
      <c r="U130" s="2947"/>
      <c r="V130" s="2947"/>
      <c r="W130" s="2947"/>
      <c r="X130" s="2947"/>
      <c r="Y130" s="2947"/>
      <c r="Z130" s="2947"/>
      <c r="AA130" s="2947"/>
      <c r="AB130" s="2947"/>
      <c r="AC130" s="2947"/>
    </row>
    <row r="131" spans="1:29" ht="15" thickTop="1">
      <c r="A131" s="555"/>
      <c r="B131" s="502">
        <f>B47</f>
        <v>111</v>
      </c>
      <c r="C131" s="479"/>
      <c r="D131" s="479"/>
      <c r="E131" s="479"/>
      <c r="F131" s="479"/>
      <c r="G131" s="543"/>
      <c r="H131" s="543"/>
      <c r="I131" s="543"/>
      <c r="J131" s="543"/>
      <c r="K131" s="479"/>
      <c r="L131" s="480"/>
      <c r="M131" s="546"/>
      <c r="N131" s="2975"/>
      <c r="O131" s="2975"/>
      <c r="P131" s="2984"/>
      <c r="Q131" s="2961"/>
      <c r="R131" s="2947"/>
      <c r="S131" s="2947"/>
      <c r="T131" s="2947"/>
      <c r="U131" s="2947"/>
      <c r="V131" s="2947"/>
      <c r="W131" s="2947"/>
      <c r="X131" s="2947"/>
      <c r="Y131" s="2947"/>
      <c r="Z131" s="2947"/>
      <c r="AA131" s="2947"/>
      <c r="AB131" s="2947"/>
      <c r="AC131" s="2947"/>
    </row>
    <row r="132" spans="1:29" ht="15.75" thickBot="1">
      <c r="A132" s="2111"/>
      <c r="B132" s="525"/>
      <c r="C132" s="526"/>
      <c r="D132" s="526"/>
      <c r="E132" s="526"/>
      <c r="F132" s="526"/>
      <c r="G132" s="547"/>
      <c r="H132" s="547"/>
      <c r="I132" s="547"/>
      <c r="J132" s="547"/>
      <c r="K132" s="547"/>
      <c r="L132" s="547"/>
      <c r="M132" s="548"/>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E21" sqref="E21"/>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2348</v>
      </c>
      <c r="B1" s="2140" t="s">
        <v>2522</v>
      </c>
      <c r="C1" s="1390" t="s">
        <v>2350</v>
      </c>
      <c r="D1" s="1391"/>
      <c r="E1" s="1400"/>
      <c r="F1" s="2062"/>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2147</v>
      </c>
      <c r="B2" s="1325" t="e">
        <f ca="1">IF(C2="——",ROUND(C43*D3/10000,0),ROUND(C43*D3/10000,0)-D2)</f>
        <v>#DIV/0!</v>
      </c>
      <c r="C2" s="2064"/>
      <c r="D2" s="1037" t="e">
        <f ca="1">SUMIF(INDIRECT("'"&amp;F2&amp;"'"&amp;"!A:A"),"承租人权益价值",INDIRECT("'"&amp;F2&amp;"'"&amp;"!c:c"))</f>
        <v>#REF!</v>
      </c>
      <c r="E2" s="2065" t="s">
        <v>2148</v>
      </c>
      <c r="F2" s="2066"/>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46306.38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2465</v>
      </c>
      <c r="B4" s="361"/>
      <c r="C4" s="3516" t="s">
        <v>2466</v>
      </c>
      <c r="D4" s="3517"/>
      <c r="E4" s="3518" t="s">
        <v>2467</v>
      </c>
      <c r="F4" s="3519"/>
      <c r="G4" s="3516" t="s">
        <v>2468</v>
      </c>
      <c r="H4" s="3517"/>
      <c r="I4" s="3516" t="s">
        <v>2469</v>
      </c>
      <c r="J4" s="3517"/>
      <c r="K4" s="566" t="s">
        <v>2470</v>
      </c>
      <c r="L4" s="1043"/>
      <c r="M4" s="1044"/>
      <c r="N4" s="1044"/>
      <c r="O4" s="1044"/>
      <c r="P4" s="3520" t="s">
        <v>2471</v>
      </c>
      <c r="Q4" s="3521"/>
      <c r="R4" s="3503" t="s">
        <v>2467</v>
      </c>
      <c r="S4" s="3504"/>
      <c r="T4" s="3503" t="s">
        <v>2468</v>
      </c>
      <c r="U4" s="3504"/>
      <c r="V4" s="3528" t="s">
        <v>2469</v>
      </c>
      <c r="W4" s="3528"/>
      <c r="X4" s="1537"/>
      <c r="Y4" s="3503" t="s">
        <v>2471</v>
      </c>
      <c r="Z4" s="3504"/>
      <c r="AA4" s="3498" t="s">
        <v>2467</v>
      </c>
      <c r="AB4" s="3499" t="s">
        <v>2468</v>
      </c>
      <c r="AC4" s="3498" t="s">
        <v>2469</v>
      </c>
    </row>
    <row r="5" spans="1:29" ht="15">
      <c r="A5" s="363"/>
      <c r="B5" s="364"/>
      <c r="C5" s="3543" t="s">
        <v>2362</v>
      </c>
      <c r="D5" s="3544"/>
      <c r="E5" s="3557" t="s">
        <v>2363</v>
      </c>
      <c r="F5" s="3542"/>
      <c r="G5" s="3543" t="s">
        <v>2364</v>
      </c>
      <c r="H5" s="3544"/>
      <c r="I5" s="3543" t="s">
        <v>2365</v>
      </c>
      <c r="J5" s="3544"/>
      <c r="K5" s="566"/>
      <c r="L5" s="1043"/>
      <c r="M5" s="1044"/>
      <c r="N5" s="1044"/>
      <c r="O5" s="1044"/>
      <c r="P5" s="3522"/>
      <c r="Q5" s="3523"/>
      <c r="R5" s="3505"/>
      <c r="S5" s="3506"/>
      <c r="T5" s="3505"/>
      <c r="U5" s="3506"/>
      <c r="V5" s="3528"/>
      <c r="W5" s="3528"/>
      <c r="X5" s="1537"/>
      <c r="Y5" s="3505"/>
      <c r="Z5" s="3506"/>
      <c r="AA5" s="3499"/>
      <c r="AB5" s="3499"/>
      <c r="AC5" s="3499"/>
    </row>
    <row r="6" spans="1:29" ht="15.75" thickBot="1">
      <c r="A6" s="365"/>
      <c r="B6" s="366"/>
      <c r="C6" s="3545" t="s">
        <v>2366</v>
      </c>
      <c r="D6" s="3546"/>
      <c r="E6" s="3547" t="s">
        <v>2366</v>
      </c>
      <c r="F6" s="3548"/>
      <c r="G6" s="3545" t="s">
        <v>2366</v>
      </c>
      <c r="H6" s="3546"/>
      <c r="I6" s="3545" t="s">
        <v>2366</v>
      </c>
      <c r="J6" s="3546"/>
      <c r="K6" s="566" t="s">
        <v>2367</v>
      </c>
      <c r="L6" s="1043"/>
      <c r="M6" s="1044"/>
      <c r="N6" s="1044"/>
      <c r="O6" s="1044"/>
      <c r="P6" s="3524"/>
      <c r="Q6" s="3525"/>
      <c r="R6" s="3505"/>
      <c r="S6" s="3506"/>
      <c r="T6" s="3526"/>
      <c r="U6" s="3527"/>
      <c r="V6" s="3528"/>
      <c r="W6" s="3528"/>
      <c r="X6" s="1537"/>
      <c r="Y6" s="3526"/>
      <c r="Z6" s="3527"/>
      <c r="AA6" s="3500"/>
      <c r="AB6" s="3500"/>
      <c r="AC6" s="3500"/>
    </row>
    <row r="7" spans="1:29" s="112" customFormat="1" ht="15.75" thickBot="1">
      <c r="A7" s="367" t="s">
        <v>2368</v>
      </c>
      <c r="B7" s="368"/>
      <c r="C7" s="369">
        <f>'数据-取费表'!B2</f>
        <v>44495</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01" t="s">
        <v>2369</v>
      </c>
      <c r="Q7" s="3529"/>
      <c r="R7" s="709" t="s">
        <v>17</v>
      </c>
      <c r="S7" s="710">
        <f t="shared" ref="S7:S15" si="0">F7</f>
        <v>0</v>
      </c>
      <c r="T7" s="709" t="s">
        <v>17</v>
      </c>
      <c r="U7" s="710">
        <f t="shared" ref="U7:U15" si="1">H7</f>
        <v>0</v>
      </c>
      <c r="V7" s="709" t="s">
        <v>17</v>
      </c>
      <c r="W7" s="710">
        <f t="shared" ref="W7:W15" si="2">J7</f>
        <v>0</v>
      </c>
      <c r="X7" s="711"/>
      <c r="Y7" s="3501" t="s">
        <v>2369</v>
      </c>
      <c r="Z7" s="3502"/>
      <c r="AA7" s="712" t="e">
        <f>D7/F7</f>
        <v>#DIV/0!</v>
      </c>
      <c r="AB7" s="712" t="e">
        <f>D7/H7</f>
        <v>#DIV/0!</v>
      </c>
      <c r="AC7" s="712" t="e">
        <f>D7/J7</f>
        <v>#DIV/0!</v>
      </c>
    </row>
    <row r="8" spans="1:29" s="112"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01" t="s">
        <v>2372</v>
      </c>
      <c r="Q8" s="3502"/>
      <c r="R8" s="709" t="s">
        <v>17</v>
      </c>
      <c r="S8" s="710">
        <f t="shared" si="0"/>
        <v>0</v>
      </c>
      <c r="T8" s="709" t="s">
        <v>17</v>
      </c>
      <c r="U8" s="710">
        <f t="shared" si="1"/>
        <v>0</v>
      </c>
      <c r="V8" s="709" t="s">
        <v>17</v>
      </c>
      <c r="W8" s="710">
        <f t="shared" si="2"/>
        <v>0</v>
      </c>
      <c r="X8" s="711"/>
      <c r="Y8" s="3501" t="s">
        <v>2372</v>
      </c>
      <c r="Z8" s="3502"/>
      <c r="AA8" s="712" t="e">
        <f t="shared" ref="AA8:AA40" si="3">D8/F8</f>
        <v>#DIV/0!</v>
      </c>
      <c r="AB8" s="712" t="e">
        <f t="shared" ref="AB8:AB40" si="4">D8/H8</f>
        <v>#DIV/0!</v>
      </c>
      <c r="AC8" s="712" t="e">
        <f t="shared" ref="AC8:AC40" si="5">D8/J8</f>
        <v>#DIV/0!</v>
      </c>
    </row>
    <row r="9" spans="1:29" s="112" customFormat="1">
      <c r="A9" s="374" t="s">
        <v>2373</v>
      </c>
      <c r="B9" s="66" t="s">
        <v>2374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15"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15"/>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15"/>
      <c r="Q11" s="1525" t="str">
        <f t="shared" si="6"/>
        <v>容积率</v>
      </c>
      <c r="R11" s="709" t="s">
        <v>17</v>
      </c>
      <c r="S11" s="710" t="e">
        <f t="shared" si="0"/>
        <v>#N/A</v>
      </c>
      <c r="T11" s="709" t="s">
        <v>17</v>
      </c>
      <c r="U11" s="710" t="e">
        <f t="shared" si="1"/>
        <v>#N/A</v>
      </c>
      <c r="V11" s="709" t="s">
        <v>17</v>
      </c>
      <c r="W11" s="710" t="e">
        <f t="shared" si="2"/>
        <v>#N/A</v>
      </c>
      <c r="X11" s="711"/>
      <c r="Y11" s="3443"/>
      <c r="Z11" s="54" t="str">
        <f t="shared" si="7"/>
        <v>容积率</v>
      </c>
      <c r="AA11" s="712" t="e">
        <f t="shared" si="3"/>
        <v>#N/A</v>
      </c>
      <c r="AB11" s="712" t="e">
        <f t="shared" si="4"/>
        <v>#N/A</v>
      </c>
      <c r="AC11" s="712" t="e">
        <f t="shared" si="5"/>
        <v>#N/A</v>
      </c>
    </row>
    <row r="12" spans="1:29" s="112" customFormat="1" ht="15">
      <c r="A12" s="389"/>
      <c r="B12" s="2076">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515"/>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712">
        <f>D12/J12</f>
        <v>1</v>
      </c>
    </row>
    <row r="13" spans="1:29" ht="15">
      <c r="A13" s="386"/>
      <c r="B13" s="2076">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515"/>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712">
        <f t="shared" si="5"/>
        <v>1</v>
      </c>
    </row>
    <row r="14" spans="1:29" ht="15.75" thickBot="1">
      <c r="A14" s="394"/>
      <c r="B14" s="2078">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515"/>
      <c r="Q14" s="1525">
        <f t="shared" si="6"/>
        <v>111</v>
      </c>
      <c r="R14" s="709" t="s">
        <v>17</v>
      </c>
      <c r="S14" s="710">
        <f t="shared" si="0"/>
        <v>100</v>
      </c>
      <c r="T14" s="709" t="s">
        <v>17</v>
      </c>
      <c r="U14" s="710">
        <f t="shared" si="1"/>
        <v>100</v>
      </c>
      <c r="V14" s="709" t="s">
        <v>17</v>
      </c>
      <c r="W14" s="710">
        <f t="shared" si="2"/>
        <v>100</v>
      </c>
      <c r="X14" s="711"/>
      <c r="Y14" s="3443"/>
      <c r="Z14" s="54">
        <f t="shared" si="7"/>
        <v>111</v>
      </c>
      <c r="AA14" s="712">
        <f t="shared" si="3"/>
        <v>1</v>
      </c>
      <c r="AB14" s="712">
        <f t="shared" si="4"/>
        <v>1</v>
      </c>
      <c r="AC14" s="712">
        <f t="shared" si="5"/>
        <v>1</v>
      </c>
    </row>
    <row r="15" spans="1:29" ht="57">
      <c r="A15" s="398" t="s">
        <v>2379</v>
      </c>
      <c r="B15" s="64" t="s">
        <v>2523</v>
      </c>
      <c r="C15" s="215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30" t="s">
        <v>2380</v>
      </c>
      <c r="Q15" s="1534" t="str">
        <f t="shared" si="6"/>
        <v>产业集聚程度</v>
      </c>
      <c r="R15" s="713" t="s">
        <v>17</v>
      </c>
      <c r="S15" s="714">
        <f t="shared" si="0"/>
        <v>100</v>
      </c>
      <c r="T15" s="713" t="s">
        <v>17</v>
      </c>
      <c r="U15" s="714">
        <f t="shared" si="1"/>
        <v>100</v>
      </c>
      <c r="V15" s="713" t="s">
        <v>17</v>
      </c>
      <c r="W15" s="714">
        <f t="shared" si="2"/>
        <v>100</v>
      </c>
      <c r="X15" s="1537"/>
      <c r="Y15" s="3530" t="s">
        <v>2380</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531"/>
      <c r="Q16" s="1534"/>
      <c r="R16" s="713"/>
      <c r="S16" s="714"/>
      <c r="T16" s="713"/>
      <c r="U16" s="714"/>
      <c r="V16" s="713"/>
      <c r="W16" s="714"/>
      <c r="X16" s="1537"/>
      <c r="Y16" s="3531"/>
      <c r="Z16" s="1538"/>
      <c r="AA16" s="1535">
        <v>1</v>
      </c>
      <c r="AB16" s="1535">
        <v>1</v>
      </c>
      <c r="AC16" s="1535">
        <v>1</v>
      </c>
    </row>
    <row r="17" spans="1:29" ht="85.5">
      <c r="A17" s="386"/>
      <c r="B17" s="409" t="s">
        <v>1944</v>
      </c>
      <c r="C17" s="208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31"/>
      <c r="Q17" s="1534" t="str">
        <f>B17</f>
        <v>交通便捷度</v>
      </c>
      <c r="R17" s="713" t="s">
        <v>17</v>
      </c>
      <c r="S17" s="714">
        <f>F17</f>
        <v>100</v>
      </c>
      <c r="T17" s="713" t="s">
        <v>17</v>
      </c>
      <c r="U17" s="714">
        <f>H17</f>
        <v>100</v>
      </c>
      <c r="V17" s="713" t="s">
        <v>17</v>
      </c>
      <c r="W17" s="714">
        <f>J17</f>
        <v>100</v>
      </c>
      <c r="X17" s="1537"/>
      <c r="Y17" s="3531"/>
      <c r="Z17" s="1538" t="str">
        <f>Q17</f>
        <v>交通便捷度</v>
      </c>
      <c r="AA17" s="1535">
        <f t="shared" si="3"/>
        <v>1</v>
      </c>
      <c r="AB17" s="1535">
        <f t="shared" si="4"/>
        <v>1</v>
      </c>
      <c r="AC17" s="1535">
        <f t="shared" si="5"/>
        <v>1</v>
      </c>
    </row>
    <row r="18" spans="1:29" ht="15">
      <c r="A18" s="386"/>
      <c r="B18" s="414"/>
      <c r="C18" s="2084"/>
      <c r="D18" s="408"/>
      <c r="E18" s="2086"/>
      <c r="F18" s="411"/>
      <c r="G18" s="2085"/>
      <c r="H18" s="406"/>
      <c r="I18" s="2086"/>
      <c r="J18" s="406"/>
      <c r="K18" s="571"/>
      <c r="L18" s="1053"/>
      <c r="M18" s="1044"/>
      <c r="N18" s="1044"/>
      <c r="O18" s="1052"/>
      <c r="P18" s="3531"/>
      <c r="Q18" s="1534"/>
      <c r="R18" s="713"/>
      <c r="S18" s="714"/>
      <c r="T18" s="713"/>
      <c r="U18" s="714"/>
      <c r="V18" s="713"/>
      <c r="W18" s="714"/>
      <c r="X18" s="1537"/>
      <c r="Y18" s="3531"/>
      <c r="Z18" s="1538"/>
      <c r="AA18" s="1535">
        <v>1</v>
      </c>
      <c r="AB18" s="1535">
        <v>1</v>
      </c>
      <c r="AC18" s="1535">
        <v>1</v>
      </c>
    </row>
    <row r="19" spans="1:29" ht="42.75">
      <c r="A19" s="386"/>
      <c r="B19" s="409" t="s">
        <v>2508</v>
      </c>
      <c r="C19" s="208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31"/>
      <c r="Q19" s="1534" t="str">
        <f>B19</f>
        <v>公共配套设施</v>
      </c>
      <c r="R19" s="713" t="s">
        <v>17</v>
      </c>
      <c r="S19" s="714">
        <f>F19</f>
        <v>100</v>
      </c>
      <c r="T19" s="713" t="s">
        <v>17</v>
      </c>
      <c r="U19" s="714">
        <f>H19</f>
        <v>100</v>
      </c>
      <c r="V19" s="713" t="s">
        <v>17</v>
      </c>
      <c r="W19" s="714">
        <f>J19</f>
        <v>100</v>
      </c>
      <c r="X19" s="1537"/>
      <c r="Y19" s="3531"/>
      <c r="Z19" s="1538" t="str">
        <f>Q19</f>
        <v>公共配套设施</v>
      </c>
      <c r="AA19" s="1535">
        <f t="shared" si="3"/>
        <v>1</v>
      </c>
      <c r="AB19" s="1535">
        <f t="shared" si="4"/>
        <v>1</v>
      </c>
      <c r="AC19" s="1535">
        <f t="shared" si="5"/>
        <v>1</v>
      </c>
    </row>
    <row r="20" spans="1:29" ht="15">
      <c r="A20" s="386"/>
      <c r="B20" s="414"/>
      <c r="C20" s="405"/>
      <c r="D20" s="406"/>
      <c r="E20" s="2081"/>
      <c r="F20" s="407"/>
      <c r="G20" s="2080"/>
      <c r="H20" s="406"/>
      <c r="I20" s="2081"/>
      <c r="J20" s="406"/>
      <c r="K20" s="571"/>
      <c r="L20" s="1053"/>
      <c r="M20" s="1044"/>
      <c r="N20" s="1044"/>
      <c r="O20" s="1052"/>
      <c r="P20" s="3531"/>
      <c r="Q20" s="1534"/>
      <c r="R20" s="713"/>
      <c r="S20" s="714"/>
      <c r="T20" s="713"/>
      <c r="U20" s="714"/>
      <c r="V20" s="713"/>
      <c r="W20" s="714"/>
      <c r="X20" s="1537"/>
      <c r="Y20" s="3531"/>
      <c r="Z20" s="1538"/>
      <c r="AA20" s="1535">
        <v>1</v>
      </c>
      <c r="AB20" s="1535">
        <v>1</v>
      </c>
      <c r="AC20" s="1535">
        <v>1</v>
      </c>
    </row>
    <row r="21" spans="1:29" ht="28.5">
      <c r="A21" s="386"/>
      <c r="B21" s="1292" t="s">
        <v>2509</v>
      </c>
      <c r="C21" s="208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31"/>
      <c r="Q21" s="1534" t="str">
        <f>B21</f>
        <v>基础设施水平</v>
      </c>
      <c r="R21" s="713" t="s">
        <v>17</v>
      </c>
      <c r="S21" s="714">
        <f>F21</f>
        <v>100</v>
      </c>
      <c r="T21" s="713" t="s">
        <v>17</v>
      </c>
      <c r="U21" s="714">
        <f>H21</f>
        <v>100</v>
      </c>
      <c r="V21" s="713" t="s">
        <v>17</v>
      </c>
      <c r="W21" s="714">
        <f>J21</f>
        <v>100</v>
      </c>
      <c r="X21" s="1537"/>
      <c r="Y21" s="3531"/>
      <c r="Z21" s="1538" t="str">
        <f>Q21</f>
        <v>基础设施水平</v>
      </c>
      <c r="AA21" s="1535">
        <f t="shared" ref="AA21" si="8">D21/F21</f>
        <v>1</v>
      </c>
      <c r="AB21" s="1535">
        <f t="shared" ref="AB21" si="9">D21/H21</f>
        <v>1</v>
      </c>
      <c r="AC21" s="1535">
        <f t="shared" ref="AC21" si="10">D21/J21</f>
        <v>1</v>
      </c>
    </row>
    <row r="22" spans="1:29" ht="15">
      <c r="A22" s="386"/>
      <c r="B22" s="1292"/>
      <c r="C22" s="2084"/>
      <c r="D22" s="406"/>
      <c r="E22" s="405"/>
      <c r="F22" s="407"/>
      <c r="G22" s="405"/>
      <c r="H22" s="406"/>
      <c r="I22" s="405"/>
      <c r="J22" s="406"/>
      <c r="K22" s="1291"/>
      <c r="L22" s="1053"/>
      <c r="M22" s="1044"/>
      <c r="N22" s="1044"/>
      <c r="O22" s="1052"/>
      <c r="P22" s="3531"/>
      <c r="Q22" s="1534"/>
      <c r="R22" s="713"/>
      <c r="S22" s="714"/>
      <c r="T22" s="713"/>
      <c r="U22" s="714"/>
      <c r="V22" s="713"/>
      <c r="W22" s="714"/>
      <c r="X22" s="1537"/>
      <c r="Y22" s="3531"/>
      <c r="Z22" s="1538"/>
      <c r="AA22" s="1535">
        <v>1</v>
      </c>
      <c r="AB22" s="1535">
        <v>1</v>
      </c>
      <c r="AC22" s="1535">
        <v>1</v>
      </c>
    </row>
    <row r="23" spans="1:29" ht="71.25">
      <c r="A23" s="386"/>
      <c r="B23" s="409" t="s">
        <v>2510</v>
      </c>
      <c r="C23" s="208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31"/>
      <c r="Q23" s="1534" t="str">
        <f>B23</f>
        <v>环境质量</v>
      </c>
      <c r="R23" s="713" t="s">
        <v>17</v>
      </c>
      <c r="S23" s="714">
        <f>F23</f>
        <v>100</v>
      </c>
      <c r="T23" s="713" t="s">
        <v>17</v>
      </c>
      <c r="U23" s="714">
        <f>H23</f>
        <v>100</v>
      </c>
      <c r="V23" s="713" t="s">
        <v>17</v>
      </c>
      <c r="W23" s="714">
        <f>J23</f>
        <v>100</v>
      </c>
      <c r="X23" s="1537"/>
      <c r="Y23" s="3531"/>
      <c r="Z23" s="1538" t="str">
        <f>Q23</f>
        <v>环境质量</v>
      </c>
      <c r="AA23" s="1535">
        <f t="shared" si="3"/>
        <v>1</v>
      </c>
      <c r="AB23" s="1535">
        <f t="shared" si="4"/>
        <v>1</v>
      </c>
      <c r="AC23" s="1535">
        <f t="shared" si="5"/>
        <v>1</v>
      </c>
    </row>
    <row r="24" spans="1:29" ht="15">
      <c r="A24" s="386"/>
      <c r="B24" s="1292"/>
      <c r="C24" s="405"/>
      <c r="D24" s="406"/>
      <c r="E24" s="2081"/>
      <c r="F24" s="407"/>
      <c r="G24" s="2080"/>
      <c r="H24" s="406"/>
      <c r="I24" s="2081"/>
      <c r="J24" s="406"/>
      <c r="K24" s="571"/>
      <c r="L24" s="1053"/>
      <c r="M24" s="1044"/>
      <c r="N24" s="1044"/>
      <c r="O24" s="1052"/>
      <c r="P24" s="3531"/>
      <c r="Q24" s="1534"/>
      <c r="R24" s="713"/>
      <c r="S24" s="714"/>
      <c r="T24" s="713"/>
      <c r="U24" s="714"/>
      <c r="V24" s="713"/>
      <c r="W24" s="714"/>
      <c r="X24" s="1537"/>
      <c r="Y24" s="3531"/>
      <c r="Z24" s="1538"/>
      <c r="AA24" s="1535">
        <v>1</v>
      </c>
      <c r="AB24" s="1535">
        <v>1</v>
      </c>
      <c r="AC24" s="1535">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31"/>
      <c r="Q25" s="1534">
        <f>B25</f>
        <v>111</v>
      </c>
      <c r="R25" s="713" t="s">
        <v>17</v>
      </c>
      <c r="S25" s="714">
        <f>F25</f>
        <v>100</v>
      </c>
      <c r="T25" s="713" t="s">
        <v>17</v>
      </c>
      <c r="U25" s="714">
        <f>H25</f>
        <v>100</v>
      </c>
      <c r="V25" s="713" t="s">
        <v>17</v>
      </c>
      <c r="W25" s="714">
        <f>J25</f>
        <v>100</v>
      </c>
      <c r="X25" s="1537"/>
      <c r="Y25" s="3531"/>
      <c r="Z25" s="1538">
        <f>Q25</f>
        <v>111</v>
      </c>
      <c r="AA25" s="1535">
        <f t="shared" si="3"/>
        <v>1</v>
      </c>
      <c r="AB25" s="1535">
        <f t="shared" si="4"/>
        <v>1</v>
      </c>
      <c r="AC25" s="1535">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31"/>
      <c r="Q26" s="1534">
        <f t="shared" ref="Q26:Q40" si="11">B26</f>
        <v>111</v>
      </c>
      <c r="R26" s="713" t="s">
        <v>17</v>
      </c>
      <c r="S26" s="714">
        <f>F26</f>
        <v>100</v>
      </c>
      <c r="T26" s="713" t="s">
        <v>17</v>
      </c>
      <c r="U26" s="714">
        <f>H26</f>
        <v>100</v>
      </c>
      <c r="V26" s="713" t="s">
        <v>17</v>
      </c>
      <c r="W26" s="714">
        <f>J26</f>
        <v>100</v>
      </c>
      <c r="X26" s="1537"/>
      <c r="Y26" s="3531"/>
      <c r="Z26" s="1538">
        <f>Q26</f>
        <v>111</v>
      </c>
      <c r="AA26" s="1535">
        <f t="shared" si="3"/>
        <v>1</v>
      </c>
      <c r="AB26" s="1535">
        <f t="shared" si="4"/>
        <v>1</v>
      </c>
      <c r="AC26" s="1535">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31"/>
      <c r="Q27" s="1525">
        <f t="shared" si="11"/>
        <v>111</v>
      </c>
      <c r="R27" s="709" t="s">
        <v>17</v>
      </c>
      <c r="S27" s="710">
        <f>F27</f>
        <v>100</v>
      </c>
      <c r="T27" s="709" t="s">
        <v>17</v>
      </c>
      <c r="U27" s="710">
        <f>H27</f>
        <v>100</v>
      </c>
      <c r="V27" s="709" t="s">
        <v>17</v>
      </c>
      <c r="W27" s="710">
        <f>J27</f>
        <v>100</v>
      </c>
      <c r="X27" s="711"/>
      <c r="Y27" s="3531"/>
      <c r="Z27" s="54">
        <f>Q27</f>
        <v>111</v>
      </c>
      <c r="AA27" s="1535">
        <f>D27/F27</f>
        <v>1</v>
      </c>
      <c r="AB27" s="1535">
        <f>D27/H27</f>
        <v>1</v>
      </c>
      <c r="AC27" s="1535">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31"/>
      <c r="Q28" s="1534">
        <f t="shared" si="11"/>
        <v>111</v>
      </c>
      <c r="R28" s="713" t="s">
        <v>17</v>
      </c>
      <c r="S28" s="714">
        <f t="shared" ref="S28:S40" si="12">F28</f>
        <v>100</v>
      </c>
      <c r="T28" s="713" t="s">
        <v>17</v>
      </c>
      <c r="U28" s="714">
        <f t="shared" ref="U28:U40" si="13">H28</f>
        <v>100</v>
      </c>
      <c r="V28" s="713" t="s">
        <v>17</v>
      </c>
      <c r="W28" s="714">
        <f t="shared" ref="W28:W40" si="14">J28</f>
        <v>100</v>
      </c>
      <c r="X28" s="1537"/>
      <c r="Y28" s="3531"/>
      <c r="Z28" s="1538">
        <f t="shared" ref="Z28:Z40" si="15">Q28</f>
        <v>111</v>
      </c>
      <c r="AA28" s="1535">
        <f t="shared" si="3"/>
        <v>1</v>
      </c>
      <c r="AB28" s="1535">
        <f t="shared" si="4"/>
        <v>1</v>
      </c>
      <c r="AC28" s="1535">
        <f t="shared" si="5"/>
        <v>1</v>
      </c>
    </row>
    <row r="29" spans="1:29" ht="28.5">
      <c r="A29" s="424" t="s">
        <v>2383</v>
      </c>
      <c r="B29" s="66" t="s">
        <v>2513</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532" t="s">
        <v>2385</v>
      </c>
      <c r="Q29" s="1534" t="str">
        <f t="shared" si="11"/>
        <v>建筑类型</v>
      </c>
      <c r="R29" s="713" t="s">
        <v>17</v>
      </c>
      <c r="S29" s="714">
        <f t="shared" si="12"/>
        <v>100</v>
      </c>
      <c r="T29" s="713" t="s">
        <v>17</v>
      </c>
      <c r="U29" s="714">
        <f t="shared" si="13"/>
        <v>100</v>
      </c>
      <c r="V29" s="713" t="s">
        <v>17</v>
      </c>
      <c r="W29" s="714">
        <f t="shared" si="14"/>
        <v>100</v>
      </c>
      <c r="X29" s="1537"/>
      <c r="Y29" s="3533" t="s">
        <v>2385</v>
      </c>
      <c r="Z29" s="1538" t="str">
        <f t="shared" si="15"/>
        <v>建筑类型</v>
      </c>
      <c r="AA29" s="1535">
        <f t="shared" si="3"/>
        <v>1</v>
      </c>
      <c r="AB29" s="1535">
        <f t="shared" si="4"/>
        <v>1</v>
      </c>
      <c r="AC29" s="1535">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33"/>
      <c r="Q30" s="715" t="str">
        <f t="shared" si="11"/>
        <v>项目建筑规模</v>
      </c>
      <c r="R30" s="716" t="s">
        <v>17</v>
      </c>
      <c r="S30" s="717" t="e">
        <f t="shared" si="12"/>
        <v>#N/A</v>
      </c>
      <c r="T30" s="716" t="s">
        <v>17</v>
      </c>
      <c r="U30" s="717" t="e">
        <f t="shared" si="13"/>
        <v>#N/A</v>
      </c>
      <c r="V30" s="716" t="s">
        <v>17</v>
      </c>
      <c r="W30" s="717" t="e">
        <f t="shared" si="14"/>
        <v>#N/A</v>
      </c>
      <c r="X30" s="718"/>
      <c r="Y30" s="3533"/>
      <c r="Z30" s="719" t="str">
        <f t="shared" si="15"/>
        <v>项目建筑规模</v>
      </c>
      <c r="AA30" s="1535" t="e">
        <f t="shared" si="3"/>
        <v>#N/A</v>
      </c>
      <c r="AB30" s="1535" t="e">
        <f t="shared" si="4"/>
        <v>#N/A</v>
      </c>
      <c r="AC30" s="1535"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33"/>
      <c r="Q31" s="1534" t="str">
        <f t="shared" si="11"/>
        <v>建筑结构</v>
      </c>
      <c r="R31" s="713" t="s">
        <v>17</v>
      </c>
      <c r="S31" s="714">
        <f t="shared" si="12"/>
        <v>100</v>
      </c>
      <c r="T31" s="713" t="s">
        <v>17</v>
      </c>
      <c r="U31" s="714">
        <f t="shared" si="13"/>
        <v>100</v>
      </c>
      <c r="V31" s="713" t="s">
        <v>17</v>
      </c>
      <c r="W31" s="714">
        <f t="shared" si="14"/>
        <v>100</v>
      </c>
      <c r="X31" s="1537"/>
      <c r="Y31" s="3533"/>
      <c r="Z31" s="1538" t="str">
        <f t="shared" si="15"/>
        <v>建筑结构</v>
      </c>
      <c r="AA31" s="1535">
        <f t="shared" si="3"/>
        <v>1</v>
      </c>
      <c r="AB31" s="1535">
        <f t="shared" si="4"/>
        <v>1</v>
      </c>
      <c r="AC31" s="1535">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33"/>
      <c r="Q32" s="1534" t="str">
        <f t="shared" si="11"/>
        <v>公共部分装修</v>
      </c>
      <c r="R32" s="713" t="s">
        <v>17</v>
      </c>
      <c r="S32" s="714">
        <f t="shared" si="12"/>
        <v>100</v>
      </c>
      <c r="T32" s="713" t="s">
        <v>17</v>
      </c>
      <c r="U32" s="714">
        <f t="shared" si="13"/>
        <v>100</v>
      </c>
      <c r="V32" s="713" t="s">
        <v>17</v>
      </c>
      <c r="W32" s="714">
        <f t="shared" si="14"/>
        <v>100</v>
      </c>
      <c r="X32" s="1537"/>
      <c r="Y32" s="3533"/>
      <c r="Z32" s="1538" t="str">
        <f t="shared" si="15"/>
        <v>公共部分装修</v>
      </c>
      <c r="AA32" s="1535">
        <f t="shared" si="3"/>
        <v>1</v>
      </c>
      <c r="AB32" s="1535">
        <f t="shared" si="4"/>
        <v>1</v>
      </c>
      <c r="AC32" s="1535">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33"/>
      <c r="Q33" s="1534" t="str">
        <f t="shared" si="11"/>
        <v>成新度</v>
      </c>
      <c r="R33" s="713" t="s">
        <v>17</v>
      </c>
      <c r="S33" s="714" t="e">
        <f t="shared" si="12"/>
        <v>#N/A</v>
      </c>
      <c r="T33" s="713" t="s">
        <v>17</v>
      </c>
      <c r="U33" s="714" t="e">
        <f t="shared" si="13"/>
        <v>#N/A</v>
      </c>
      <c r="V33" s="713" t="s">
        <v>17</v>
      </c>
      <c r="W33" s="714" t="e">
        <f t="shared" si="14"/>
        <v>#N/A</v>
      </c>
      <c r="X33" s="1537"/>
      <c r="Y33" s="3533"/>
      <c r="Z33" s="1538" t="str">
        <f t="shared" si="15"/>
        <v>成新度</v>
      </c>
      <c r="AA33" s="1535" t="e">
        <f t="shared" si="3"/>
        <v>#N/A</v>
      </c>
      <c r="AB33" s="1535" t="e">
        <f t="shared" si="4"/>
        <v>#N/A</v>
      </c>
      <c r="AC33" s="1535" t="e">
        <f t="shared" si="5"/>
        <v>#N/A</v>
      </c>
    </row>
    <row r="34" spans="1:29" s="112"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33"/>
      <c r="Q34" s="1525" t="str">
        <f t="shared" si="11"/>
        <v>物业管理</v>
      </c>
      <c r="R34" s="709" t="s">
        <v>17</v>
      </c>
      <c r="S34" s="710">
        <f t="shared" si="12"/>
        <v>100</v>
      </c>
      <c r="T34" s="709" t="s">
        <v>17</v>
      </c>
      <c r="U34" s="710">
        <f t="shared" si="13"/>
        <v>100</v>
      </c>
      <c r="V34" s="709" t="s">
        <v>17</v>
      </c>
      <c r="W34" s="710">
        <f t="shared" si="14"/>
        <v>100</v>
      </c>
      <c r="X34" s="711"/>
      <c r="Y34" s="3533"/>
      <c r="Z34" s="54"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33" t="s">
        <v>2385</v>
      </c>
      <c r="Q35" s="1534" t="str">
        <f t="shared" si="11"/>
        <v>市政基础设施</v>
      </c>
      <c r="R35" s="713" t="s">
        <v>17</v>
      </c>
      <c r="S35" s="714">
        <f t="shared" si="12"/>
        <v>100</v>
      </c>
      <c r="T35" s="713" t="s">
        <v>17</v>
      </c>
      <c r="U35" s="714">
        <f t="shared" si="13"/>
        <v>100</v>
      </c>
      <c r="V35" s="713" t="s">
        <v>17</v>
      </c>
      <c r="W35" s="714">
        <f t="shared" si="14"/>
        <v>100</v>
      </c>
      <c r="X35" s="1537"/>
      <c r="Y35" s="3533" t="s">
        <v>2385</v>
      </c>
      <c r="Z35" s="1538" t="str">
        <f t="shared" si="15"/>
        <v>市政基础设施</v>
      </c>
      <c r="AA35" s="1535">
        <f t="shared" si="3"/>
        <v>1</v>
      </c>
      <c r="AB35" s="1535">
        <f t="shared" si="4"/>
        <v>1</v>
      </c>
      <c r="AC35" s="1535">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33"/>
      <c r="Q36" s="1534" t="str">
        <f t="shared" si="11"/>
        <v>内部装修</v>
      </c>
      <c r="R36" s="713" t="s">
        <v>17</v>
      </c>
      <c r="S36" s="714">
        <f t="shared" si="12"/>
        <v>100</v>
      </c>
      <c r="T36" s="713" t="s">
        <v>17</v>
      </c>
      <c r="U36" s="714">
        <f t="shared" si="13"/>
        <v>100</v>
      </c>
      <c r="V36" s="713" t="s">
        <v>17</v>
      </c>
      <c r="W36" s="714">
        <f t="shared" si="14"/>
        <v>100</v>
      </c>
      <c r="X36" s="1537"/>
      <c r="Y36" s="3533"/>
      <c r="Z36" s="1538" t="str">
        <f t="shared" si="15"/>
        <v>内部装修</v>
      </c>
      <c r="AA36" s="1535">
        <f t="shared" si="3"/>
        <v>1</v>
      </c>
      <c r="AB36" s="1535">
        <f t="shared" si="4"/>
        <v>1</v>
      </c>
      <c r="AC36" s="1535">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33"/>
      <c r="Q37" s="1534" t="str">
        <f t="shared" si="11"/>
        <v>内部装修状况</v>
      </c>
      <c r="R37" s="713" t="s">
        <v>17</v>
      </c>
      <c r="S37" s="714">
        <f t="shared" si="12"/>
        <v>100</v>
      </c>
      <c r="T37" s="713" t="s">
        <v>17</v>
      </c>
      <c r="U37" s="714">
        <f t="shared" si="13"/>
        <v>100</v>
      </c>
      <c r="V37" s="713" t="s">
        <v>17</v>
      </c>
      <c r="W37" s="714">
        <f t="shared" si="14"/>
        <v>100</v>
      </c>
      <c r="X37" s="1537"/>
      <c r="Y37" s="3533"/>
      <c r="Z37" s="1538" t="str">
        <f t="shared" si="15"/>
        <v>内部装修状况</v>
      </c>
      <c r="AA37" s="1535">
        <f t="shared" si="3"/>
        <v>1</v>
      </c>
      <c r="AB37" s="1535">
        <f t="shared" si="4"/>
        <v>1</v>
      </c>
      <c r="AC37" s="1535">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33"/>
      <c r="Q38" s="715">
        <f t="shared" si="11"/>
        <v>111</v>
      </c>
      <c r="R38" s="716" t="s">
        <v>17</v>
      </c>
      <c r="S38" s="717">
        <f t="shared" si="12"/>
        <v>100</v>
      </c>
      <c r="T38" s="716" t="s">
        <v>17</v>
      </c>
      <c r="U38" s="717">
        <f t="shared" si="13"/>
        <v>100</v>
      </c>
      <c r="V38" s="716" t="s">
        <v>17</v>
      </c>
      <c r="W38" s="717">
        <f t="shared" si="14"/>
        <v>100</v>
      </c>
      <c r="X38" s="718"/>
      <c r="Y38" s="3533"/>
      <c r="Z38" s="719">
        <f t="shared" si="15"/>
        <v>111</v>
      </c>
      <c r="AA38" s="1535">
        <f t="shared" si="3"/>
        <v>1</v>
      </c>
      <c r="AB38" s="1535">
        <f t="shared" si="4"/>
        <v>1</v>
      </c>
      <c r="AC38" s="1535">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33"/>
      <c r="Q39" s="1534">
        <f t="shared" si="11"/>
        <v>111</v>
      </c>
      <c r="R39" s="713" t="s">
        <v>17</v>
      </c>
      <c r="S39" s="714">
        <f t="shared" si="12"/>
        <v>100</v>
      </c>
      <c r="T39" s="713" t="s">
        <v>17</v>
      </c>
      <c r="U39" s="714">
        <f t="shared" si="13"/>
        <v>100</v>
      </c>
      <c r="V39" s="713" t="s">
        <v>17</v>
      </c>
      <c r="W39" s="714">
        <f t="shared" si="14"/>
        <v>100</v>
      </c>
      <c r="X39" s="1537"/>
      <c r="Y39" s="3533"/>
      <c r="Z39" s="1538">
        <f t="shared" si="15"/>
        <v>111</v>
      </c>
      <c r="AA39" s="1535">
        <f t="shared" si="3"/>
        <v>1</v>
      </c>
      <c r="AB39" s="1535">
        <f t="shared" si="4"/>
        <v>1</v>
      </c>
      <c r="AC39" s="1535">
        <f t="shared" si="5"/>
        <v>1</v>
      </c>
    </row>
    <row r="40" spans="1:29" ht="15.75" thickBot="1">
      <c r="A40" s="436"/>
      <c r="B40" s="207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54"/>
      <c r="Q40" s="1534">
        <f t="shared" si="11"/>
        <v>111</v>
      </c>
      <c r="R40" s="713" t="s">
        <v>17</v>
      </c>
      <c r="S40" s="714">
        <f t="shared" si="12"/>
        <v>100</v>
      </c>
      <c r="T40" s="713" t="s">
        <v>17</v>
      </c>
      <c r="U40" s="714">
        <f t="shared" si="13"/>
        <v>100</v>
      </c>
      <c r="V40" s="713" t="s">
        <v>17</v>
      </c>
      <c r="W40" s="714">
        <f t="shared" si="14"/>
        <v>100</v>
      </c>
      <c r="X40" s="1537"/>
      <c r="Y40" s="3554"/>
      <c r="Z40" s="1538">
        <f t="shared" si="15"/>
        <v>111</v>
      </c>
      <c r="AA40" s="1535">
        <f t="shared" si="3"/>
        <v>1</v>
      </c>
      <c r="AB40" s="1535">
        <f t="shared" si="4"/>
        <v>1</v>
      </c>
      <c r="AC40" s="1535">
        <f t="shared" si="5"/>
        <v>1</v>
      </c>
    </row>
    <row r="41" spans="1:29" ht="15">
      <c r="A41" s="437" t="s">
        <v>2397</v>
      </c>
      <c r="B41" s="438"/>
      <c r="C41" s="1315" t="s">
        <v>1</v>
      </c>
      <c r="D41" s="1316"/>
      <c r="E41" s="1317"/>
      <c r="F41" s="1318"/>
      <c r="G41" s="1319"/>
      <c r="H41" s="1320"/>
      <c r="I41" s="1317"/>
      <c r="J41" s="1320"/>
      <c r="K41" s="722"/>
      <c r="L41" s="1056"/>
      <c r="M41" s="1057"/>
      <c r="N41" s="1044"/>
      <c r="O41" s="1057"/>
      <c r="P41" s="3515" t="str">
        <f>A41</f>
        <v>成交单价（元/平方米）</v>
      </c>
      <c r="Q41" s="3515"/>
      <c r="R41" s="3550">
        <f>E41</f>
        <v>0</v>
      </c>
      <c r="S41" s="3550"/>
      <c r="T41" s="3550">
        <f>G41</f>
        <v>0</v>
      </c>
      <c r="U41" s="3550"/>
      <c r="V41" s="3550">
        <f>I41</f>
        <v>0</v>
      </c>
      <c r="W41" s="3550"/>
      <c r="X41" s="698"/>
      <c r="Y41" s="720"/>
      <c r="Z41" s="698"/>
      <c r="AA41" s="698"/>
      <c r="AB41" s="698"/>
      <c r="AC41" s="698"/>
    </row>
    <row r="42" spans="1:29" ht="15.75" thickBot="1">
      <c r="A42" s="444" t="s">
        <v>2489</v>
      </c>
      <c r="B42" s="445"/>
      <c r="C42" s="1321" t="e">
        <f>R43</f>
        <v>#DIV/0!</v>
      </c>
      <c r="D42" s="2535" t="s">
        <v>2880</v>
      </c>
      <c r="E42" s="1322" t="e">
        <f>R42</f>
        <v>#DIV/0!</v>
      </c>
      <c r="F42" s="2536"/>
      <c r="G42" s="1321" t="e">
        <f>T42</f>
        <v>#DIV/0!</v>
      </c>
      <c r="H42" s="2536"/>
      <c r="I42" s="1322" t="e">
        <f>V42</f>
        <v>#DIV/0!</v>
      </c>
      <c r="J42" s="2536"/>
      <c r="K42" s="2538">
        <f>F42+H42+J42</f>
        <v>0</v>
      </c>
      <c r="L42" s="1056"/>
      <c r="M42" s="1057"/>
      <c r="N42" s="1044"/>
      <c r="O42" s="1057"/>
      <c r="P42" s="3515" t="str">
        <f>A42</f>
        <v>比较价值（元/平方米）</v>
      </c>
      <c r="Q42" s="3515"/>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98"/>
      <c r="Y42" s="698"/>
      <c r="Z42" s="698"/>
      <c r="AA42" s="698"/>
      <c r="AB42" s="698"/>
      <c r="AC42" s="698"/>
    </row>
    <row r="43" spans="1:29" ht="15.75" thickBot="1">
      <c r="A43" s="448" t="s">
        <v>2490</v>
      </c>
      <c r="B43" s="449"/>
      <c r="C43" s="1324" t="e">
        <f>R43</f>
        <v>#DIV/0!</v>
      </c>
      <c r="D43" s="1324"/>
      <c r="E43" s="1324"/>
      <c r="F43" s="1324"/>
      <c r="G43" s="1324"/>
      <c r="H43" s="1324"/>
      <c r="I43" s="1324"/>
      <c r="J43" s="1324"/>
      <c r="K43" s="723"/>
      <c r="L43" s="1056"/>
      <c r="M43" s="1057"/>
      <c r="N43" s="1057"/>
      <c r="O43" s="1057"/>
      <c r="P43" s="3535" t="str">
        <f>A43</f>
        <v>估价对象XX用房的比较价值（楼面单价，元/平方米）</v>
      </c>
      <c r="Q43" s="3536"/>
      <c r="R43" s="3549" t="e">
        <f>IF(F1="售价",ROUND(IF(D42="简单平均",AVERAGE(R42:V42),R42*F42+T42*H42+V42*J42),0),ROUND(IF(D42="简单平均",AVERAGE(R42:V42),R42*F42+T42*H42+V42*J42),1))</f>
        <v>#DIV/0!</v>
      </c>
      <c r="S43" s="3549"/>
      <c r="T43" s="3549"/>
      <c r="U43" s="3549"/>
      <c r="V43" s="3549"/>
      <c r="W43" s="3549"/>
      <c r="X43" s="698"/>
      <c r="Y43" s="698"/>
      <c r="Z43" s="698"/>
      <c r="AA43" s="698"/>
      <c r="AB43" s="698"/>
      <c r="AC43" s="698"/>
    </row>
    <row r="44" spans="1:29">
      <c r="A44" s="2947"/>
      <c r="B44" s="2947"/>
      <c r="C44" s="2947"/>
      <c r="D44" s="2947"/>
      <c r="E44" s="2947"/>
      <c r="F44" s="2947"/>
      <c r="G44" s="2951"/>
      <c r="H44" s="2947"/>
      <c r="I44" s="2947"/>
      <c r="J44" s="2947"/>
      <c r="K44" s="2952"/>
      <c r="L44" s="1019"/>
      <c r="M44" s="1057"/>
      <c r="N44" s="1057"/>
      <c r="O44" s="1057"/>
    </row>
    <row r="45" spans="1:29">
      <c r="A45" s="2947"/>
      <c r="B45" s="2947"/>
      <c r="C45" s="2947"/>
      <c r="D45" s="2947"/>
      <c r="E45" s="2947"/>
      <c r="F45" s="2947"/>
      <c r="G45" s="2947"/>
      <c r="H45" s="2947"/>
      <c r="I45" s="2947"/>
      <c r="J45" s="2947"/>
      <c r="K45" s="2952"/>
      <c r="L45" s="1019"/>
      <c r="M45" s="1057"/>
      <c r="N45" s="1057"/>
      <c r="O45" s="1057"/>
    </row>
    <row r="46" spans="1:29" ht="13.5" customHeight="1">
      <c r="A46" s="2947"/>
      <c r="B46" s="2947"/>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1019"/>
      <c r="M46" s="1057"/>
      <c r="N46" s="1057"/>
      <c r="O46" s="1057"/>
    </row>
    <row r="47" spans="1:29" ht="13.5" customHeight="1">
      <c r="A47" s="2947"/>
      <c r="B47" s="2947"/>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1019"/>
      <c r="M47" s="1057"/>
      <c r="N47" s="1057"/>
      <c r="O47" s="1057"/>
    </row>
    <row r="48" spans="1:29" s="458" customFormat="1" ht="13.5" customHeight="1">
      <c r="A48" s="2950"/>
      <c r="B48" s="2950"/>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1060"/>
      <c r="M48" s="1058"/>
      <c r="N48" s="1058"/>
      <c r="O48" s="1058"/>
    </row>
    <row r="49" spans="1:17" s="458" customFormat="1">
      <c r="A49" s="2950"/>
      <c r="B49" s="2953"/>
      <c r="C49" s="2954"/>
      <c r="D49" s="2950"/>
      <c r="E49" s="2950"/>
      <c r="F49" s="2950"/>
      <c r="G49" s="2950"/>
      <c r="H49" s="2950"/>
      <c r="I49" s="2950"/>
      <c r="J49" s="2950"/>
      <c r="K49" s="2955"/>
      <c r="L49" s="1060"/>
      <c r="M49" s="1058"/>
      <c r="N49" s="1058"/>
      <c r="O49" s="1058"/>
    </row>
    <row r="50" spans="1:17">
      <c r="A50" s="2947"/>
      <c r="B50" s="2953"/>
      <c r="C50" s="2954"/>
      <c r="D50" s="2947"/>
      <c r="E50" s="2947"/>
      <c r="F50" s="2947"/>
      <c r="G50" s="2947"/>
      <c r="H50" s="2947"/>
      <c r="I50" s="2947"/>
      <c r="J50" s="2947"/>
      <c r="K50" s="295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59"/>
      <c r="Q51" s="460"/>
    </row>
    <row r="52" spans="1:17" s="464" customFormat="1" ht="15">
      <c r="A52" s="461" t="s">
        <v>2368</v>
      </c>
      <c r="B52" s="462"/>
      <c r="C52" s="1344" t="str">
        <f>YEAR(C7)&amp;"-"&amp;MONTH(C7)</f>
        <v>2021-10</v>
      </c>
      <c r="D52" s="1345">
        <f>EDATE(C52,-1)</f>
        <v>44440</v>
      </c>
      <c r="E52" s="1345">
        <f t="shared" ref="E52:O52" si="16">EDATE(D52,-1)</f>
        <v>44409</v>
      </c>
      <c r="F52" s="1345">
        <f t="shared" si="16"/>
        <v>44378</v>
      </c>
      <c r="G52" s="1345">
        <f t="shared" si="16"/>
        <v>44348</v>
      </c>
      <c r="H52" s="1345">
        <f t="shared" si="16"/>
        <v>44317</v>
      </c>
      <c r="I52" s="1345">
        <f t="shared" si="16"/>
        <v>44287</v>
      </c>
      <c r="J52" s="1345">
        <f t="shared" si="16"/>
        <v>44256</v>
      </c>
      <c r="K52" s="1345">
        <f t="shared" si="16"/>
        <v>44228</v>
      </c>
      <c r="L52" s="1345">
        <f t="shared" si="16"/>
        <v>44197</v>
      </c>
      <c r="M52" s="1345">
        <f t="shared" si="16"/>
        <v>44166</v>
      </c>
      <c r="N52" s="1345">
        <f t="shared" si="16"/>
        <v>44136</v>
      </c>
      <c r="O52" s="1345">
        <f t="shared" si="16"/>
        <v>44105</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2405</v>
      </c>
      <c r="B54" s="472"/>
      <c r="C54" s="473"/>
      <c r="D54" s="474"/>
      <c r="E54" s="474"/>
      <c r="F54" s="474"/>
      <c r="G54" s="474"/>
      <c r="H54" s="474"/>
      <c r="I54" s="474"/>
      <c r="J54" s="474"/>
      <c r="K54" s="474"/>
      <c r="L54" s="474"/>
      <c r="M54" s="475"/>
      <c r="N54" s="2992"/>
      <c r="O54" s="2993"/>
      <c r="P54" s="460"/>
      <c r="Q54" s="460"/>
    </row>
    <row r="55" spans="1:17" s="112" customFormat="1" ht="15">
      <c r="A55" s="477" t="s">
        <v>2370</v>
      </c>
      <c r="B55" s="466"/>
      <c r="C55" s="478" t="s">
        <v>2472</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2408</v>
      </c>
      <c r="B57" s="484" t="s">
        <v>2374</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2509</v>
      </c>
      <c r="C76" s="615" t="s">
        <v>2495</v>
      </c>
      <c r="D76" s="615" t="s">
        <v>2496</v>
      </c>
      <c r="E76" s="615" t="s">
        <v>2497</v>
      </c>
      <c r="F76" s="615" t="s">
        <v>2498</v>
      </c>
      <c r="G76" s="615" t="s">
        <v>2499</v>
      </c>
      <c r="H76" s="495"/>
      <c r="I76" s="495"/>
      <c r="J76" s="495"/>
      <c r="K76" s="495"/>
      <c r="L76" s="495"/>
      <c r="M76" s="1290"/>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1"/>
      <c r="B87" s="525"/>
      <c r="C87" s="526"/>
      <c r="D87" s="526"/>
      <c r="E87" s="526"/>
      <c r="F87" s="526"/>
      <c r="G87" s="547"/>
      <c r="H87" s="547"/>
      <c r="I87" s="547"/>
      <c r="J87" s="547"/>
      <c r="K87" s="547"/>
      <c r="L87" s="547"/>
      <c r="M87" s="548"/>
      <c r="N87" s="1064"/>
      <c r="O87" s="1064"/>
      <c r="P87" s="44"/>
      <c r="Q87" s="460"/>
    </row>
    <row r="88" spans="1:17">
      <c r="A88" s="483" t="s">
        <v>2383</v>
      </c>
      <c r="B88" s="484" t="s">
        <v>2432</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2434</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2436</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2438</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2440</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1"/>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J512"/>
  <sheetViews>
    <sheetView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1947</v>
      </c>
      <c r="B1" s="1930"/>
      <c r="C1" s="1931" t="s">
        <v>4184</v>
      </c>
      <c r="D1" s="1930"/>
      <c r="E1" s="1930"/>
      <c r="F1" s="1932" t="s">
        <v>1948</v>
      </c>
      <c r="G1" s="1744" t="s">
        <v>4206</v>
      </c>
      <c r="H1" s="1933" t="str">
        <f>IF(G1="现房","——","估价对象范围")</f>
        <v>——</v>
      </c>
      <c r="I1" s="1934" t="s">
        <v>4207</v>
      </c>
    </row>
    <row r="2" spans="1:12" ht="21.75" customHeight="1" thickBot="1">
      <c r="A2" s="3440" t="str">
        <f>项目基本情况!S2</f>
        <v>北京市0331地块部分现房房地产</v>
      </c>
      <c r="B2" s="3441"/>
      <c r="C2" s="3441"/>
      <c r="D2" s="3441"/>
      <c r="E2" s="3441"/>
      <c r="F2" s="3441"/>
      <c r="G2" s="3441"/>
      <c r="H2" s="3441"/>
      <c r="I2" s="3442"/>
    </row>
    <row r="3" spans="1:12" ht="12.75">
      <c r="A3" s="3444" t="s">
        <v>1949</v>
      </c>
      <c r="B3" s="3445"/>
      <c r="C3" s="3445"/>
      <c r="D3" s="3445"/>
      <c r="E3" s="3445"/>
      <c r="F3" s="3445"/>
      <c r="G3" s="3445"/>
      <c r="H3" s="3445"/>
      <c r="I3" s="3445"/>
    </row>
    <row r="4" spans="1:12" ht="14.25">
      <c r="A4" s="1937" t="s">
        <v>1950</v>
      </c>
      <c r="B4" s="1938" t="s">
        <v>1951</v>
      </c>
      <c r="C4" s="1939" t="s">
        <v>4377</v>
      </c>
      <c r="D4" s="1939" t="s">
        <v>4211</v>
      </c>
      <c r="E4" s="3449" t="s">
        <v>1952</v>
      </c>
      <c r="F4" s="3450"/>
      <c r="G4" s="3450"/>
      <c r="H4" s="3450"/>
      <c r="I4" s="3451"/>
      <c r="K4" s="150"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50" t="str">
        <f>IF(ISNUMBER(FIND("比较法",'结果表 (地下仓储)'!D4)),"比较法",IF(ISNUMBER(FIND("成本法",'结果表 (地下仓储)'!D4)),"成本法",IF(ISNUMBER(FIND("假设开发法",'结果表 (地下仓储)'!D4)),"假设开发法",IF(ISNUMBER(FIND("收益法",'结果表 (地下仓储)'!D4)),"收益法","基准地价系数修正法"))))</f>
        <v>比较法</v>
      </c>
    </row>
    <row r="5" spans="1:12" ht="12.75">
      <c r="A5" s="3385" t="s">
        <v>1953</v>
      </c>
      <c r="B5" s="3443">
        <v>25</v>
      </c>
      <c r="C5" s="3446"/>
      <c r="D5" s="3434"/>
      <c r="E5" s="135" t="s">
        <v>1954</v>
      </c>
      <c r="F5" s="1940"/>
      <c r="G5" s="1940"/>
      <c r="H5" s="1940"/>
      <c r="I5" s="1555"/>
    </row>
    <row r="6" spans="1:12" ht="12.75">
      <c r="A6" s="3385"/>
      <c r="B6" s="3443"/>
      <c r="C6" s="3448"/>
      <c r="D6" s="3434"/>
      <c r="E6" s="135" t="s">
        <v>1955</v>
      </c>
      <c r="F6" s="1940"/>
      <c r="G6" s="1940"/>
      <c r="H6" s="1940"/>
      <c r="I6" s="1555"/>
    </row>
    <row r="7" spans="1:12" ht="12.75">
      <c r="A7" s="3385"/>
      <c r="B7" s="3443"/>
      <c r="C7" s="3447"/>
      <c r="D7" s="3434"/>
      <c r="E7" s="135" t="s">
        <v>1956</v>
      </c>
      <c r="F7" s="1940"/>
      <c r="G7" s="1940"/>
      <c r="H7" s="1940"/>
      <c r="I7" s="1555"/>
    </row>
    <row r="8" spans="1:12" ht="12.75">
      <c r="A8" s="3385" t="s">
        <v>1957</v>
      </c>
      <c r="B8" s="3443">
        <v>15</v>
      </c>
      <c r="C8" s="3446"/>
      <c r="D8" s="3434"/>
      <c r="E8" s="135" t="s">
        <v>1958</v>
      </c>
      <c r="F8" s="1940"/>
      <c r="G8" s="1940"/>
      <c r="H8" s="1940"/>
      <c r="I8" s="1555"/>
    </row>
    <row r="9" spans="1:12" ht="12.75">
      <c r="A9" s="3385"/>
      <c r="B9" s="3443"/>
      <c r="C9" s="3447"/>
      <c r="D9" s="3434"/>
      <c r="E9" s="135" t="s">
        <v>1959</v>
      </c>
      <c r="F9" s="1940"/>
      <c r="G9" s="1940"/>
      <c r="H9" s="1940"/>
      <c r="I9" s="1555"/>
    </row>
    <row r="10" spans="1:12" ht="12.75">
      <c r="A10" s="3385" t="s">
        <v>1960</v>
      </c>
      <c r="B10" s="3443">
        <v>15</v>
      </c>
      <c r="C10" s="3446"/>
      <c r="D10" s="3434"/>
      <c r="E10" s="135" t="s">
        <v>1961</v>
      </c>
      <c r="F10" s="1940"/>
      <c r="G10" s="1940"/>
      <c r="H10" s="1940"/>
      <c r="I10" s="1555"/>
    </row>
    <row r="11" spans="1:12" ht="12.75">
      <c r="A11" s="3385"/>
      <c r="B11" s="3443"/>
      <c r="C11" s="3447"/>
      <c r="D11" s="3434"/>
      <c r="E11" s="135" t="s">
        <v>1962</v>
      </c>
      <c r="F11" s="1940"/>
      <c r="G11" s="1940"/>
      <c r="H11" s="1940"/>
      <c r="I11" s="1555"/>
    </row>
    <row r="12" spans="1:12" ht="12.75">
      <c r="A12" s="3385" t="s">
        <v>1963</v>
      </c>
      <c r="B12" s="3443">
        <v>15</v>
      </c>
      <c r="C12" s="3446"/>
      <c r="D12" s="3434"/>
      <c r="E12" s="135" t="s">
        <v>1964</v>
      </c>
      <c r="F12" s="1940"/>
      <c r="G12" s="1940"/>
      <c r="H12" s="1940"/>
      <c r="I12" s="1555"/>
    </row>
    <row r="13" spans="1:12" ht="12.75">
      <c r="A13" s="3385"/>
      <c r="B13" s="3443"/>
      <c r="C13" s="3447"/>
      <c r="D13" s="3434"/>
      <c r="E13" s="135" t="s">
        <v>1965</v>
      </c>
      <c r="F13" s="1940"/>
      <c r="G13" s="1940"/>
      <c r="H13" s="1940"/>
      <c r="I13" s="1555"/>
    </row>
    <row r="14" spans="1:12" ht="12.75">
      <c r="A14" s="3385" t="s">
        <v>1966</v>
      </c>
      <c r="B14" s="3443">
        <v>30</v>
      </c>
      <c r="C14" s="3446">
        <v>5</v>
      </c>
      <c r="D14" s="3434">
        <f>10-C14</f>
        <v>5</v>
      </c>
      <c r="E14" s="135" t="s">
        <v>1967</v>
      </c>
      <c r="F14" s="1940"/>
      <c r="G14" s="1940"/>
      <c r="H14" s="1940"/>
      <c r="I14" s="1555"/>
    </row>
    <row r="15" spans="1:12" ht="12.75">
      <c r="A15" s="3385"/>
      <c r="B15" s="3443"/>
      <c r="C15" s="3448"/>
      <c r="D15" s="3434"/>
      <c r="E15" s="135" t="s">
        <v>1968</v>
      </c>
      <c r="F15" s="1940"/>
      <c r="G15" s="1940"/>
      <c r="H15" s="1940"/>
      <c r="I15" s="1555"/>
    </row>
    <row r="16" spans="1:12" ht="12.75">
      <c r="A16" s="3385"/>
      <c r="B16" s="3443"/>
      <c r="C16" s="3447"/>
      <c r="D16" s="3434"/>
      <c r="E16" s="135" t="s">
        <v>1969</v>
      </c>
      <c r="F16" s="1940"/>
      <c r="G16" s="1940"/>
      <c r="H16" s="1940"/>
      <c r="I16" s="1555"/>
    </row>
    <row r="17" spans="1:36" ht="15">
      <c r="A17" s="1941" t="s">
        <v>1970</v>
      </c>
      <c r="B17" s="59"/>
      <c r="C17" s="136">
        <f>SUM(C5:C16)</f>
        <v>5</v>
      </c>
      <c r="D17" s="136">
        <f>SUM(D5:D16)</f>
        <v>5</v>
      </c>
      <c r="E17" s="133"/>
      <c r="F17" s="133"/>
      <c r="G17" s="133"/>
      <c r="H17" s="133"/>
      <c r="I17" s="133"/>
      <c r="K17" s="307"/>
      <c r="L17" s="307" t="s">
        <v>1971</v>
      </c>
      <c r="M17" s="307" t="s">
        <v>1972</v>
      </c>
    </row>
    <row r="18" spans="1:36" ht="31.9" customHeight="1" thickBot="1">
      <c r="A18" s="1942" t="s">
        <v>1973</v>
      </c>
      <c r="B18" s="1943"/>
      <c r="C18" s="137">
        <f>ROUND(C17/SUM(C17:D17),2)</f>
        <v>0.5</v>
      </c>
      <c r="D18" s="137">
        <f>1-C18</f>
        <v>0.5</v>
      </c>
      <c r="E18" s="3465" t="s">
        <v>2873</v>
      </c>
      <c r="F18" s="3466"/>
      <c r="G18" s="3466"/>
      <c r="H18" s="3466"/>
      <c r="I18" s="3466"/>
      <c r="K18" s="307" t="s">
        <v>1974</v>
      </c>
      <c r="L18" s="307">
        <f>IF(C1="",'数据-汇总表'!E3,SUMIF(项目类型,C1,'数据-汇总表'!E17:E26)+SUMIF(项目类型,C1,'数据-汇总表'!I17:I26))</f>
        <v>0</v>
      </c>
      <c r="M18" s="307">
        <f>IF(C1="",'数据-汇总表'!E3,SUMIF(项目类型,C1,'数据-汇总表'!E17:E26))</f>
        <v>0</v>
      </c>
    </row>
    <row r="19" spans="1:36" ht="15">
      <c r="A19" s="1944" t="s">
        <v>1975</v>
      </c>
      <c r="B19" s="1945" t="s">
        <v>1976</v>
      </c>
      <c r="C19" s="138">
        <f ca="1">SUMIF(INDIRECT("'"&amp;C4&amp;"'"&amp;"!A:A"),'结果表 (地下仓储)'!B19,INDIRECT("'"&amp;C4&amp;"'"&amp;"!B:B"))</f>
        <v>13775</v>
      </c>
      <c r="D19" s="139">
        <f ca="1">SUMIF(INDIRECT("'"&amp;D4&amp;"'"&amp;"!A:A"),'结果表 (地下仓储)'!B19,INDIRECT("'"&amp;D4&amp;"'"&amp;"!B:B"))</f>
        <v>52253</v>
      </c>
      <c r="E19" s="1944" t="s">
        <v>1977</v>
      </c>
      <c r="F19" s="1945" t="s">
        <v>1976</v>
      </c>
      <c r="G19" s="140">
        <f ca="1">ROUND(C19*$C$18+D19*$D$18,0)</f>
        <v>33014</v>
      </c>
      <c r="H19" s="1946"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7"/>
      <c r="B20" s="1156" t="s">
        <v>1980</v>
      </c>
      <c r="C20" s="141">
        <f ca="1">SUMIF(INDIRECT("'"&amp;C4&amp;"'"&amp;"!A:A"),'结果表 (地下仓储)'!B20,INDIRECT("'"&amp;C4&amp;"'"&amp;"!B:B"))</f>
        <v>6948</v>
      </c>
      <c r="D20" s="142">
        <f ca="1">SUMIF(INDIRECT("'"&amp;D4&amp;"'"&amp;"!A:A"),'结果表 (地下仓储)'!B20,INDIRECT("'"&amp;D4&amp;"'"&amp;"!B:B"))</f>
        <v>26355</v>
      </c>
      <c r="E20" s="1947"/>
      <c r="F20" s="1156" t="s">
        <v>1980</v>
      </c>
      <c r="G20" s="143">
        <f ca="1">ROUND(C20*$C$18+D20*$D$18,0)</f>
        <v>16652</v>
      </c>
      <c r="H20" s="916" t="s">
        <v>1981</v>
      </c>
      <c r="I20" s="133"/>
      <c r="J20" s="733">
        <f ca="1">G20*'成本法 (地下仓储)'!D10/10000</f>
        <v>33015.454143999996</v>
      </c>
    </row>
    <row r="21" spans="1:36" ht="15" customHeight="1" thickBot="1">
      <c r="A21" s="936"/>
      <c r="B21" s="1948" t="s">
        <v>1982</v>
      </c>
      <c r="C21" s="727" t="e">
        <f ca="1">ROUND(C19*10000/L19,0)</f>
        <v>#DIV/0!</v>
      </c>
      <c r="D21" s="728" t="e">
        <f ca="1">ROUND(D19*10000/L19,0)</f>
        <v>#DIV/0!</v>
      </c>
      <c r="E21" s="936"/>
      <c r="F21" s="1948" t="s">
        <v>1982</v>
      </c>
      <c r="G21" s="144" t="e">
        <f ca="1">ROUND(G19*10000/L19,0)</f>
        <v>#DIV/0!</v>
      </c>
      <c r="H21" s="1949" t="s">
        <v>1981</v>
      </c>
      <c r="I21" s="133"/>
    </row>
    <row r="22" spans="1:36" ht="15" thickBot="1">
      <c r="A22" s="1871" t="s">
        <v>1983</v>
      </c>
      <c r="B22" s="1950"/>
      <c r="C22" s="1951"/>
      <c r="D22" s="729">
        <f ca="1">IF(C19&lt;D19,D19/C19-1,C19/D19-1)</f>
        <v>2.7933212341197824</v>
      </c>
      <c r="E22" s="133"/>
      <c r="F22" s="133"/>
      <c r="G22" s="133"/>
      <c r="H22" s="133"/>
      <c r="I22" s="133"/>
    </row>
    <row r="23" spans="1:36" ht="13.5" thickBot="1">
      <c r="A23" s="1930"/>
      <c r="B23" s="1930"/>
      <c r="C23" s="1930"/>
      <c r="D23" s="1930"/>
      <c r="E23" s="133"/>
      <c r="F23" s="133"/>
      <c r="G23" s="133"/>
      <c r="H23" s="133"/>
      <c r="I23" s="133"/>
    </row>
    <row r="24" spans="1:36" ht="14.25">
      <c r="A24" s="3458" t="s">
        <v>1984</v>
      </c>
      <c r="B24" s="1945" t="s">
        <v>1976</v>
      </c>
      <c r="C24" s="140">
        <f>IF(B30=0,0,D30)</f>
        <v>0</v>
      </c>
      <c r="D24" s="1952"/>
      <c r="E24" s="133"/>
      <c r="F24" s="133"/>
      <c r="G24" s="133"/>
      <c r="H24" s="133"/>
      <c r="I24" s="133"/>
    </row>
    <row r="25" spans="1:36" ht="14.25">
      <c r="A25" s="3459"/>
      <c r="B25" s="1156" t="s">
        <v>1980</v>
      </c>
      <c r="C25" s="145">
        <f>IF(B30=0,0,C30)</f>
        <v>0</v>
      </c>
      <c r="D25" s="1953"/>
      <c r="E25" s="133"/>
      <c r="F25" s="133"/>
      <c r="G25" s="133"/>
      <c r="H25" s="133"/>
      <c r="I25" s="133"/>
    </row>
    <row r="26" spans="1:36" ht="13.5" customHeight="1">
      <c r="A26" s="1954" t="s">
        <v>1985</v>
      </c>
      <c r="B26" s="146" t="s">
        <v>1986</v>
      </c>
      <c r="C26" s="146" t="s">
        <v>1987</v>
      </c>
      <c r="D26" s="147" t="s">
        <v>1988</v>
      </c>
      <c r="E26" s="133"/>
      <c r="F26" s="133"/>
      <c r="G26" s="133"/>
      <c r="H26" s="133"/>
      <c r="I26" s="133"/>
    </row>
    <row r="27" spans="1:36" ht="14.25">
      <c r="A27" s="1954"/>
      <c r="B27" s="146">
        <v>0</v>
      </c>
      <c r="C27" s="146">
        <v>0</v>
      </c>
      <c r="D27" s="147">
        <f>ROUND(C27*B27/10000,0)</f>
        <v>0</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1989</v>
      </c>
      <c r="B30" s="146"/>
      <c r="C30" s="146"/>
      <c r="D30" s="146"/>
      <c r="E30" s="2518" t="s">
        <v>2874</v>
      </c>
      <c r="F30" s="133"/>
      <c r="G30" s="133"/>
      <c r="H30" s="133"/>
      <c r="I30" s="133"/>
    </row>
    <row r="31" spans="1:36" s="2524" customFormat="1" ht="26.45" customHeight="1" thickTop="1" thickBot="1">
      <c r="A31" s="2519"/>
      <c r="B31" s="2520"/>
      <c r="C31" s="2520"/>
      <c r="D31" s="2520"/>
      <c r="E31" s="2520"/>
      <c r="F31" s="2520"/>
      <c r="G31" s="2520"/>
      <c r="H31" s="2520"/>
      <c r="I31" s="2521" t="s">
        <v>2875</v>
      </c>
      <c r="J31" s="291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1990</v>
      </c>
      <c r="B32" s="1957"/>
      <c r="C32" s="148">
        <f ca="1">IF(D32="总价",G19-C24,G20-C25)</f>
        <v>33014</v>
      </c>
      <c r="D32" s="1958" t="s">
        <v>4210</v>
      </c>
      <c r="E32" s="133"/>
      <c r="F32" s="133"/>
      <c r="G32" s="133"/>
      <c r="H32" s="133"/>
      <c r="I32" s="133"/>
    </row>
    <row r="33" spans="1:15" ht="15">
      <c r="A33" s="893" t="s">
        <v>1991</v>
      </c>
      <c r="B33" s="1959"/>
      <c r="C33" s="1960" t="s">
        <v>4209</v>
      </c>
      <c r="D33" s="1961" t="s">
        <v>4377</v>
      </c>
      <c r="E33" s="1962" t="s">
        <v>1992</v>
      </c>
      <c r="F33" s="1963" t="str">
        <f>IF(D32="楼面单价","取值（单价）","取值（总价）")</f>
        <v>取值（总价）</v>
      </c>
      <c r="G33" s="133"/>
      <c r="H33" s="133"/>
      <c r="I33" s="133"/>
    </row>
    <row r="34" spans="1:15" ht="15">
      <c r="A34" s="1964"/>
      <c r="B34" s="1965" t="s">
        <v>1993</v>
      </c>
      <c r="C34" s="152">
        <f ca="1">IF(C33="自定义",F34,C32-C35)</f>
        <v>12215</v>
      </c>
      <c r="D34" s="969">
        <f ca="1">IF(C33="自定义",ROUND(C34/C32,3),IF(C33="收益比率",SUMIF(INDIRECT("'"&amp;D33&amp;"'"&amp;"!b:b"),"土地收益比率",INDIRECT("'"&amp;D33&amp;"'"&amp;"!c:c")),SUMIF(INDIRECT("'"&amp;D33&amp;"'"&amp;"!b:b"),"土地成本比率",INDIRECT("'"&amp;D33&amp;"'"&amp;"!c:c"))))</f>
        <v>0.37</v>
      </c>
      <c r="E34" s="1966" t="s">
        <v>1994</v>
      </c>
      <c r="F34" s="1496"/>
      <c r="G34" s="133"/>
      <c r="H34" s="133"/>
      <c r="I34" s="133"/>
    </row>
    <row r="35" spans="1:15" ht="15.75" thickBot="1">
      <c r="A35" s="1967"/>
      <c r="B35" s="1968" t="s">
        <v>1995</v>
      </c>
      <c r="C35" s="1331">
        <f ca="1">IF(C33="自定义",F35,ROUND(C32*D35,0))</f>
        <v>20799</v>
      </c>
      <c r="D35" s="1332">
        <f ca="1">IF(C33="自定义",ROUND(C35/C32,3),IF(C33="收益比率",SUMIF(INDIRECT("'"&amp;D33&amp;"'"&amp;"!b:b"),"建筑物收益比率",INDIRECT("'"&amp;D33&amp;"'"&amp;"!c:c")),SUMIF(INDIRECT("'"&amp;D33&amp;"'"&amp;"!b:b"),"建筑物成本比率",INDIRECT("'"&amp;D33&amp;"'"&amp;"!c:c"))))</f>
        <v>0.63</v>
      </c>
      <c r="E35" s="1969" t="s">
        <v>1996</v>
      </c>
      <c r="F35" s="158"/>
      <c r="G35" s="133"/>
      <c r="H35" s="133"/>
      <c r="I35" s="133"/>
    </row>
    <row r="36" spans="1:15" ht="15.75" thickBot="1">
      <c r="A36" s="3435" t="s">
        <v>1997</v>
      </c>
      <c r="B36" s="1970" t="s">
        <v>1998</v>
      </c>
      <c r="C36" s="149"/>
      <c r="D36" s="1971"/>
      <c r="E36" s="1972"/>
      <c r="F36" s="1973"/>
      <c r="G36" s="133"/>
      <c r="H36" s="133"/>
      <c r="I36" s="133"/>
    </row>
    <row r="37" spans="1:15" ht="15.75" thickBot="1">
      <c r="A37" s="3436"/>
      <c r="B37" s="1857" t="s">
        <v>1999</v>
      </c>
      <c r="C37" s="151"/>
      <c r="D37" s="1300"/>
      <c r="E37" s="1300"/>
      <c r="F37" s="1973"/>
      <c r="G37" s="133"/>
      <c r="H37" s="133"/>
      <c r="I37" s="133"/>
    </row>
    <row r="38" spans="1:15" ht="15.75" thickBot="1">
      <c r="A38" s="3437"/>
      <c r="B38" s="1974" t="s">
        <v>2000</v>
      </c>
      <c r="C38" s="682"/>
      <c r="D38" s="1975" t="s">
        <v>2001</v>
      </c>
      <c r="E38" s="1300"/>
      <c r="F38" s="1973"/>
      <c r="G38" s="133"/>
      <c r="H38" s="133"/>
      <c r="I38" s="133"/>
    </row>
    <row r="39" spans="1:15" ht="15">
      <c r="A39" s="1947" t="s">
        <v>2002</v>
      </c>
      <c r="B39" s="1976" t="s">
        <v>1986</v>
      </c>
      <c r="C39" s="1977" t="s">
        <v>1987</v>
      </c>
      <c r="D39" s="1977" t="s">
        <v>2005</v>
      </c>
      <c r="E39" s="1978" t="s">
        <v>1988</v>
      </c>
      <c r="F39" s="1973"/>
      <c r="G39" s="133"/>
      <c r="H39" s="133"/>
      <c r="I39" s="133"/>
    </row>
    <row r="40" spans="1:15" ht="14.25">
      <c r="A40" s="1979" t="s">
        <v>2007</v>
      </c>
      <c r="B40" s="153"/>
      <c r="C40" s="154"/>
      <c r="D40" s="154"/>
      <c r="E40" s="155"/>
      <c r="F40" s="1973"/>
      <c r="G40" s="133"/>
      <c r="H40" s="133"/>
      <c r="I40" s="133"/>
    </row>
    <row r="41" spans="1:15" ht="14.25">
      <c r="A41" s="1979" t="s">
        <v>2008</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455" t="s">
        <v>2011</v>
      </c>
      <c r="B45" s="3456"/>
      <c r="C45" s="3457"/>
      <c r="D45" s="159">
        <f ca="1">ROUND(H101*F45,0)</f>
        <v>33014</v>
      </c>
      <c r="E45" s="160" t="s">
        <v>2012</v>
      </c>
      <c r="F45" s="161">
        <v>1</v>
      </c>
      <c r="G45" s="162" t="s">
        <v>2013</v>
      </c>
      <c r="H45" s="133"/>
      <c r="I45" s="133"/>
      <c r="J45" s="3372" t="s">
        <v>2014</v>
      </c>
      <c r="K45" s="3372"/>
      <c r="L45" s="3372"/>
      <c r="M45" s="3372"/>
      <c r="N45" s="3372"/>
      <c r="O45" s="3372"/>
    </row>
    <row r="46" spans="1:15" ht="14.25" customHeight="1">
      <c r="A46" s="3452" t="s">
        <v>2015</v>
      </c>
      <c r="B46" s="3453"/>
      <c r="C46" s="3453"/>
      <c r="D46" s="3453"/>
      <c r="E46" s="3453"/>
      <c r="F46" s="3453"/>
      <c r="G46" s="3454"/>
      <c r="H46" s="1989"/>
      <c r="I46" s="163"/>
      <c r="J46" s="3059">
        <v>1</v>
      </c>
      <c r="K46" s="3373" t="s">
        <v>2016</v>
      </c>
      <c r="L46" s="3373"/>
      <c r="M46" s="3374"/>
      <c r="N46" s="3374"/>
      <c r="O46" s="3374"/>
    </row>
    <row r="47" spans="1:15" ht="12" customHeight="1">
      <c r="A47" s="164" t="s">
        <v>2017</v>
      </c>
      <c r="B47" s="165"/>
      <c r="C47" s="166"/>
      <c r="D47" s="1246" t="s">
        <v>2018</v>
      </c>
      <c r="E47" s="307" t="s">
        <v>2019</v>
      </c>
      <c r="F47" s="167" t="s">
        <v>2020</v>
      </c>
      <c r="G47" s="2766" t="s">
        <v>2021</v>
      </c>
      <c r="H47" s="2767"/>
      <c r="I47" s="163"/>
      <c r="J47" s="3059">
        <v>2</v>
      </c>
      <c r="K47" s="3373" t="s">
        <v>2022</v>
      </c>
      <c r="L47" s="3373"/>
      <c r="M47" s="3375">
        <f>'数据-取费表'!B2</f>
        <v>44495</v>
      </c>
      <c r="N47" s="3375"/>
      <c r="O47" s="3375"/>
    </row>
    <row r="48" spans="1:15" ht="25.5">
      <c r="A48" s="3438" t="s">
        <v>2023</v>
      </c>
      <c r="B48" s="3439"/>
      <c r="C48" s="3439"/>
      <c r="D48" s="3056" t="b">
        <f>IF(H48="情况1",0,IF(H48="情况2",D52,IF(H48="情况3",D53,IF(H48="情况4",D54))))</f>
        <v>0</v>
      </c>
      <c r="E48" s="3069" t="str">
        <f>IF(H48="情况4","(销售额-原购置价)×税（费）率","销售额×税（费）率")</f>
        <v>销售额×税（费）率</v>
      </c>
      <c r="F48" s="2768">
        <f>IF(H48="情况1","免征",'数据-取费表'!B41)</f>
        <v>5.5000000000000007E-2</v>
      </c>
      <c r="G48" s="2769" t="s">
        <v>2024</v>
      </c>
      <c r="H48" s="2770"/>
      <c r="I48" s="1989"/>
      <c r="J48" s="3059">
        <v>3</v>
      </c>
      <c r="K48" s="3373" t="s">
        <v>2025</v>
      </c>
      <c r="L48" s="3373"/>
      <c r="M48" s="3376">
        <f ca="1">H101</f>
        <v>33014</v>
      </c>
      <c r="N48" s="3376"/>
      <c r="O48" s="3376"/>
    </row>
    <row r="49" spans="1:35" ht="25.5" customHeight="1">
      <c r="A49" s="3068" t="s">
        <v>2026</v>
      </c>
      <c r="B49" s="3421" t="s">
        <v>2027</v>
      </c>
      <c r="C49" s="3421"/>
      <c r="D49" s="1773">
        <v>0</v>
      </c>
      <c r="E49" s="329" t="s">
        <v>2028</v>
      </c>
      <c r="F49" s="3054" t="s">
        <v>34</v>
      </c>
      <c r="G49" s="3404"/>
      <c r="H49" s="2525" t="s">
        <v>2876</v>
      </c>
      <c r="I49" s="2526"/>
      <c r="J49" s="3059">
        <v>4</v>
      </c>
      <c r="K49" s="3373" t="str">
        <f>IF(项目基本情况!E8="房地产抵押价值","房地产抵押价值","抵押担保权已注销时的房地产抵押价值")</f>
        <v>房地产抵押价值</v>
      </c>
      <c r="L49" s="3373"/>
      <c r="M49" s="3376">
        <f ca="1">IF(项目基本情况!E8="房地产抵押价值",H107,H109)</f>
        <v>33014</v>
      </c>
      <c r="N49" s="3376"/>
      <c r="O49" s="3376"/>
    </row>
    <row r="50" spans="1:35" ht="25.5" customHeight="1">
      <c r="A50" s="2771"/>
      <c r="B50" s="3421" t="s">
        <v>2029</v>
      </c>
      <c r="C50" s="3421"/>
      <c r="D50" s="2772"/>
      <c r="E50" s="337"/>
      <c r="F50" s="3054"/>
      <c r="G50" s="3405"/>
      <c r="H50" s="2527" t="s">
        <v>2877</v>
      </c>
      <c r="I50" s="2526"/>
      <c r="J50" s="3372" t="s">
        <v>2030</v>
      </c>
      <c r="K50" s="3372"/>
      <c r="L50" s="3372"/>
      <c r="M50" s="3372"/>
      <c r="N50" s="3372"/>
      <c r="O50" s="3372"/>
    </row>
    <row r="51" spans="1:35" ht="20.45" customHeight="1">
      <c r="A51" s="2773"/>
      <c r="B51" s="3421" t="s">
        <v>2031</v>
      </c>
      <c r="C51" s="3421"/>
      <c r="D51" s="1246"/>
      <c r="E51" s="332"/>
      <c r="F51" s="3054"/>
      <c r="G51" s="3406"/>
      <c r="H51" s="2527" t="s">
        <v>2878</v>
      </c>
      <c r="I51" s="2526"/>
      <c r="J51" s="3055" t="s">
        <v>2032</v>
      </c>
      <c r="K51" s="3373" t="s">
        <v>2033</v>
      </c>
      <c r="L51" s="3373"/>
      <c r="M51" s="3055" t="s">
        <v>2034</v>
      </c>
      <c r="N51" s="3055" t="s">
        <v>2035</v>
      </c>
      <c r="O51" s="3055" t="s">
        <v>2036</v>
      </c>
    </row>
    <row r="52" spans="1:35" ht="24" customHeight="1">
      <c r="A52" s="3070" t="s">
        <v>2037</v>
      </c>
      <c r="B52" s="3421" t="s">
        <v>2038</v>
      </c>
      <c r="C52" s="3421"/>
      <c r="D52" s="1246">
        <f ca="1">ROUND(D45*'数据-取费表'!B41/(1+'数据-取费表'!C42),0)</f>
        <v>1729</v>
      </c>
      <c r="E52" s="3069" t="s">
        <v>2039</v>
      </c>
      <c r="F52" s="2774">
        <f>'数据-取费表'!B41</f>
        <v>5.5000000000000007E-2</v>
      </c>
      <c r="G52" s="2775"/>
      <c r="H52" s="2764"/>
      <c r="I52" s="1990"/>
      <c r="J52" s="3059">
        <v>1</v>
      </c>
      <c r="K52" s="3398" t="s">
        <v>2040</v>
      </c>
      <c r="L52" s="3398"/>
      <c r="M52" s="2745" t="b">
        <f>D48</f>
        <v>0</v>
      </c>
      <c r="N52" s="3059" t="str">
        <f>E48</f>
        <v>销售额×税（费）率</v>
      </c>
      <c r="O52" s="2746">
        <f>F48</f>
        <v>5.5000000000000007E-2</v>
      </c>
    </row>
    <row r="53" spans="1:35" ht="12" customHeight="1">
      <c r="A53" s="3070" t="s">
        <v>2041</v>
      </c>
      <c r="B53" s="3422" t="s">
        <v>3031</v>
      </c>
      <c r="C53" s="3423"/>
      <c r="D53" s="1246">
        <f ca="1">ROUND(D45*'数据-取费表'!B41/(1+'数据-取费表'!C42),0)</f>
        <v>1729</v>
      </c>
      <c r="E53" s="3069" t="s">
        <v>2039</v>
      </c>
      <c r="F53" s="2774">
        <f>'数据-取费表'!B41</f>
        <v>5.5000000000000007E-2</v>
      </c>
      <c r="G53" s="2775"/>
      <c r="H53" s="2764"/>
      <c r="I53" s="1990"/>
      <c r="J53" s="3059">
        <v>2</v>
      </c>
      <c r="K53" s="3398" t="s">
        <v>2042</v>
      </c>
      <c r="L53" s="3398"/>
      <c r="M53" s="2745">
        <f t="shared" ref="M53:O54" ca="1" si="0">D55</f>
        <v>17</v>
      </c>
      <c r="N53" s="3059" t="str">
        <f t="shared" si="0"/>
        <v>销售额×税（费）率</v>
      </c>
      <c r="O53" s="2746" t="str">
        <f t="shared" si="0"/>
        <v>免征</v>
      </c>
    </row>
    <row r="54" spans="1:35" ht="12" customHeight="1">
      <c r="A54" s="3070" t="s">
        <v>2043</v>
      </c>
      <c r="B54" s="3422" t="s">
        <v>3032</v>
      </c>
      <c r="C54" s="3423"/>
      <c r="D54" s="1246">
        <f ca="1">C68</f>
        <v>1729</v>
      </c>
      <c r="E54" s="332" t="s">
        <v>2044</v>
      </c>
      <c r="F54" s="2774">
        <f>'数据-取费表'!B41</f>
        <v>5.5000000000000007E-2</v>
      </c>
      <c r="G54" s="2775"/>
      <c r="H54" s="2776"/>
      <c r="I54" s="1990"/>
      <c r="J54" s="3059">
        <v>3</v>
      </c>
      <c r="K54" s="3398" t="s">
        <v>2045</v>
      </c>
      <c r="L54" s="3398"/>
      <c r="M54" s="2745">
        <f t="shared" ca="1" si="0"/>
        <v>18716</v>
      </c>
      <c r="N54" s="3059" t="str">
        <f t="shared" si="0"/>
        <v>增值额×税（费）率</v>
      </c>
      <c r="O54" s="2747" t="str">
        <f t="shared" si="0"/>
        <v>免征</v>
      </c>
    </row>
    <row r="55" spans="1:35" ht="24" customHeight="1">
      <c r="A55" s="3461" t="s">
        <v>2046</v>
      </c>
      <c r="B55" s="3439"/>
      <c r="C55" s="3439"/>
      <c r="D55" s="3056">
        <f ca="1">IF(H55="个人住宅",0,ROUND(D45*I55,0))</f>
        <v>17</v>
      </c>
      <c r="E55" s="3069" t="s">
        <v>2047</v>
      </c>
      <c r="F55" s="2774" t="str">
        <f>IF(H55="正常",I55,"免征")</f>
        <v>免征</v>
      </c>
      <c r="G55" s="2775"/>
      <c r="H55" s="2770"/>
      <c r="I55" s="169">
        <f>'数据-取费表'!B49</f>
        <v>5.0000000000000001E-4</v>
      </c>
      <c r="J55" s="3059">
        <f>IF(H59="非个人房产","",4)</f>
        <v>4</v>
      </c>
      <c r="K55" s="3398" t="str">
        <f>IF(H59="非个人房产","——","个人所得税")</f>
        <v>个人所得税</v>
      </c>
      <c r="L55" s="3398"/>
      <c r="M55" s="2748">
        <f ca="1">D59</f>
        <v>314</v>
      </c>
      <c r="N55" s="3060" t="str">
        <f>E59</f>
        <v>差额计税</v>
      </c>
      <c r="O55" s="2749">
        <f>F59</f>
        <v>0.01</v>
      </c>
    </row>
    <row r="56" spans="1:35" ht="24.75">
      <c r="A56" s="3461" t="s">
        <v>2048</v>
      </c>
      <c r="B56" s="3439"/>
      <c r="C56" s="3439"/>
      <c r="D56" s="3056">
        <f ca="1">IF(H56="个人住宅",D57,D58)</f>
        <v>18716</v>
      </c>
      <c r="E56" s="3069" t="s">
        <v>2049</v>
      </c>
      <c r="F56" s="2774" t="str">
        <f>IF(H56="正常",F58,"免征")</f>
        <v>免征</v>
      </c>
      <c r="G56" s="2777" t="s">
        <v>2050</v>
      </c>
      <c r="H56" s="2778"/>
      <c r="I56" s="1991"/>
      <c r="J56" s="3059" t="str">
        <f>IF(项目基本情况!K6="上海银行",IF(J55="",4,J55+1),"")</f>
        <v/>
      </c>
      <c r="K56" s="3379" t="str">
        <f>IF(项目基本情况!K6="上海银行","其他处置费用","")</f>
        <v/>
      </c>
      <c r="L56" s="3380"/>
      <c r="M56" s="2745" t="str">
        <f>IF(项目基本情况!K6="上海银行",M69,"")</f>
        <v/>
      </c>
      <c r="N56" s="3379" t="str">
        <f>IF(项目基本情况!K6="上海银行","包含处置中涉及的律师、诉讼、拍卖、评估等费用","")</f>
        <v/>
      </c>
      <c r="O56" s="3382"/>
    </row>
    <row r="57" spans="1:35" ht="12.75">
      <c r="A57" s="3070" t="s">
        <v>2026</v>
      </c>
      <c r="B57" s="3422" t="s">
        <v>2051</v>
      </c>
      <c r="C57" s="3423"/>
      <c r="D57" s="1773">
        <v>0</v>
      </c>
      <c r="E57" s="329" t="s">
        <v>2028</v>
      </c>
      <c r="F57" s="307"/>
      <c r="G57" s="2775"/>
      <c r="H57" s="2779"/>
      <c r="I57" s="1991"/>
      <c r="J57" s="3398">
        <f>IF(AND(J55="",J56=""),4,IF(项目基本情况!K6="上海银行",'结果表 (地下仓储)'!J56+1,'结果表 (地下仓储)'!J55+1))</f>
        <v>5</v>
      </c>
      <c r="K57" s="3398" t="s">
        <v>2052</v>
      </c>
      <c r="L57" s="2750" t="s">
        <v>2053</v>
      </c>
      <c r="M57" s="2751"/>
      <c r="N57" s="2752">
        <f ca="1">SUMIF(M52:M56,"&lt;9e307")</f>
        <v>19047</v>
      </c>
      <c r="O57" s="2753"/>
      <c r="P57" s="2912">
        <f ca="1">N57/M49</f>
        <v>0.57693705700611864</v>
      </c>
    </row>
    <row r="58" spans="1:35" ht="24.75">
      <c r="A58" s="3070" t="s">
        <v>2037</v>
      </c>
      <c r="B58" s="3422" t="s">
        <v>2054</v>
      </c>
      <c r="C58" s="3421"/>
      <c r="D58" s="3056">
        <f ca="1">IF(H58="转让取得",C81,C97)</f>
        <v>18716</v>
      </c>
      <c r="E58" s="3069" t="s">
        <v>2049</v>
      </c>
      <c r="F58" s="307" t="s">
        <v>34</v>
      </c>
      <c r="G58" s="2775"/>
      <c r="H58" s="2778"/>
      <c r="I58" s="1991"/>
      <c r="J58" s="3398"/>
      <c r="K58" s="3398"/>
      <c r="L58" s="2750" t="s">
        <v>2055</v>
      </c>
      <c r="M58" s="2754"/>
      <c r="N58" s="2755" t="str">
        <f ca="1">NUMBERSTRING(INT(N57*10000),2)&amp;"元整"</f>
        <v>壹亿玖仟零肆拾柒万元整</v>
      </c>
      <c r="O58" s="2756"/>
    </row>
    <row r="59" spans="1:35" ht="24.75" thickBot="1">
      <c r="A59" s="3402" t="s">
        <v>2056</v>
      </c>
      <c r="B59" s="3403"/>
      <c r="C59" s="3403"/>
      <c r="D59" s="2780">
        <f ca="1">IF(H59="非个人房产","——",IF(H59="个人住宅（满五唯一有凭证）",0,IF(H59="个人其他（无凭证）",ROUND(D45*F59,0),ROUND(C67*F59,0))))</f>
        <v>314</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9"/>
      <c r="I59" s="2528" t="s">
        <v>2879</v>
      </c>
      <c r="J59" s="3400">
        <f>J57+1</f>
        <v>6</v>
      </c>
      <c r="K59" s="3398" t="s">
        <v>2057</v>
      </c>
      <c r="L59" s="3059" t="s">
        <v>2053</v>
      </c>
      <c r="M59" s="2757"/>
      <c r="N59" s="2758">
        <f ca="1">M49-N57</f>
        <v>13967</v>
      </c>
      <c r="O59" s="2759"/>
    </row>
    <row r="60" spans="1:35" ht="12" customHeight="1">
      <c r="A60" s="1992"/>
      <c r="B60" s="1930"/>
      <c r="C60" s="1930"/>
      <c r="D60" s="1930"/>
      <c r="E60" s="1761"/>
      <c r="F60" s="1991"/>
      <c r="G60" s="1991"/>
      <c r="H60" s="1993"/>
      <c r="I60" s="133"/>
      <c r="J60" s="3401"/>
      <c r="K60" s="3398"/>
      <c r="L60" s="2750" t="s">
        <v>2055</v>
      </c>
      <c r="M60" s="2754"/>
      <c r="N60" s="2755" t="str">
        <f ca="1">NUMBERSTRING(INT(N59*10000),2)&amp;"元整"</f>
        <v>壹亿叁仟玖佰陆拾柒万元整</v>
      </c>
      <c r="O60" s="2756"/>
    </row>
    <row r="61" spans="1:35" ht="13.5" thickBot="1">
      <c r="A61" s="3460" t="s">
        <v>2058</v>
      </c>
      <c r="B61" s="3460"/>
      <c r="C61" s="3460"/>
      <c r="D61" s="3460"/>
      <c r="E61" s="3460"/>
      <c r="F61" s="1991"/>
      <c r="G61" s="1991"/>
      <c r="H61" s="1993"/>
      <c r="I61" s="133"/>
      <c r="J61" s="3059">
        <f>J59+1</f>
        <v>7</v>
      </c>
      <c r="K61" s="3398" t="s">
        <v>2059</v>
      </c>
      <c r="L61" s="3398"/>
      <c r="M61" s="2760"/>
      <c r="N61" s="2761">
        <f ca="1">ROUND(N59*10000/'数据-汇总表'!E3,0)</f>
        <v>3016</v>
      </c>
      <c r="O61" s="2762"/>
    </row>
    <row r="62" spans="1:35" ht="12.75">
      <c r="A62" s="3417" t="s">
        <v>2060</v>
      </c>
      <c r="B62" s="3418"/>
      <c r="C62" s="3064"/>
      <c r="D62" s="3064" t="s">
        <v>2061</v>
      </c>
      <c r="E62" s="170" t="s">
        <v>2062</v>
      </c>
      <c r="F62" s="1991"/>
      <c r="G62" s="1991"/>
      <c r="H62" s="1993"/>
      <c r="I62" s="133"/>
    </row>
    <row r="63" spans="1:35" ht="12.75">
      <c r="A63" s="177" t="s">
        <v>775</v>
      </c>
      <c r="B63" s="171" t="s">
        <v>2063</v>
      </c>
      <c r="C63" s="2784">
        <f ca="1">ROUND((C64+C65)/(1+'数据-取费表'!C42),0)</f>
        <v>31442</v>
      </c>
      <c r="D63" s="171"/>
      <c r="E63" s="172"/>
      <c r="F63" s="1991"/>
      <c r="G63" s="1991"/>
      <c r="H63" s="1993"/>
      <c r="I63" s="133"/>
      <c r="J63" s="3381" t="s">
        <v>2064</v>
      </c>
      <c r="K63" s="3057" t="s">
        <v>2065</v>
      </c>
      <c r="L63" s="3057">
        <f ca="1">IF(M49&gt;10000,M49*0.5%,IF(AND(M49&gt;1000,M49&lt;=10000),M49*1%,IF(AND(M49&gt;100,M49&lt;=1000),M49*3%,IF(AND(M49&gt;10,M49&lt;=100),M49*5%,M49*8%))))</f>
        <v>165.07</v>
      </c>
      <c r="M63" s="307">
        <f ca="1">ROUND(L63,1)</f>
        <v>165.1</v>
      </c>
      <c r="N63" s="2763"/>
      <c r="Z63" s="1935"/>
      <c r="AI63" s="1936"/>
    </row>
    <row r="64" spans="1:35" ht="14.25" customHeight="1">
      <c r="A64" s="173" t="s">
        <v>770</v>
      </c>
      <c r="B64" s="174" t="s">
        <v>2066</v>
      </c>
      <c r="C64" s="2785">
        <f ca="1">D45</f>
        <v>33014</v>
      </c>
      <c r="D64" s="174" t="s">
        <v>32</v>
      </c>
      <c r="E64" s="176"/>
      <c r="F64" s="1991"/>
      <c r="G64" s="1991"/>
      <c r="H64" s="1993"/>
      <c r="I64" s="133"/>
      <c r="J64" s="3381"/>
      <c r="K64" s="3057" t="s">
        <v>2067</v>
      </c>
      <c r="L64" s="3057">
        <f ca="1">IF(M49&gt;2000,M49*0.5%,IF(AND(M49&gt;1000,M49&lt;=2000),M49*0.6%,IF(AND(M49&gt;500,M49&lt;=1000),M49*0.7%,IF(AND(M49&gt;200,M49&lt;=500),M49*0.8%,IF(AND(M49&gt;100,M49&lt;=200),M49*0.9%,IF(AND(M49&gt;50,M49&lt;=100),M49*1%,IF(AND(M49&gt;20,M49&lt;=50),M49*1.5%,IF(AND(M49&gt;10,M49&lt;=20),M49*2%,IF(AND(M49&gt;1,M49&lt;=10),M49*2.5%)))))))))</f>
        <v>165.07</v>
      </c>
      <c r="M64" s="307">
        <f t="shared" ref="M64:M65" ca="1" si="1">ROUND(L64,1)</f>
        <v>165.1</v>
      </c>
      <c r="N64" s="2764" t="s">
        <v>2068</v>
      </c>
      <c r="Z64" s="1935"/>
      <c r="AI64" s="1936"/>
    </row>
    <row r="65" spans="1:35" ht="14.25" customHeight="1">
      <c r="A65" s="173" t="s">
        <v>771</v>
      </c>
      <c r="B65" s="174" t="s">
        <v>2069</v>
      </c>
      <c r="C65" s="2786"/>
      <c r="D65" s="174"/>
      <c r="E65" s="176"/>
      <c r="F65" s="1991"/>
      <c r="G65" s="1991"/>
      <c r="H65" s="1993"/>
      <c r="I65" s="133"/>
      <c r="J65" s="3381"/>
      <c r="K65" s="3057" t="s">
        <v>2070</v>
      </c>
      <c r="L65" s="3057">
        <f ca="1">IF(M49&gt;1000,M49*0.1%,IF(AND(M49&gt;500,M49&lt;=1000),M49*0.5%,IF(AND(M49&gt;50,M49&lt;=500),M49*1%,IF(AND(M49&gt;1,M49&lt;=50),M49*1.5%))))</f>
        <v>33.014000000000003</v>
      </c>
      <c r="M65" s="307">
        <f t="shared" ca="1" si="1"/>
        <v>33</v>
      </c>
      <c r="N65" s="2764" t="s">
        <v>2068</v>
      </c>
      <c r="Z65" s="1935"/>
      <c r="AI65" s="1936"/>
    </row>
    <row r="66" spans="1:35" ht="14.25" customHeight="1">
      <c r="A66" s="177" t="s">
        <v>772</v>
      </c>
      <c r="B66" s="178" t="s">
        <v>2071</v>
      </c>
      <c r="C66" s="2787"/>
      <c r="D66" s="178" t="s">
        <v>32</v>
      </c>
      <c r="E66" s="1507" t="s">
        <v>1337</v>
      </c>
      <c r="F66" s="1991"/>
      <c r="G66" s="1991"/>
      <c r="H66" s="1993"/>
      <c r="I66" s="133"/>
      <c r="J66" s="3381"/>
      <c r="K66" s="3057" t="s">
        <v>2072</v>
      </c>
      <c r="L66" s="3057">
        <f ca="1">M49*0.5%</f>
        <v>165.07</v>
      </c>
      <c r="M66" s="307">
        <f ca="1">IF(L66&gt;0.5,0.5,ROUND(L66,0))</f>
        <v>0.5</v>
      </c>
      <c r="N66" s="2764" t="s">
        <v>2073</v>
      </c>
      <c r="Z66" s="1935"/>
      <c r="AI66" s="1936"/>
    </row>
    <row r="67" spans="1:35" ht="14.25" customHeight="1">
      <c r="A67" s="177" t="s">
        <v>773</v>
      </c>
      <c r="B67" s="178" t="s">
        <v>2074</v>
      </c>
      <c r="C67" s="2788">
        <f ca="1">C63-C66</f>
        <v>31442</v>
      </c>
      <c r="D67" s="174" t="s">
        <v>32</v>
      </c>
      <c r="E67" s="176"/>
      <c r="F67" s="1991"/>
      <c r="G67" s="1991"/>
      <c r="H67" s="1993"/>
      <c r="I67" s="133"/>
      <c r="J67" s="3381"/>
      <c r="K67" s="3057" t="s">
        <v>2075</v>
      </c>
      <c r="L67" s="3057">
        <f ca="1">IF(M49&gt;=10000,(8.25+(M49-10000)*0.01%),IF(AND(M49&gt;=8000,M49&lt;10000),(7.85+(M49-8000)*0.02%),IF(AND(M49&gt;=5000,M49&lt;8000),(6.65+(M49-5000)*0.04%),IF(AND(M49&gt;=2000,M49&lt;5000),(4.25+(PM49-2000)*0.08%),IF(AND(M49&gt;=1000,M49&lt;2000),(2.75+(M49-1000)*0.15%),IF(AND(M49&gt;=100,M49&lt;1000),(0.5+(M49-100)*0.25%),IF(AND(M49&gt;0,M49&lt;100),M49*0.5%)))))))</f>
        <v>10.551400000000001</v>
      </c>
      <c r="M67" s="307">
        <f ca="1">ROUND(L67*0.9,1)</f>
        <v>9.5</v>
      </c>
      <c r="N67" s="2763"/>
      <c r="Z67" s="1935"/>
      <c r="AI67" s="1936"/>
    </row>
    <row r="68" spans="1:35" ht="14.25" customHeight="1" thickBot="1">
      <c r="A68" s="180" t="s">
        <v>774</v>
      </c>
      <c r="B68" s="181" t="s">
        <v>2076</v>
      </c>
      <c r="C68" s="2789">
        <f ca="1">IF(C67&lt;=0,0,ROUND(C67*D68,0))</f>
        <v>1729</v>
      </c>
      <c r="D68" s="2790">
        <f>'数据-取费表'!B41</f>
        <v>5.5000000000000007E-2</v>
      </c>
      <c r="E68" s="183"/>
      <c r="F68" s="1991"/>
      <c r="G68" s="1991"/>
      <c r="H68" s="1993"/>
      <c r="I68" s="133"/>
      <c r="J68" s="3381"/>
      <c r="K68" s="3057" t="s">
        <v>2077</v>
      </c>
      <c r="L68" s="3057">
        <f ca="1">IF(M49&gt;10000,M49*0.5%,IF(AND(M49&gt;5000,M49&lt;=10000),M49*1%,IF(AND(M49&gt;1000,M49&lt;=5000),M49*2%,IF(AND(M49&gt;200,M49&lt;=1000),M49*3%,M49*5%))))</f>
        <v>165.07</v>
      </c>
      <c r="M68" s="307">
        <f ca="1">ROUND(L68,1)</f>
        <v>165.1</v>
      </c>
      <c r="N68" s="2763"/>
      <c r="Z68" s="1935"/>
      <c r="AI68" s="1936"/>
    </row>
    <row r="69" spans="1:35" s="1955" customFormat="1" ht="16.5" customHeight="1">
      <c r="A69" s="1994"/>
      <c r="B69" s="1995"/>
      <c r="C69" s="1996"/>
      <c r="D69" s="1997"/>
      <c r="E69" s="1998"/>
      <c r="F69" s="1761"/>
      <c r="G69" s="1761"/>
      <c r="H69" s="1760"/>
      <c r="I69" s="1930"/>
      <c r="J69" s="3381"/>
      <c r="K69" s="3057" t="s">
        <v>2078</v>
      </c>
      <c r="L69" s="3057"/>
      <c r="M69" s="307">
        <f ca="1">ROUND(SUM(M63:M68),0)</f>
        <v>538</v>
      </c>
      <c r="N69" s="2765">
        <f ca="1">M69/M49</f>
        <v>1.6296116798933787E-2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425" t="s">
        <v>2079</v>
      </c>
      <c r="B70" s="3426"/>
      <c r="C70" s="3426"/>
      <c r="D70" s="3426"/>
      <c r="E70" s="3426"/>
      <c r="F70" s="3426"/>
      <c r="G70" s="3426"/>
      <c r="H70" s="3426"/>
      <c r="I70" s="1999"/>
      <c r="J70" s="2913"/>
      <c r="K70" s="2913"/>
      <c r="L70" s="2913"/>
      <c r="M70" s="2913"/>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417" t="s">
        <v>2060</v>
      </c>
      <c r="B71" s="3418"/>
      <c r="C71" s="3064"/>
      <c r="D71" s="3064" t="s">
        <v>2061</v>
      </c>
      <c r="E71" s="184" t="s">
        <v>2062</v>
      </c>
      <c r="F71" s="185"/>
      <c r="G71" s="185"/>
      <c r="H71" s="186"/>
      <c r="I71" s="2003"/>
      <c r="J71" s="2913"/>
      <c r="K71" s="2913"/>
      <c r="L71" s="2913"/>
      <c r="M71" s="2913"/>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2080</v>
      </c>
      <c r="C72" s="2788">
        <f ca="1">ROUND(D45/(1+'数据-取费表'!C42),0)</f>
        <v>31442</v>
      </c>
      <c r="D72" s="174" t="s">
        <v>32</v>
      </c>
      <c r="E72" s="3066"/>
      <c r="F72" s="3065"/>
      <c r="G72" s="3065"/>
      <c r="H72" s="187"/>
      <c r="I72" s="2003"/>
      <c r="J72" s="2913"/>
      <c r="K72" s="2913"/>
      <c r="L72" s="2913"/>
      <c r="M72" s="2913"/>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2081</v>
      </c>
      <c r="C73" s="2788">
        <f ca="1">C74+C78</f>
        <v>157</v>
      </c>
      <c r="D73" s="174" t="s">
        <v>32</v>
      </c>
      <c r="E73" s="3066"/>
      <c r="F73" s="3065"/>
      <c r="G73" s="3065"/>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2082</v>
      </c>
      <c r="C74" s="174">
        <f>ROUND(IF(G77="2016年5月1日后购买",C75/(1+'数据-取费表'!C42)+C76+C77,C75+C76+C77),0)</f>
        <v>0</v>
      </c>
      <c r="D74" s="174" t="s">
        <v>32</v>
      </c>
      <c r="E74" s="3066"/>
      <c r="F74" s="3065"/>
      <c r="G74" s="3065"/>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2083</v>
      </c>
      <c r="C75" s="2791"/>
      <c r="D75" s="174" t="s">
        <v>32</v>
      </c>
      <c r="E75" s="189" t="s">
        <v>2084</v>
      </c>
      <c r="F75" s="2792"/>
      <c r="G75" s="189" t="s">
        <v>2085</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2086</v>
      </c>
      <c r="C76" s="174">
        <f>IF(F75="购房发票",ROUND(C75*H75*D76,0),0)</f>
        <v>0</v>
      </c>
      <c r="D76" s="2794">
        <v>0.05</v>
      </c>
      <c r="E76" s="3422" t="s">
        <v>2087</v>
      </c>
      <c r="F76" s="3421"/>
      <c r="G76" s="3421"/>
      <c r="H76" s="3424"/>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2088</v>
      </c>
      <c r="C77" s="174">
        <f>ROUND(IF(G77="个人住宅",0,IF(G77="2016年5月1日前购买",C75*D77,C75*D77/(1+'数据-取费表'!C42))),0)</f>
        <v>0</v>
      </c>
      <c r="D77" s="2795">
        <f>'数据-取费表'!B48+'数据-取费表'!B49</f>
        <v>3.0499999999999999E-2</v>
      </c>
      <c r="E77" s="3056" t="s">
        <v>2089</v>
      </c>
      <c r="F77" s="191"/>
      <c r="G77" s="2005"/>
      <c r="H77" s="3067"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2090</v>
      </c>
      <c r="C78" s="2796">
        <f ca="1">ROUND(D45*D78/(1+'数据-取费表'!C42),0)</f>
        <v>157</v>
      </c>
      <c r="D78" s="2797">
        <f>'数据-取费表'!B43</f>
        <v>5.000000000000001E-3</v>
      </c>
      <c r="E78" s="3414" t="s">
        <v>2091</v>
      </c>
      <c r="F78" s="3415"/>
      <c r="G78" s="3415"/>
      <c r="H78" s="3416"/>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773</v>
      </c>
      <c r="B79" s="178" t="s">
        <v>2092</v>
      </c>
      <c r="C79" s="2788">
        <f ca="1">C72-C73</f>
        <v>31285</v>
      </c>
      <c r="D79" s="174" t="s">
        <v>32</v>
      </c>
      <c r="E79" s="3066"/>
      <c r="F79" s="3065"/>
      <c r="G79" s="3065"/>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2093</v>
      </c>
      <c r="C80" s="2798">
        <f ca="1">IF(C79&lt;=0,0,C79/C73)</f>
        <v>199.26751592356689</v>
      </c>
      <c r="D80" s="174"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5"/>
      <c r="G80" s="3065"/>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2094</v>
      </c>
      <c r="C81" s="2799">
        <f ca="1">ROUND(IF(C79&lt;=0,0,IF(C80&gt;=200%,C79*60%-C73*35%,IF(C80&gt;=100%,C79*50%-C73*15%,IF(C80&gt;=50%,C79*40%-C73*5%,IF(C80&lt;50%,C79*30%,0))))),0)</f>
        <v>18716</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425" t="s">
        <v>2095</v>
      </c>
      <c r="B83" s="3426"/>
      <c r="C83" s="3426"/>
      <c r="D83" s="3426"/>
      <c r="E83" s="3426"/>
      <c r="F83" s="3426"/>
      <c r="G83" s="3426"/>
      <c r="H83" s="3426"/>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417" t="s">
        <v>2060</v>
      </c>
      <c r="B84" s="3418"/>
      <c r="C84" s="3064"/>
      <c r="D84" s="3064" t="s">
        <v>2061</v>
      </c>
      <c r="E84" s="184" t="s">
        <v>2062</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2080</v>
      </c>
      <c r="C85" s="2788">
        <f ca="1">ROUND(D45/(1+'数据-取费表'!C42),0)</f>
        <v>31442</v>
      </c>
      <c r="D85" s="174" t="s">
        <v>32</v>
      </c>
      <c r="E85" s="3066"/>
      <c r="F85" s="3065"/>
      <c r="G85" s="3065"/>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2081</v>
      </c>
      <c r="C86" s="2788">
        <f ca="1">IF(H88="仅含出让金",C87+C90+C91+C92+C93+C94,C87+C91+C92+C93+C94)</f>
        <v>157</v>
      </c>
      <c r="D86" s="2801"/>
      <c r="E86" s="3066"/>
      <c r="F86" s="3065"/>
      <c r="G86" s="3065"/>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2096</v>
      </c>
      <c r="C87" s="2796">
        <f>C88+C89</f>
        <v>0</v>
      </c>
      <c r="D87" s="2797"/>
      <c r="E87" s="3061"/>
      <c r="F87" s="3062"/>
      <c r="G87" s="3062"/>
      <c r="H87" s="3063"/>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2097</v>
      </c>
      <c r="C88" s="2802"/>
      <c r="D88" s="2797"/>
      <c r="E88" s="198" t="s">
        <v>2098</v>
      </c>
      <c r="F88" s="3062"/>
      <c r="G88" s="199" t="s">
        <v>2099</v>
      </c>
      <c r="H88" s="2007"/>
      <c r="I88" s="2004"/>
      <c r="J88" s="2741"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2088</v>
      </c>
      <c r="C89" s="2796">
        <f>ROUND(C88*D89,0)</f>
        <v>0</v>
      </c>
      <c r="D89" s="2797">
        <f>'数据-取费表'!B48+'数据-取费表'!B49</f>
        <v>3.0499999999999999E-2</v>
      </c>
      <c r="E89" s="198" t="s">
        <v>2100</v>
      </c>
      <c r="F89" s="3062"/>
      <c r="G89" s="3062"/>
      <c r="H89" s="3063"/>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2101</v>
      </c>
      <c r="C90" s="2802"/>
      <c r="D90" s="2797"/>
      <c r="E90" s="198" t="str">
        <f>IF(H88="-","土地取得成本中已包含该笔费用"," ")</f>
        <v xml:space="preserve"> </v>
      </c>
      <c r="F90" s="3062"/>
      <c r="G90" s="3383" t="s">
        <v>2871</v>
      </c>
      <c r="H90" s="3384"/>
      <c r="I90" s="2004"/>
      <c r="J90" s="2741"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2102</v>
      </c>
      <c r="B91" s="174" t="s">
        <v>2103</v>
      </c>
      <c r="C91" s="2796">
        <f>IF(H91="——",成本法!C33,I91)</f>
        <v>0</v>
      </c>
      <c r="D91" s="2797"/>
      <c r="E91" s="3414" t="s">
        <v>2104</v>
      </c>
      <c r="F91" s="3415"/>
      <c r="G91" s="3415"/>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2105</v>
      </c>
      <c r="B92" s="174" t="s">
        <v>2106</v>
      </c>
      <c r="C92" s="2796">
        <f>ROUND((C87+C90+C91)*D92,0)</f>
        <v>0</v>
      </c>
      <c r="D92" s="2803"/>
      <c r="E92" s="3414" t="s">
        <v>2107</v>
      </c>
      <c r="F92" s="3415"/>
      <c r="G92" s="3415"/>
      <c r="H92" s="3416"/>
      <c r="I92" s="2004"/>
      <c r="J92" s="2742"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2108</v>
      </c>
      <c r="B93" s="174" t="s">
        <v>2090</v>
      </c>
      <c r="C93" s="2796">
        <f ca="1">ROUND(D45*D93/(1+'数据-取费表'!C42),0)</f>
        <v>157</v>
      </c>
      <c r="D93" s="2797">
        <f>'数据-取费表'!B43</f>
        <v>5.000000000000001E-3</v>
      </c>
      <c r="E93" s="3414" t="s">
        <v>2091</v>
      </c>
      <c r="F93" s="3415"/>
      <c r="G93" s="3415"/>
      <c r="H93" s="3416"/>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2109</v>
      </c>
      <c r="B94" s="174" t="s">
        <v>2110</v>
      </c>
      <c r="C94" s="2802">
        <f>ROUND((C87+C90+C91)*D94,0)</f>
        <v>0</v>
      </c>
      <c r="D94" s="2797">
        <v>0.2</v>
      </c>
      <c r="E94" s="3462" t="s">
        <v>2111</v>
      </c>
      <c r="F94" s="3463"/>
      <c r="G94" s="3463"/>
      <c r="H94" s="3464"/>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773</v>
      </c>
      <c r="B95" s="178" t="s">
        <v>2092</v>
      </c>
      <c r="C95" s="2788">
        <f ca="1">ROUND(C85-C86,0)</f>
        <v>31285</v>
      </c>
      <c r="D95" s="174" t="s">
        <v>32</v>
      </c>
      <c r="E95" s="3066"/>
      <c r="F95" s="3065"/>
      <c r="G95" s="3065"/>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2093</v>
      </c>
      <c r="C96" s="2798">
        <f ca="1">IF(C95&lt;=0,0,C95/C86)</f>
        <v>199.26751592356689</v>
      </c>
      <c r="D96" s="174"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5"/>
      <c r="G96" s="3065"/>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2094</v>
      </c>
      <c r="C97" s="2799">
        <f ca="1">ROUND(IF(C95&lt;=0,0,IF(C96&gt;=200%,C95*60%-C86*35%,IF(C96&gt;=100%,C95*50%-C86*15%,IF(C96&gt;=50%,C95*40%-C86*5%,IF(C96&lt;50%,C95*30%,0))))),0)</f>
        <v>18716</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2112</v>
      </c>
      <c r="B99" s="1930"/>
      <c r="C99" s="1930"/>
      <c r="D99" s="1930"/>
      <c r="E99" s="1761"/>
      <c r="F99" s="1761"/>
      <c r="G99" s="1761"/>
      <c r="H99" s="1760"/>
      <c r="I99" s="133"/>
    </row>
    <row r="100" spans="1:35" ht="18.75" customHeight="1">
      <c r="A100" s="3323" t="s">
        <v>2113</v>
      </c>
      <c r="B100" s="3324"/>
      <c r="C100" s="3324"/>
      <c r="D100" s="3399"/>
      <c r="E100" s="3324" t="s">
        <v>2114</v>
      </c>
      <c r="F100" s="3324"/>
      <c r="G100" s="3324"/>
      <c r="H100" s="3399"/>
      <c r="I100" s="133"/>
    </row>
    <row r="101" spans="1:35" ht="18.75" customHeight="1">
      <c r="A101" s="3407" t="s">
        <v>2115</v>
      </c>
      <c r="B101" s="3408"/>
      <c r="C101" s="2805" t="str">
        <f>C4</f>
        <v>成本法 (地下仓储)</v>
      </c>
      <c r="D101" s="2806" t="str">
        <f>D4</f>
        <v>比较法-仓储</v>
      </c>
      <c r="E101" s="3377" t="s">
        <v>2116</v>
      </c>
      <c r="F101" s="3378"/>
      <c r="G101" s="2010" t="s">
        <v>2117</v>
      </c>
      <c r="H101" s="2815">
        <f ca="1">H118</f>
        <v>33014</v>
      </c>
      <c r="I101" s="133"/>
    </row>
    <row r="102" spans="1:35" ht="18.75" customHeight="1">
      <c r="A102" s="3409" t="s">
        <v>2118</v>
      </c>
      <c r="B102" s="2804" t="s">
        <v>2117</v>
      </c>
      <c r="C102" s="2805">
        <f ca="1">C19</f>
        <v>13775</v>
      </c>
      <c r="D102" s="2806">
        <f ca="1">D19</f>
        <v>52253</v>
      </c>
      <c r="E102" s="3377"/>
      <c r="F102" s="3378"/>
      <c r="G102" s="2010" t="s">
        <v>2119</v>
      </c>
      <c r="H102" s="2775" t="e">
        <f ca="1">I118</f>
        <v>#DIV/0!</v>
      </c>
      <c r="I102" s="133"/>
    </row>
    <row r="103" spans="1:35" ht="42.75" customHeight="1">
      <c r="A103" s="3409"/>
      <c r="B103" s="2804" t="s">
        <v>2119</v>
      </c>
      <c r="C103" s="2807">
        <f ca="1">C20</f>
        <v>6948</v>
      </c>
      <c r="D103" s="2808">
        <f ca="1">D20</f>
        <v>26355</v>
      </c>
      <c r="E103" s="3370" t="s">
        <v>2120</v>
      </c>
      <c r="F103" s="3371"/>
      <c r="G103" s="2011" t="s">
        <v>2121</v>
      </c>
      <c r="H103" s="2815">
        <f>IF(D36="正常操作",H104+H105+H106,H105+H106)</f>
        <v>0</v>
      </c>
      <c r="I103" s="133"/>
    </row>
    <row r="104" spans="1:35" ht="18.75" customHeight="1">
      <c r="A104" s="3409" t="s">
        <v>2122</v>
      </c>
      <c r="B104" s="2809" t="s">
        <v>2117</v>
      </c>
      <c r="C104" s="2810">
        <f ca="1">H118</f>
        <v>33014</v>
      </c>
      <c r="D104" s="2811"/>
      <c r="E104" s="1857" t="s">
        <v>2123</v>
      </c>
      <c r="F104" s="1849"/>
      <c r="G104" s="2011" t="s">
        <v>2121</v>
      </c>
      <c r="H104" s="2816">
        <f>IF(D36="同一抵押权人同一抵押物续贷",C36&amp;"（续贷，未扣减，详见特别提示）",C36)</f>
        <v>0</v>
      </c>
      <c r="I104" s="133"/>
    </row>
    <row r="105" spans="1:35" ht="18.75" customHeight="1" thickBot="1">
      <c r="A105" s="3419"/>
      <c r="B105" s="2812" t="s">
        <v>2119</v>
      </c>
      <c r="C105" s="2813" t="e">
        <f ca="1">I118</f>
        <v>#DIV/0!</v>
      </c>
      <c r="D105" s="2814"/>
      <c r="E105" s="1857" t="s">
        <v>2124</v>
      </c>
      <c r="F105" s="1849"/>
      <c r="G105" s="2011" t="s">
        <v>2121</v>
      </c>
      <c r="H105" s="2817">
        <f>C37</f>
        <v>0</v>
      </c>
      <c r="I105" s="133"/>
    </row>
    <row r="106" spans="1:35" ht="18.75" customHeight="1">
      <c r="A106" s="1930" t="s">
        <v>2125</v>
      </c>
      <c r="B106" s="1930"/>
      <c r="C106" s="1930"/>
      <c r="D106" s="1930"/>
      <c r="E106" s="2012" t="s">
        <v>2126</v>
      </c>
      <c r="F106" s="1849"/>
      <c r="G106" s="2011" t="s">
        <v>2121</v>
      </c>
      <c r="H106" s="2817">
        <f>C38</f>
        <v>0</v>
      </c>
      <c r="I106" s="133"/>
    </row>
    <row r="107" spans="1:35" ht="18.75" customHeight="1">
      <c r="A107" s="133"/>
      <c r="B107" s="133"/>
      <c r="C107" s="133"/>
      <c r="D107" s="133"/>
      <c r="E107" s="3410" t="str">
        <f>IF(项目基本情况!E8="已注销","——","3.房地产抵押价值")</f>
        <v>3.房地产抵押价值</v>
      </c>
      <c r="F107" s="3378"/>
      <c r="G107" s="2010" t="s">
        <v>2117</v>
      </c>
      <c r="H107" s="2815">
        <f ca="1">IF(E107="——","——",H101-H103)</f>
        <v>33014</v>
      </c>
      <c r="I107" s="133"/>
    </row>
    <row r="108" spans="1:35" ht="18.75" customHeight="1">
      <c r="A108" s="133"/>
      <c r="B108" s="133"/>
      <c r="C108" s="133"/>
      <c r="D108" s="133"/>
      <c r="E108" s="3410"/>
      <c r="F108" s="3378"/>
      <c r="G108" s="2010" t="s">
        <v>2119</v>
      </c>
      <c r="H108" s="2775">
        <f ca="1">ROUND(H107*10000/'数据-汇总表'!E3,0)</f>
        <v>7129</v>
      </c>
      <c r="I108" s="133"/>
    </row>
    <row r="109" spans="1:35" ht="18.75" customHeight="1">
      <c r="A109" s="133"/>
      <c r="B109" s="133"/>
      <c r="C109" s="133"/>
      <c r="D109" s="133"/>
      <c r="E109" s="3410" t="str">
        <f>IF(项目基本情况!E8="已注销及未注销","4.抵押担保权已注销时的房地产抵押价值",IF(项目基本情况!E8="已注销","3.抵押担保权已注销时的房地产抵押价值","——"))</f>
        <v>——</v>
      </c>
      <c r="F109" s="3378"/>
      <c r="G109" s="2010" t="s">
        <v>2117</v>
      </c>
      <c r="H109" s="2818" t="str">
        <f>IF(E109="——","——",H101-H105-H106)</f>
        <v>——</v>
      </c>
      <c r="I109" s="133"/>
    </row>
    <row r="110" spans="1:35" ht="18.75" customHeight="1">
      <c r="A110" s="133"/>
      <c r="B110" s="133"/>
      <c r="C110" s="133"/>
      <c r="D110" s="133"/>
      <c r="E110" s="3410"/>
      <c r="F110" s="3378"/>
      <c r="G110" s="2010" t="s">
        <v>2119</v>
      </c>
      <c r="H110" s="2775" t="str">
        <f>IF(H109="——","——",ROUND(H109*10000/'数据-汇总表'!E3,0))</f>
        <v>——</v>
      </c>
      <c r="I110" s="133"/>
    </row>
    <row r="111" spans="1:35" ht="18.75" customHeight="1">
      <c r="A111" s="133"/>
      <c r="B111" s="133"/>
      <c r="C111" s="133"/>
      <c r="D111" s="133"/>
      <c r="E111" s="3411" t="str">
        <f>IF(项目基本情况!E9="抵押净值",IF(OR(项目基本情况!E8="已注销",项目基本情况!E8="房地产抵押价值"),"4.抵押净值","5.抵押净值"),"——")</f>
        <v>——</v>
      </c>
      <c r="F111" s="3397"/>
      <c r="G111" s="2010" t="s">
        <v>2117</v>
      </c>
      <c r="H111" s="2815" t="str">
        <f>IF(E111="——","——",N59)</f>
        <v>——</v>
      </c>
      <c r="I111" s="133"/>
    </row>
    <row r="112" spans="1:35" ht="18.75" customHeight="1" thickBot="1">
      <c r="A112" s="133"/>
      <c r="B112" s="133"/>
      <c r="C112" s="133"/>
      <c r="D112" s="133"/>
      <c r="E112" s="3412"/>
      <c r="F112" s="3413"/>
      <c r="G112" s="2013" t="s">
        <v>2119</v>
      </c>
      <c r="H112" s="2819" t="str">
        <f>IF(E111="——","——",N61)</f>
        <v>——</v>
      </c>
      <c r="I112" s="133"/>
    </row>
    <row r="113" spans="1:27" ht="18.75" customHeight="1">
      <c r="A113" s="133"/>
      <c r="B113" s="133"/>
      <c r="C113" s="133"/>
      <c r="D113" s="133"/>
      <c r="E113" s="3420" t="s">
        <v>2125</v>
      </c>
      <c r="F113" s="3420"/>
      <c r="G113" s="3420"/>
      <c r="H113" s="3420"/>
      <c r="I113" s="133"/>
    </row>
    <row r="114" spans="1:27" ht="3.75" customHeight="1">
      <c r="A114" s="1930"/>
      <c r="B114" s="1930"/>
      <c r="C114" s="1930"/>
      <c r="D114" s="1930"/>
      <c r="E114" s="1992"/>
      <c r="F114" s="1992"/>
      <c r="G114" s="1992"/>
      <c r="H114" s="1992"/>
      <c r="I114" s="1930"/>
    </row>
    <row r="115" spans="1:27" ht="18.75" customHeight="1">
      <c r="A115" s="3431" t="s">
        <v>2127</v>
      </c>
      <c r="B115" s="3432"/>
      <c r="C115" s="3432"/>
      <c r="D115" s="3432"/>
      <c r="E115" s="3432"/>
      <c r="F115" s="3432"/>
      <c r="G115" s="3432"/>
      <c r="H115" s="3432"/>
      <c r="I115" s="3433"/>
    </row>
    <row r="116" spans="1:27" ht="27" customHeight="1">
      <c r="A116" s="3385" t="s">
        <v>2128</v>
      </c>
      <c r="B116" s="3389" t="s">
        <v>2129</v>
      </c>
      <c r="C116" s="3389" t="s">
        <v>2130</v>
      </c>
      <c r="D116" s="3395" t="s">
        <v>2131</v>
      </c>
      <c r="E116" s="3396"/>
      <c r="F116" s="3427" t="s">
        <v>2132</v>
      </c>
      <c r="G116" s="3427"/>
      <c r="H116" s="3385" t="s">
        <v>2133</v>
      </c>
      <c r="I116" s="3385"/>
    </row>
    <row r="117" spans="1:27" ht="18.75" customHeight="1">
      <c r="A117" s="3385"/>
      <c r="B117" s="3390"/>
      <c r="C117" s="3390"/>
      <c r="D117" s="3058" t="s">
        <v>2134</v>
      </c>
      <c r="E117" s="3058" t="s">
        <v>2135</v>
      </c>
      <c r="F117" s="3058" t="s">
        <v>2134</v>
      </c>
      <c r="G117" s="3058" t="s">
        <v>2136</v>
      </c>
      <c r="H117" s="3058" t="s">
        <v>2134</v>
      </c>
      <c r="I117" s="3058" t="s">
        <v>2136</v>
      </c>
    </row>
    <row r="118" spans="1:27" ht="24.75" customHeight="1">
      <c r="A118" s="2820" t="str">
        <f>项目基本情况!S2</f>
        <v>北京市0331地块部分现房房地产</v>
      </c>
      <c r="B118" s="3058">
        <f>M18</f>
        <v>0</v>
      </c>
      <c r="C118" s="3058">
        <f>M19</f>
        <v>0</v>
      </c>
      <c r="D118" s="3058">
        <f ca="1">ROUND(IF(D32="总价",C34,E118*B118/10000),0)</f>
        <v>12215</v>
      </c>
      <c r="E118" s="3058" t="e">
        <f ca="1">ROUND(IF(C33="自定义",IF(D32="楼面单价",C34,D118*10000/B118),I118-G118),0)</f>
        <v>#DIV/0!</v>
      </c>
      <c r="F118" s="3058">
        <f ca="1">ROUND(IF(D32="总价",C35,G118*B118/10000),0)</f>
        <v>20799</v>
      </c>
      <c r="G118" s="3058" t="e">
        <f ca="1">ROUND(IF(D32="楼面单价",C35,F118*10000/B118),0)</f>
        <v>#DIV/0!</v>
      </c>
      <c r="H118" s="3058">
        <f ca="1">ROUND(IF(D32="总价",C32,I118*B118/10000),0)</f>
        <v>33014</v>
      </c>
      <c r="I118" s="3058" t="e">
        <f ca="1">ROUND(IF(D32="楼面单价",C32,H118*10000/B118),0)</f>
        <v>#DIV/0!</v>
      </c>
    </row>
    <row r="119" spans="1:27" ht="18.75" customHeight="1">
      <c r="A119" s="3385" t="s">
        <v>2137</v>
      </c>
      <c r="B119" s="3385"/>
      <c r="C119" s="3385"/>
      <c r="D119" s="3391" t="str">
        <f ca="1">NUMBERSTRING(INT(D118*10000),2)&amp;"元整"</f>
        <v>壹亿贰仟贰佰壹拾伍万元整</v>
      </c>
      <c r="E119" s="3392"/>
      <c r="F119" s="3391" t="str">
        <f ca="1">NUMBERSTRING(INT(F118*10000),2)&amp;"元整"</f>
        <v>贰亿零柒佰玖拾玖万元整</v>
      </c>
      <c r="G119" s="3392"/>
      <c r="H119" s="3391" t="str">
        <f ca="1">NUMBERSTRING(INT(H118*10000),2)&amp;"元整"</f>
        <v>叁亿叁仟零壹拾肆万元整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428" t="s">
        <v>2137</v>
      </c>
      <c r="B121" s="3429"/>
      <c r="C121" s="3430"/>
      <c r="D121" s="3391" t="str">
        <f>IF(D120=0,"零元整",NUMBERSTRING(INT(D120*10000),2)&amp;"元整")</f>
        <v>零元整</v>
      </c>
      <c r="E121" s="3393"/>
      <c r="F121" s="3393"/>
      <c r="G121" s="3393"/>
      <c r="H121" s="3393"/>
      <c r="I121" s="3392"/>
      <c r="AA121" s="733"/>
    </row>
    <row r="122" spans="1:27" ht="18.75" customHeight="1">
      <c r="A122" s="3397" t="str">
        <f>IF(项目基本情况!B9="房地产市场价值","",MID(E107,3,LEN(E107)-2))</f>
        <v>房地产抵押价值</v>
      </c>
      <c r="B122" s="3397"/>
      <c r="C122" s="3397"/>
      <c r="D122" s="3386">
        <f ca="1">H107</f>
        <v>33014</v>
      </c>
      <c r="E122" s="3387"/>
      <c r="F122" s="3387"/>
      <c r="G122" s="3387"/>
      <c r="H122" s="3387"/>
      <c r="I122" s="3388"/>
      <c r="AA122" s="733"/>
    </row>
    <row r="123" spans="1:27" ht="18.75" customHeight="1">
      <c r="A123" s="3385" t="s">
        <v>2137</v>
      </c>
      <c r="B123" s="3385"/>
      <c r="C123" s="3385"/>
      <c r="D123" s="3391" t="str">
        <f ca="1">NUMBERSTRING(INT(D122*10000),2)&amp;"元整"</f>
        <v>叁亿叁仟零壹拾肆万元整</v>
      </c>
      <c r="E123" s="3393"/>
      <c r="F123" s="3393"/>
      <c r="G123" s="3393"/>
      <c r="H123" s="3393"/>
      <c r="I123" s="3392"/>
      <c r="AA123" s="733"/>
    </row>
    <row r="124" spans="1:27" ht="18.75" customHeight="1">
      <c r="A124" s="3397" t="str">
        <f>IF(项目基本情况!B9="房地产市场价值","",MID(E109,3,LEN(E109)-2))</f>
        <v/>
      </c>
      <c r="B124" s="3397"/>
      <c r="C124" s="3397"/>
      <c r="D124" s="3386" t="str">
        <f>H109</f>
        <v>——</v>
      </c>
      <c r="E124" s="3387"/>
      <c r="F124" s="3387"/>
      <c r="G124" s="3387"/>
      <c r="H124" s="3387"/>
      <c r="I124" s="3388"/>
      <c r="AA124" s="733"/>
    </row>
    <row r="125" spans="1:27" ht="18.75" customHeight="1">
      <c r="A125" s="3385" t="s">
        <v>2137</v>
      </c>
      <c r="B125" s="3385"/>
      <c r="C125" s="3385"/>
      <c r="D125" s="3391" t="e">
        <f>NUMBERSTRING(INT(D124*10000),2)&amp;"元整"</f>
        <v>#VALUE!</v>
      </c>
      <c r="E125" s="3393"/>
      <c r="F125" s="3393"/>
      <c r="G125" s="3393"/>
      <c r="H125" s="3393"/>
      <c r="I125" s="3392"/>
      <c r="AA125" s="733"/>
    </row>
    <row r="126" spans="1:27" ht="18.75" customHeight="1">
      <c r="A126" s="3397" t="str">
        <f>IF(项目基本情况!B9="房地产市场价值","",MID(E111,3,LEN(E111)-2))</f>
        <v/>
      </c>
      <c r="B126" s="3397"/>
      <c r="C126" s="3397"/>
      <c r="D126" s="3386" t="str">
        <f>H111</f>
        <v>——</v>
      </c>
      <c r="E126" s="3387"/>
      <c r="F126" s="3387"/>
      <c r="G126" s="3387"/>
      <c r="H126" s="3387"/>
      <c r="I126" s="3388"/>
      <c r="AA126" s="733"/>
    </row>
    <row r="127" spans="1:27" ht="18.75" customHeight="1">
      <c r="A127" s="3385" t="s">
        <v>2137</v>
      </c>
      <c r="B127" s="3385"/>
      <c r="C127" s="3385"/>
      <c r="D127" s="3391" t="e">
        <f>NUMBERSTRING(INT(D126*10000),2)&amp;"元整"</f>
        <v>#VALUE!</v>
      </c>
      <c r="E127" s="3393"/>
      <c r="F127" s="3393"/>
      <c r="G127" s="3393"/>
      <c r="H127" s="3393"/>
      <c r="I127" s="3392"/>
      <c r="AA127" s="733"/>
    </row>
    <row r="128" spans="1:27" ht="21.75" customHeight="1">
      <c r="A128" s="3394" t="s">
        <v>2138</v>
      </c>
      <c r="B128" s="3394"/>
      <c r="C128" s="3394"/>
      <c r="D128" s="3394"/>
      <c r="E128" s="3394"/>
      <c r="F128" s="3394"/>
      <c r="G128" s="3394"/>
      <c r="H128" s="3394"/>
      <c r="I128" s="3394"/>
      <c r="AA128" s="733"/>
    </row>
    <row r="129" spans="1:35" ht="21.75" customHeight="1">
      <c r="A129" s="2014" t="s">
        <v>2139</v>
      </c>
      <c r="B129" s="2015"/>
      <c r="C129" s="2016" t="s">
        <v>2140</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2141</v>
      </c>
      <c r="G135" s="2031"/>
      <c r="H135" s="2031"/>
      <c r="I135" s="2032" t="s">
        <v>2142</v>
      </c>
    </row>
    <row r="136" spans="1:35" ht="21.75" customHeight="1">
      <c r="A136" s="733"/>
      <c r="B136" s="2033"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2144</v>
      </c>
    </row>
    <row r="139" spans="1:35" ht="21.75" customHeight="1">
      <c r="A139" s="733"/>
      <c r="B139" s="2033" t="s">
        <v>2145</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2144</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79" priority="10" stopIfTrue="1" operator="equal">
      <formula>25</formula>
    </cfRule>
  </conditionalFormatting>
  <conditionalFormatting sqref="C8:C9">
    <cfRule type="cellIs" dxfId="78" priority="9" stopIfTrue="1" operator="equal">
      <formula>15</formula>
    </cfRule>
  </conditionalFormatting>
  <conditionalFormatting sqref="C14:C16">
    <cfRule type="cellIs" dxfId="77" priority="8" stopIfTrue="1" operator="equal">
      <formula>30</formula>
    </cfRule>
  </conditionalFormatting>
  <conditionalFormatting sqref="D5:D7">
    <cfRule type="cellIs" dxfId="76" priority="7" stopIfTrue="1" operator="equal">
      <formula>25</formula>
    </cfRule>
  </conditionalFormatting>
  <conditionalFormatting sqref="D8:D9">
    <cfRule type="cellIs" dxfId="75" priority="6" stopIfTrue="1" operator="equal">
      <formula>15</formula>
    </cfRule>
  </conditionalFormatting>
  <conditionalFormatting sqref="C10:D13">
    <cfRule type="cellIs" dxfId="74" priority="5" stopIfTrue="1" operator="equal">
      <formula>15</formula>
    </cfRule>
  </conditionalFormatting>
  <conditionalFormatting sqref="D14:D16">
    <cfRule type="cellIs" dxfId="73" priority="4" stopIfTrue="1" operator="equal">
      <formula>30</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D92" xr:uid="{00000000-0002-0000-2400-000000000000}">
      <formula1>"0,5%,10%"</formula1>
    </dataValidation>
    <dataValidation type="list" allowBlank="1" showInputMessage="1" showErrorMessage="1" sqref="H59" xr:uid="{00000000-0002-0000-2400-000001000000}">
      <formula1>"非个人房产,个人住宅（满五唯一有凭证）,个人其他（有凭证）,个人其他（无凭证）"</formula1>
    </dataValidation>
    <dataValidation type="list" allowBlank="1" showInputMessage="1" showErrorMessage="1" sqref="E103" xr:uid="{00000000-0002-0000-2400-000002000000}">
      <formula1>"2.估价师知悉的法定优先受偿款,2.估价师知悉的除抵押担保权以外的法定优先受偿款"</formula1>
    </dataValidation>
    <dataValidation type="list" allowBlank="1" showInputMessage="1" showErrorMessage="1" sqref="G77" xr:uid="{00000000-0002-0000-2400-000003000000}">
      <formula1>"个人住宅,2016年5月1日前购买,2016年5月1日后购买"</formula1>
    </dataValidation>
    <dataValidation type="list" allowBlank="1" showInputMessage="1" showErrorMessage="1" sqref="C1" xr:uid="{00000000-0002-0000-2400-000004000000}">
      <formula1>项目类型</formula1>
    </dataValidation>
    <dataValidation type="list" allowBlank="1" showInputMessage="1" showErrorMessage="1" sqref="I1" xr:uid="{00000000-0002-0000-2400-000005000000}">
      <formula1>"项目局部,项目全部,——"</formula1>
    </dataValidation>
    <dataValidation type="list" showInputMessage="1" showErrorMessage="1" sqref="G1" xr:uid="{00000000-0002-0000-2400-000006000000}">
      <formula1>"现房,在建,土地,-"</formula1>
    </dataValidation>
    <dataValidation type="list" allowBlank="1" showInputMessage="1" showErrorMessage="1" sqref="C129" xr:uid="{00000000-0002-0000-2400-000007000000}">
      <formula1>"无,有"</formula1>
    </dataValidation>
    <dataValidation type="list" allowBlank="1" showInputMessage="1" showErrorMessage="1" sqref="F116:G116" xr:uid="{00000000-0002-0000-2400-000008000000}">
      <formula1>"建筑物价值,在建建筑物价值,建筑物/在建建筑物价值"</formula1>
    </dataValidation>
    <dataValidation type="list" allowBlank="1" showInputMessage="1" showErrorMessage="1" sqref="D116:E116" xr:uid="{00000000-0002-0000-2400-000009000000}">
      <formula1>"出让国有建设用地使用权价值,划拨国有建设用地使用权价值"</formula1>
    </dataValidation>
    <dataValidation type="list" allowBlank="1" showInputMessage="1" showErrorMessage="1" sqref="C116:C117" xr:uid="{00000000-0002-0000-2400-00000A000000}">
      <formula1>"土地面积,分摊土地面积,（分摊）土地面积"</formula1>
    </dataValidation>
    <dataValidation type="list" allowBlank="1" showInputMessage="1" showErrorMessage="1" sqref="B116:B117" xr:uid="{00000000-0002-0000-2400-00000B000000}">
      <formula1>"建筑面积,规划建筑面积,（规划）建筑面积"</formula1>
    </dataValidation>
    <dataValidation type="list" allowBlank="1" showInputMessage="1" showErrorMessage="1" sqref="D36" xr:uid="{00000000-0002-0000-2400-00000C000000}">
      <formula1>"同一抵押权人同一抵押物续贷,注销后放款,正常操作"</formula1>
    </dataValidation>
    <dataValidation type="list" allowBlank="1" showInputMessage="1" showErrorMessage="1" sqref="F75" xr:uid="{00000000-0002-0000-2400-00000D000000}">
      <formula1>"买卖合同,购房发票"</formula1>
    </dataValidation>
    <dataValidation type="list" allowBlank="1" showInputMessage="1" showErrorMessage="1" sqref="H88" xr:uid="{00000000-0002-0000-2400-00000E000000}">
      <formula1>"仅含出让金,出让金+开发费"</formula1>
    </dataValidation>
    <dataValidation type="list" allowBlank="1" showInputMessage="1" showErrorMessage="1" sqref="H91" xr:uid="{00000000-0002-0000-2400-00000F000000}">
      <formula1>"企业提供（在右侧录入）,——"</formula1>
    </dataValidation>
    <dataValidation type="list" allowBlank="1" showInputMessage="1" showErrorMessage="1" sqref="C33" xr:uid="{00000000-0002-0000-2400-000010000000}">
      <formula1>"成本比率,收益比率,自定义"</formula1>
    </dataValidation>
    <dataValidation type="list" allowBlank="1" showInputMessage="1" showErrorMessage="1" sqref="F45" xr:uid="{00000000-0002-0000-2400-000011000000}">
      <formula1>"100%,80%,60%,64%"</formula1>
    </dataValidation>
    <dataValidation type="list" allowBlank="1" showInputMessage="1" showErrorMessage="1" sqref="D32" xr:uid="{00000000-0002-0000-2400-000012000000}">
      <formula1>"总价,楼面单价"</formula1>
    </dataValidation>
    <dataValidation type="list" allowBlank="1" showInputMessage="1" showErrorMessage="1" sqref="H58" xr:uid="{00000000-0002-0000-2400-000013000000}">
      <formula1>"转让取得,自行开发建设"</formula1>
    </dataValidation>
    <dataValidation type="list" allowBlank="1" showInputMessage="1" showErrorMessage="1" sqref="H48" xr:uid="{00000000-0002-0000-2400-000014000000}">
      <formula1>"情况1,情况2,情况3,情况4"</formula1>
    </dataValidation>
    <dataValidation type="list" allowBlank="1" showInputMessage="1" showErrorMessage="1" sqref="H55:H56" xr:uid="{00000000-0002-0000-2400-000015000000}">
      <formula1>"个人住宅,正常"</formula1>
    </dataValidation>
    <dataValidation type="list" allowBlank="1" showInputMessage="1" showErrorMessage="1" sqref="C4:D4 D33" xr:uid="{00000000-0002-0000-2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85" zoomScaleNormal="70" zoomScaleSheetLayoutView="85" workbookViewId="0">
      <selection activeCell="B1" sqref="B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2" t="s">
        <v>4488</v>
      </c>
      <c r="C1" s="203"/>
      <c r="D1" s="203"/>
      <c r="E1" s="203"/>
      <c r="F1" s="203"/>
      <c r="G1" s="1287">
        <f>MATCH(B1,'数据-取费表'!A6:A16,0)+5</f>
        <v>7</v>
      </c>
    </row>
    <row r="2" spans="1:9" s="205" customFormat="1" ht="18" customHeight="1">
      <c r="A2" s="206" t="s">
        <v>1359</v>
      </c>
      <c r="B2" s="207">
        <f ca="1">IF(D2="——",C52,C52-E2)</f>
        <v>13775</v>
      </c>
      <c r="C2" s="204" t="s">
        <v>2148</v>
      </c>
      <c r="D2" s="2036" t="s">
        <v>70</v>
      </c>
      <c r="E2" s="1330" t="e">
        <f ca="1">SUMIF(INDIRECT("'"&amp;G2&amp;"'"&amp;"!A:A"),"承租人权益价值",INDIRECT("'"&amp;G2&amp;"'"&amp;"!c:c"))</f>
        <v>#REF!</v>
      </c>
      <c r="F2" s="2037" t="s">
        <v>2148</v>
      </c>
      <c r="G2" s="2038"/>
    </row>
    <row r="3" spans="1:9" s="205" customFormat="1" ht="18" customHeight="1" thickBot="1">
      <c r="A3" s="208" t="s">
        <v>1360</v>
      </c>
      <c r="B3" s="209">
        <f ca="1">ROUND(B2*10000/(IF(B1="",'数据-汇总表'!E3,INDIRECT("'数据-取费表'!k"&amp;$G$1))),0)</f>
        <v>6948</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f>C6+C7+C8</f>
        <v>3803</v>
      </c>
      <c r="D5" s="216" t="s">
        <v>2154</v>
      </c>
      <c r="E5" s="217" t="s">
        <v>2155</v>
      </c>
      <c r="F5" s="217" t="s">
        <v>2156</v>
      </c>
      <c r="G5" s="218"/>
    </row>
    <row r="6" spans="1:9" s="219" customFormat="1" ht="13.5" customHeight="1">
      <c r="A6" s="885" t="s">
        <v>791</v>
      </c>
      <c r="B6" s="220" t="s">
        <v>2158</v>
      </c>
      <c r="C6" s="221">
        <f>'土地比较法-住宅、综合'!F62</f>
        <v>3690</v>
      </c>
      <c r="D6" s="222"/>
      <c r="E6" s="223"/>
      <c r="F6" s="223"/>
      <c r="G6" s="224"/>
    </row>
    <row r="7" spans="1:9" s="219" customFormat="1" ht="13.5" customHeight="1">
      <c r="A7" s="885" t="s">
        <v>792</v>
      </c>
      <c r="B7" s="220" t="s">
        <v>2160</v>
      </c>
      <c r="C7" s="225">
        <f>ROUND(C6*F7,0)</f>
        <v>113</v>
      </c>
      <c r="D7" s="225"/>
      <c r="E7" s="223"/>
      <c r="F7" s="226">
        <f>IF(项目基本情况!B8="出让",0,'数据-取费表'!B48+'数据-取费表'!B49)</f>
        <v>3.0499999999999999E-2</v>
      </c>
      <c r="G7" s="224"/>
    </row>
    <row r="8" spans="1:9" s="228" customFormat="1">
      <c r="A8" s="885" t="s">
        <v>793</v>
      </c>
      <c r="B8" s="220" t="s">
        <v>2162</v>
      </c>
      <c r="C8" s="225">
        <f>IF(G8="已包含在土地购买价格中","0",IF(B1="",'数据-取费表'!B29,IF(G9="全部缴纳",C9+C10,H9)))</f>
        <v>0</v>
      </c>
      <c r="D8" s="227"/>
      <c r="E8" s="225"/>
      <c r="F8" s="226"/>
      <c r="G8" s="2039"/>
    </row>
    <row r="9" spans="1:9" s="219" customFormat="1" ht="13.5" customHeight="1">
      <c r="A9" s="886" t="s">
        <v>800</v>
      </c>
      <c r="B9" s="229" t="s">
        <v>2163</v>
      </c>
      <c r="C9" s="230">
        <f ca="1">ROUND(D9*E9/10000,0)</f>
        <v>0</v>
      </c>
      <c r="D9" s="953">
        <f ca="1">IF(B1="",'数据-汇总表'!E5,IF(INDIRECT("'数据-取费表'!c"&amp;$G$1)="住宅",INDIRECT("'数据-取费表'!k"&amp;$G$1),0))</f>
        <v>0</v>
      </c>
      <c r="E9" s="230">
        <f>'数据-取费表'!B27</f>
        <v>0</v>
      </c>
      <c r="F9" s="226"/>
      <c r="G9" s="2040"/>
      <c r="H9" s="1298"/>
      <c r="I9" s="2041" t="s">
        <v>2164</v>
      </c>
    </row>
    <row r="10" spans="1:9" s="219" customFormat="1" ht="13.5" customHeight="1">
      <c r="A10" s="886" t="s">
        <v>801</v>
      </c>
      <c r="B10" s="229" t="s">
        <v>2165</v>
      </c>
      <c r="C10" s="230">
        <f ca="1">ROUND(D10*E10/10000,0)</f>
        <v>0</v>
      </c>
      <c r="D10" s="953">
        <f ca="1">IF(B1="",'数据-汇总表'!E6,IF(INDIRECT("'数据-取费表'!c"&amp;$G$1)="住宅",INDIRECT("'数据-取费表'!s"&amp;$G$1),INDIRECT("'数据-取费表'!k"&amp;$G$1)+INDIRECT("'数据-取费表'!s"&amp;$G$1)))</f>
        <v>19826.719999999998</v>
      </c>
      <c r="E10" s="230">
        <f>'数据-取费表'!B28</f>
        <v>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2162</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2162</v>
      </c>
      <c r="C16" s="225"/>
      <c r="D16" s="955"/>
      <c r="E16" s="223"/>
      <c r="F16" s="223"/>
      <c r="G16" s="224"/>
    </row>
    <row r="17" spans="1:7" s="219" customFormat="1" ht="13.5" hidden="1" customHeight="1">
      <c r="A17" s="232" t="s">
        <v>13</v>
      </c>
      <c r="B17" s="220" t="s">
        <v>2173</v>
      </c>
      <c r="C17" s="234"/>
      <c r="D17" s="956"/>
      <c r="E17" s="234"/>
      <c r="F17" s="234"/>
      <c r="G17" s="224" t="s">
        <v>2172</v>
      </c>
    </row>
    <row r="18" spans="1:7" s="219" customFormat="1" ht="13.5" hidden="1" customHeight="1">
      <c r="A18" s="232" t="s">
        <v>14</v>
      </c>
      <c r="B18" s="220" t="s">
        <v>2174</v>
      </c>
      <c r="C18" s="225">
        <v>0</v>
      </c>
      <c r="D18" s="955"/>
      <c r="E18" s="223"/>
      <c r="F18" s="226">
        <v>3.0499999999999999E-2</v>
      </c>
      <c r="G18" s="224" t="s">
        <v>2175</v>
      </c>
    </row>
    <row r="19" spans="1:7" s="228" customFormat="1" ht="13.5" customHeight="1">
      <c r="A19" s="260" t="s">
        <v>2176</v>
      </c>
      <c r="B19" s="215" t="s">
        <v>2177</v>
      </c>
      <c r="C19" s="216" t="str">
        <f>IF(G19="已包含在土地取得成本中","0",ROUND(D19*E19/10000,0))</f>
        <v>0</v>
      </c>
      <c r="D19" s="957">
        <f ca="1">D9+D10</f>
        <v>19826.719999999998</v>
      </c>
      <c r="E19" s="216">
        <f>'数据-取费表'!B31</f>
        <v>200</v>
      </c>
      <c r="F19" s="236"/>
      <c r="G19" s="2039" t="s">
        <v>4213</v>
      </c>
    </row>
    <row r="20" spans="1:7" s="219" customFormat="1" ht="13.5" customHeight="1">
      <c r="A20" s="260" t="s">
        <v>2178</v>
      </c>
      <c r="B20" s="215" t="s">
        <v>2179</v>
      </c>
      <c r="C20" s="237">
        <f>ROUND((C5+C19)*F20,0)</f>
        <v>114</v>
      </c>
      <c r="D20" s="237"/>
      <c r="E20" s="237"/>
      <c r="F20" s="238">
        <f>'数据-取费表'!B37</f>
        <v>0.03</v>
      </c>
      <c r="G20" s="239" t="s">
        <v>2180</v>
      </c>
    </row>
    <row r="21" spans="1:7" s="219" customFormat="1" ht="13.5" customHeight="1">
      <c r="A21" s="260" t="s">
        <v>2181</v>
      </c>
      <c r="B21" s="215" t="s">
        <v>2182</v>
      </c>
      <c r="C21" s="240">
        <f>F21</f>
        <v>0.03</v>
      </c>
      <c r="D21" s="241" t="s">
        <v>2183</v>
      </c>
      <c r="E21" s="237"/>
      <c r="F21" s="238">
        <f>'数据-取费表'!B38</f>
        <v>0.03</v>
      </c>
      <c r="G21" s="239" t="s">
        <v>2184</v>
      </c>
    </row>
    <row r="22" spans="1:7" s="219" customFormat="1" ht="13.5" customHeight="1">
      <c r="A22" s="260" t="s">
        <v>2185</v>
      </c>
      <c r="B22" s="215" t="s">
        <v>2186</v>
      </c>
      <c r="C22" s="1263">
        <f ca="1">ROUND(SUM(C23:C25),0)</f>
        <v>343</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7" t="s">
        <v>791</v>
      </c>
      <c r="B23" s="220" t="s">
        <v>2188</v>
      </c>
      <c r="C23" s="1264">
        <f ca="1">ROUND(IF('数据-取费表'!B22&lt;=1,C5*F22*'数据-取费表'!B23,C5*(POWER((1+F22),'数据-取费表'!B23)-1)),0)</f>
        <v>338</v>
      </c>
      <c r="D23" s="243"/>
      <c r="E23" s="243"/>
      <c r="F23" s="244"/>
      <c r="G23" s="245" t="s">
        <v>2189</v>
      </c>
    </row>
    <row r="24" spans="1:7" s="219" customFormat="1" ht="13.5" customHeight="1">
      <c r="A24" s="887" t="s">
        <v>792</v>
      </c>
      <c r="B24" s="220" t="s">
        <v>2191</v>
      </c>
      <c r="C24" s="1264">
        <f ca="1">ROUND(IF('数据-取费表'!B22&lt;=1,C19*F22*('数据-取费表'!B19/2+'数据-取费表'!B21),C19*(POWER((1+F22),('数据-取费表'!B19/2+'数据-取费表'!B21))-1)),0)</f>
        <v>0</v>
      </c>
      <c r="D24" s="243"/>
      <c r="E24" s="243"/>
      <c r="F24" s="244"/>
      <c r="G24" s="245" t="s">
        <v>2192</v>
      </c>
    </row>
    <row r="25" spans="1:7" s="219" customFormat="1" ht="24">
      <c r="A25" s="887" t="s">
        <v>793</v>
      </c>
      <c r="B25" s="220" t="s">
        <v>2194</v>
      </c>
      <c r="C25" s="1264">
        <f ca="1">ROUND(IF('数据-取费表'!B22&lt;=1,C20*F22*'数据-取费表'!B23/2,C20*(POWER((1+F22),'数据-取费表'!B23/2)-1)),0)</f>
        <v>5</v>
      </c>
      <c r="D25" s="243"/>
      <c r="E25" s="246"/>
      <c r="F25" s="244"/>
      <c r="G25" s="247" t="s">
        <v>2195</v>
      </c>
    </row>
    <row r="26" spans="1:7" s="219" customFormat="1">
      <c r="A26" s="887"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f ca="1">C28</f>
        <v>392</v>
      </c>
      <c r="D27" s="240">
        <f ca="1">C29</f>
        <v>3.0000000000000001E-3</v>
      </c>
      <c r="E27" s="241" t="s">
        <v>2183</v>
      </c>
      <c r="F27" s="251">
        <f ca="1">IF(B1="",'数据-取费表'!Q16,INDIRECT("'数据-取费表'!q"&amp;$G$1))</f>
        <v>0.1</v>
      </c>
      <c r="G27" s="252" t="s">
        <v>2200</v>
      </c>
    </row>
    <row r="28" spans="1:7" s="219" customFormat="1" ht="13.5" customHeight="1">
      <c r="A28" s="887" t="s">
        <v>791</v>
      </c>
      <c r="B28" s="253" t="s">
        <v>2201</v>
      </c>
      <c r="C28" s="254">
        <f ca="1">ROUND((C5+C19+C20)*F27*'数据-取费表'!B21/'数据-取费表'!B20,0)</f>
        <v>392</v>
      </c>
      <c r="D28" s="240"/>
      <c r="E28" s="241"/>
      <c r="F28" s="251"/>
      <c r="G28" s="252"/>
    </row>
    <row r="29" spans="1:7" s="219" customFormat="1" ht="13.5" customHeight="1">
      <c r="A29" s="887" t="s">
        <v>792</v>
      </c>
      <c r="B29" s="253" t="s">
        <v>2202</v>
      </c>
      <c r="C29" s="243">
        <f ca="1">ROUND(C21*F27*'数据-取费表'!B21/'数据-取费表'!B20,4)</f>
        <v>3.0000000000000001E-3</v>
      </c>
      <c r="D29" s="240"/>
      <c r="E29" s="241"/>
      <c r="F29" s="251"/>
      <c r="G29" s="252"/>
    </row>
    <row r="30" spans="1:7" s="219" customFormat="1" ht="13.5" customHeight="1">
      <c r="A30" s="260" t="s">
        <v>2203</v>
      </c>
      <c r="B30" s="215" t="s">
        <v>2204</v>
      </c>
      <c r="C30" s="240">
        <f>ROUND(F30/(1+'数据-取费表'!C42),4)</f>
        <v>5.2400000000000002E-2</v>
      </c>
      <c r="D30" s="241" t="s">
        <v>2183</v>
      </c>
      <c r="E30" s="246"/>
      <c r="F30" s="242">
        <f>'数据-取费表'!B41</f>
        <v>5.5000000000000007E-2</v>
      </c>
      <c r="G30" s="239" t="s">
        <v>2205</v>
      </c>
    </row>
    <row r="31" spans="1:7" ht="16.5" customHeight="1">
      <c r="A31" s="214">
        <v>1</v>
      </c>
      <c r="B31" s="215" t="s">
        <v>2206</v>
      </c>
      <c r="C31" s="216">
        <f ca="1">ROUND((C5+C19+C20+C22+C27)/(1-C21-D22-D27-C30),0)</f>
        <v>5094</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6731</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5948</v>
      </c>
      <c r="D34" s="222"/>
      <c r="E34" s="225"/>
      <c r="F34" s="262">
        <f ca="1">IF('数据-取费表'!B24=0,1,IF(B1="",'数据-取费表'!N16,INDIRECT("'数据-取费表'!n"&amp;$G$1)))</f>
        <v>1</v>
      </c>
      <c r="G34" s="224" t="s">
        <v>2211</v>
      </c>
    </row>
    <row r="35" spans="1:7" ht="13.5" customHeight="1">
      <c r="A35" s="887" t="s">
        <v>796</v>
      </c>
      <c r="B35" s="220" t="s">
        <v>2212</v>
      </c>
      <c r="C35" s="225">
        <f ca="1">ROUND(C34*F35,0)</f>
        <v>297</v>
      </c>
      <c r="D35" s="225"/>
      <c r="E35" s="225"/>
      <c r="F35" s="264">
        <f>'数据-取费表'!B33</f>
        <v>0.05</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2215</v>
      </c>
    </row>
    <row r="37" spans="1:7" s="263" customFormat="1" ht="13.5" customHeight="1">
      <c r="A37" s="887" t="s">
        <v>798</v>
      </c>
      <c r="B37" s="220" t="s">
        <v>2216</v>
      </c>
      <c r="C37" s="254">
        <f ca="1">ROUND(E37*D37*F34/10000,0)</f>
        <v>397</v>
      </c>
      <c r="D37" s="222">
        <f ca="1">D19</f>
        <v>19826.719999999998</v>
      </c>
      <c r="E37" s="254">
        <f>'数据-取费表'!B35</f>
        <v>200</v>
      </c>
      <c r="F37" s="264"/>
      <c r="G37" s="266" t="s">
        <v>2217</v>
      </c>
    </row>
    <row r="38" spans="1:7" ht="13.5" customHeight="1">
      <c r="A38" s="887" t="s">
        <v>799</v>
      </c>
      <c r="B38" s="220" t="s">
        <v>2218</v>
      </c>
      <c r="C38" s="225">
        <f ca="1">ROUND(C34*F38,0)</f>
        <v>89</v>
      </c>
      <c r="D38" s="225"/>
      <c r="E38" s="225"/>
      <c r="F38" s="264">
        <f>'数据-取费表'!B36</f>
        <v>1.4999999999999999E-2</v>
      </c>
      <c r="G38" s="224" t="s">
        <v>2213</v>
      </c>
    </row>
    <row r="39" spans="1:7" s="219" customFormat="1" ht="13.5" customHeight="1">
      <c r="A39" s="260" t="s">
        <v>2176</v>
      </c>
      <c r="B39" s="215" t="s">
        <v>2179</v>
      </c>
      <c r="C39" s="237">
        <f ca="1">ROUND(C33*F20,0)</f>
        <v>202</v>
      </c>
      <c r="D39" s="237"/>
      <c r="E39" s="237"/>
      <c r="F39" s="2532">
        <f>F20</f>
        <v>0.03</v>
      </c>
      <c r="G39" s="239" t="s">
        <v>2221</v>
      </c>
    </row>
    <row r="40" spans="1:7" s="219" customFormat="1" ht="13.5" customHeight="1">
      <c r="A40" s="260" t="s">
        <v>2178</v>
      </c>
      <c r="B40" s="215" t="s">
        <v>2182</v>
      </c>
      <c r="C40" s="1493">
        <f>F21</f>
        <v>0.03</v>
      </c>
      <c r="D40" s="241" t="s">
        <v>2224</v>
      </c>
      <c r="E40" s="237"/>
      <c r="F40" s="2532">
        <f>F21</f>
        <v>0.03</v>
      </c>
      <c r="G40" s="239" t="s">
        <v>2225</v>
      </c>
    </row>
    <row r="41" spans="1:7" s="219" customFormat="1" ht="13.5" customHeight="1">
      <c r="A41" s="260" t="s">
        <v>2181</v>
      </c>
      <c r="B41" s="215" t="s">
        <v>2186</v>
      </c>
      <c r="C41" s="237">
        <f ca="1">ROUND(SUM(C42:C43),0)</f>
        <v>302</v>
      </c>
      <c r="D41" s="240">
        <f ca="1">C44</f>
        <v>1.2999999999999999E-3</v>
      </c>
      <c r="E41" s="241" t="s">
        <v>2224</v>
      </c>
      <c r="F41" s="2533">
        <f ca="1">F22</f>
        <v>4.3499999999999997E-2</v>
      </c>
      <c r="G41" s="239" t="str">
        <f>IF('数据-取费表'!B22&lt;=1,"单利计息","复利计息")</f>
        <v>复利计息</v>
      </c>
    </row>
    <row r="42" spans="1:7" ht="13.5" customHeight="1">
      <c r="A42" s="887" t="s">
        <v>791</v>
      </c>
      <c r="B42" s="220" t="s">
        <v>2188</v>
      </c>
      <c r="C42" s="243">
        <f ca="1">ROUND(IF('数据-取费表'!B22&lt;=1,C33*F22*'数据-取费表'!B21/2,C33*(POWER((1+F22),'数据-取费表'!B21/2)-1)),0)</f>
        <v>293</v>
      </c>
      <c r="D42" s="243"/>
      <c r="E42" s="243"/>
      <c r="F42" s="244"/>
      <c r="G42" s="3467" t="s">
        <v>2229</v>
      </c>
    </row>
    <row r="43" spans="1:7" ht="13.5" customHeight="1">
      <c r="A43" s="887" t="s">
        <v>792</v>
      </c>
      <c r="B43" s="220" t="s">
        <v>2191</v>
      </c>
      <c r="C43" s="243">
        <f ca="1">ROUND(IF('数据-取费表'!B22&lt;=1,C39*F22*'数据-取费表'!B21/2,C39*(POWER((1+F22),'数据-取费表'!B21/2)-1)),0)</f>
        <v>9</v>
      </c>
      <c r="D43" s="243"/>
      <c r="E43" s="243"/>
      <c r="F43" s="244"/>
      <c r="G43" s="3468"/>
    </row>
    <row r="44" spans="1:7" ht="13.5" customHeight="1">
      <c r="A44" s="887" t="s">
        <v>793</v>
      </c>
      <c r="B44" s="220" t="s">
        <v>2194</v>
      </c>
      <c r="C44" s="243">
        <f ca="1">ROUND(IF('数据-取费表'!B22&lt;=1,C40*F22*'数据-取费表'!B21/2,C40*(POWER((1+F22),'数据-取费表'!B21/2)-1)),4)</f>
        <v>1.2999999999999999E-3</v>
      </c>
      <c r="D44" s="243"/>
      <c r="E44" s="243"/>
      <c r="F44" s="244"/>
      <c r="G44" s="3469"/>
    </row>
    <row r="45" spans="1:7" s="219" customFormat="1" ht="13.5" customHeight="1">
      <c r="A45" s="260" t="s">
        <v>2185</v>
      </c>
      <c r="B45" s="249" t="s">
        <v>2198</v>
      </c>
      <c r="C45" s="250">
        <f ca="1">C46</f>
        <v>693</v>
      </c>
      <c r="D45" s="240">
        <f ca="1">C47</f>
        <v>3.0000000000000001E-3</v>
      </c>
      <c r="E45" s="241" t="s">
        <v>2224</v>
      </c>
      <c r="F45" s="2534">
        <f ca="1">F27</f>
        <v>0.1</v>
      </c>
      <c r="G45" s="252" t="s">
        <v>2233</v>
      </c>
    </row>
    <row r="46" spans="1:7" s="219" customFormat="1" ht="13.5" customHeight="1">
      <c r="A46" s="887" t="s">
        <v>791</v>
      </c>
      <c r="B46" s="253" t="s">
        <v>2234</v>
      </c>
      <c r="C46" s="254">
        <f ca="1">ROUND((C33+C39)*F27,0)</f>
        <v>693</v>
      </c>
      <c r="D46" s="268"/>
      <c r="E46" s="241"/>
      <c r="F46" s="251"/>
      <c r="G46" s="252"/>
    </row>
    <row r="47" spans="1:7" s="219" customFormat="1" ht="13.5" customHeight="1">
      <c r="A47" s="887" t="s">
        <v>792</v>
      </c>
      <c r="B47" s="253" t="s">
        <v>2235</v>
      </c>
      <c r="C47" s="243">
        <f ca="1">ROUND(C40*F27,4)</f>
        <v>3.0000000000000001E-3</v>
      </c>
      <c r="D47" s="268"/>
      <c r="E47" s="241"/>
      <c r="F47" s="251"/>
      <c r="G47" s="252"/>
    </row>
    <row r="48" spans="1:7" s="219" customFormat="1" ht="13.5" customHeight="1">
      <c r="A48" s="260" t="s">
        <v>2197</v>
      </c>
      <c r="B48" s="215" t="s">
        <v>2236</v>
      </c>
      <c r="C48" s="1493">
        <f>ROUND(F30/(1+'数据-取费表'!C42),4)</f>
        <v>5.2400000000000002E-2</v>
      </c>
      <c r="D48" s="241" t="s">
        <v>2224</v>
      </c>
      <c r="E48" s="237"/>
      <c r="F48" s="2533">
        <f>F30</f>
        <v>5.5000000000000007E-2</v>
      </c>
      <c r="G48" s="239" t="s">
        <v>2237</v>
      </c>
    </row>
    <row r="49" spans="1:7" ht="16.5" customHeight="1">
      <c r="A49" s="260" t="s">
        <v>2203</v>
      </c>
      <c r="B49" s="215" t="s">
        <v>2238</v>
      </c>
      <c r="C49" s="237">
        <f ca="1">ROUND((C33+C39+C41+C45)/(1-C40-D41-D45-C48),0)</f>
        <v>8681</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8681</v>
      </c>
      <c r="D51" s="237"/>
      <c r="E51" s="237"/>
      <c r="F51" s="269"/>
      <c r="G51" s="239" t="s">
        <v>2245</v>
      </c>
    </row>
    <row r="52" spans="1:7" s="213" customFormat="1" ht="16.5" thickBot="1">
      <c r="A52" s="270" t="s">
        <v>2246</v>
      </c>
      <c r="B52" s="271"/>
      <c r="C52" s="272">
        <f ca="1">C31+C51</f>
        <v>13775</v>
      </c>
      <c r="D52" s="271"/>
      <c r="E52" s="271"/>
      <c r="F52" s="271"/>
      <c r="G52" s="273"/>
    </row>
    <row r="55" spans="1:7" ht="15">
      <c r="B55" s="275" t="s">
        <v>2247</v>
      </c>
      <c r="C55" s="276"/>
    </row>
    <row r="56" spans="1:7">
      <c r="B56" s="278" t="s">
        <v>1478</v>
      </c>
      <c r="C56" s="280">
        <f ca="1">1-C57</f>
        <v>0.37</v>
      </c>
    </row>
    <row r="57" spans="1:7">
      <c r="B57" s="278" t="s">
        <v>1479</v>
      </c>
      <c r="C57" s="279">
        <f ca="1">ROUND(C51/C52,3)</f>
        <v>0.63</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500-000000000000}">
      <formula1>"需扣减承租人权益,——"</formula1>
    </dataValidation>
    <dataValidation type="list" allowBlank="1" showInputMessage="1" showErrorMessage="1" sqref="G2" xr:uid="{00000000-0002-0000-2500-000001000000}">
      <formula1>估价方法</formula1>
    </dataValidation>
    <dataValidation type="list" allowBlank="1" showInputMessage="1" showErrorMessage="1" sqref="G9" xr:uid="{00000000-0002-0000-2500-000002000000}">
      <formula1>"部分缴纳,全部缴纳"</formula1>
    </dataValidation>
    <dataValidation type="list" allowBlank="1" showInputMessage="1" showErrorMessage="1" sqref="B1" xr:uid="{00000000-0002-0000-2500-000003000000}">
      <formula1>项目类型</formula1>
    </dataValidation>
    <dataValidation type="list" allowBlank="1" showInputMessage="1" showErrorMessage="1" sqref="G19" xr:uid="{00000000-0002-0000-2500-000004000000}">
      <formula1>"已包含在土地取得成本中,未包含在土地取得成本中"</formula1>
    </dataValidation>
    <dataValidation type="list" allowBlank="1" showInputMessage="1" showErrorMessage="1" sqref="G8" xr:uid="{00000000-0002-0000-25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80" zoomScaleNormal="70" zoomScaleSheetLayoutView="80" workbookViewId="0">
      <selection activeCell="D1" sqref="D1"/>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2527</v>
      </c>
      <c r="B1" s="1389" t="s">
        <v>3061</v>
      </c>
      <c r="C1" s="1390" t="s">
        <v>2350</v>
      </c>
      <c r="D1" s="1391" t="s">
        <v>4488</v>
      </c>
      <c r="E1" s="1400"/>
      <c r="F1" s="2062" t="s">
        <v>4214</v>
      </c>
      <c r="G1" s="1401" t="s">
        <v>2463</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2147</v>
      </c>
      <c r="B2" s="1325">
        <f>IF(C2="——",ROUND(C37*D3/10000,0),ROUND(C37*D3/10000,0)-D2)</f>
        <v>52253</v>
      </c>
      <c r="C2" s="2064" t="s">
        <v>70</v>
      </c>
      <c r="D2" s="1037" t="e">
        <f ca="1">SUMIF(INDIRECT("'"&amp;F2&amp;"'"&amp;"!A:A"),"承租人权益价值",INDIRECT("'"&amp;F2&amp;"'"&amp;"!c:c"))</f>
        <v>#REF!</v>
      </c>
      <c r="E2" s="2065" t="s">
        <v>2148</v>
      </c>
      <c r="F2" s="2066"/>
      <c r="G2" s="1038"/>
      <c r="H2" s="1038"/>
      <c r="I2" s="1038"/>
      <c r="J2" s="1038"/>
      <c r="K2" s="1040"/>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2149</v>
      </c>
      <c r="B3" s="565">
        <f>IF(C2="——",C37,ROUND(B2*10000/D3,0))</f>
        <v>26355</v>
      </c>
      <c r="C3" s="359" t="s">
        <v>2464</v>
      </c>
      <c r="D3" s="358">
        <f>SUMIF('数据-汇总表'!$C19:$C33,D1,'数据-汇总表'!$E19:$E33)</f>
        <v>19826.719999999998</v>
      </c>
      <c r="E3" s="1038"/>
      <c r="F3" s="1039"/>
      <c r="G3" s="1038"/>
      <c r="H3" s="1038"/>
      <c r="I3" s="1038"/>
      <c r="J3" s="1038"/>
      <c r="K3" s="1040"/>
      <c r="L3" s="2956"/>
      <c r="M3" s="2957"/>
      <c r="N3" s="2957"/>
      <c r="O3" s="2957"/>
      <c r="P3" s="707"/>
      <c r="Q3" s="707"/>
      <c r="R3" s="707"/>
      <c r="S3" s="707"/>
      <c r="T3" s="707"/>
      <c r="U3" s="707"/>
      <c r="V3" s="707"/>
      <c r="W3" s="707"/>
      <c r="X3" s="707"/>
      <c r="Y3" s="707"/>
      <c r="Z3" s="707"/>
      <c r="AA3" s="707"/>
      <c r="AB3" s="724"/>
      <c r="AC3" s="721"/>
    </row>
    <row r="4" spans="1:29" ht="15">
      <c r="A4" s="360" t="s">
        <v>2465</v>
      </c>
      <c r="B4" s="361"/>
      <c r="C4" s="3516" t="s">
        <v>2466</v>
      </c>
      <c r="D4" s="3517"/>
      <c r="E4" s="3518" t="s">
        <v>2467</v>
      </c>
      <c r="F4" s="3519"/>
      <c r="G4" s="3516" t="s">
        <v>2468</v>
      </c>
      <c r="H4" s="3517"/>
      <c r="I4" s="3516" t="s">
        <v>2469</v>
      </c>
      <c r="J4" s="3517"/>
      <c r="K4" s="566" t="s">
        <v>2470</v>
      </c>
      <c r="L4" s="2937"/>
      <c r="M4" s="2938"/>
      <c r="N4" s="2938"/>
      <c r="O4" s="2938"/>
      <c r="P4" s="3520" t="s">
        <v>2471</v>
      </c>
      <c r="Q4" s="3521"/>
      <c r="R4" s="3503" t="s">
        <v>2467</v>
      </c>
      <c r="S4" s="3504"/>
      <c r="T4" s="3503" t="s">
        <v>2468</v>
      </c>
      <c r="U4" s="3504"/>
      <c r="V4" s="3528" t="s">
        <v>2469</v>
      </c>
      <c r="W4" s="3528"/>
      <c r="X4" s="1537"/>
      <c r="Y4" s="3503" t="s">
        <v>2471</v>
      </c>
      <c r="Z4" s="3504"/>
      <c r="AA4" s="3498" t="s">
        <v>2467</v>
      </c>
      <c r="AB4" s="3499" t="s">
        <v>2468</v>
      </c>
      <c r="AC4" s="3498" t="s">
        <v>2469</v>
      </c>
    </row>
    <row r="5" spans="1:29" ht="15">
      <c r="A5" s="363"/>
      <c r="B5" s="364"/>
      <c r="C5" s="3543" t="s">
        <v>2362</v>
      </c>
      <c r="D5" s="3544"/>
      <c r="E5" s="3557" t="s">
        <v>2363</v>
      </c>
      <c r="F5" s="3542"/>
      <c r="G5" s="3543" t="s">
        <v>2364</v>
      </c>
      <c r="H5" s="3544"/>
      <c r="I5" s="3543" t="s">
        <v>2365</v>
      </c>
      <c r="J5" s="3544"/>
      <c r="K5" s="566"/>
      <c r="L5" s="2937"/>
      <c r="M5" s="2938"/>
      <c r="N5" s="2938"/>
      <c r="O5" s="2938"/>
      <c r="P5" s="3522"/>
      <c r="Q5" s="3523"/>
      <c r="R5" s="3505"/>
      <c r="S5" s="3506"/>
      <c r="T5" s="3505"/>
      <c r="U5" s="3506"/>
      <c r="V5" s="3528"/>
      <c r="W5" s="3528"/>
      <c r="X5" s="1537"/>
      <c r="Y5" s="3505"/>
      <c r="Z5" s="3506"/>
      <c r="AA5" s="3499"/>
      <c r="AB5" s="3499"/>
      <c r="AC5" s="3499"/>
    </row>
    <row r="6" spans="1:29" ht="15.75" thickBot="1">
      <c r="A6" s="365"/>
      <c r="B6" s="366"/>
      <c r="C6" s="3545" t="s">
        <v>2366</v>
      </c>
      <c r="D6" s="3546"/>
      <c r="E6" s="3547" t="s">
        <v>2366</v>
      </c>
      <c r="F6" s="3548"/>
      <c r="G6" s="3545" t="s">
        <v>2366</v>
      </c>
      <c r="H6" s="3546"/>
      <c r="I6" s="3545" t="s">
        <v>2366</v>
      </c>
      <c r="J6" s="3546"/>
      <c r="K6" s="566" t="s">
        <v>2367</v>
      </c>
      <c r="L6" s="2937"/>
      <c r="M6" s="2938"/>
      <c r="N6" s="2938"/>
      <c r="O6" s="2938"/>
      <c r="P6" s="3524"/>
      <c r="Q6" s="3525"/>
      <c r="R6" s="3505"/>
      <c r="S6" s="3506"/>
      <c r="T6" s="3526"/>
      <c r="U6" s="3527"/>
      <c r="V6" s="3528"/>
      <c r="W6" s="3528"/>
      <c r="X6" s="1537"/>
      <c r="Y6" s="3526"/>
      <c r="Z6" s="3527"/>
      <c r="AA6" s="3500"/>
      <c r="AB6" s="3500"/>
      <c r="AC6" s="3500"/>
    </row>
    <row r="7" spans="1:29" s="112" customFormat="1" ht="15.75" thickBot="1">
      <c r="A7" s="367" t="s">
        <v>2368</v>
      </c>
      <c r="B7" s="368"/>
      <c r="C7" s="369">
        <f>'数据-取费表'!B2</f>
        <v>44495</v>
      </c>
      <c r="D7" s="370">
        <v>100</v>
      </c>
      <c r="E7" s="371">
        <f>C7</f>
        <v>44495</v>
      </c>
      <c r="F7" s="372">
        <f>SUMIF(46:46,YEAR(E7)&amp;"-"&amp;MONTH(E7),47:47)</f>
        <v>100</v>
      </c>
      <c r="G7" s="2157">
        <f>C7</f>
        <v>44495</v>
      </c>
      <c r="H7" s="370">
        <f>SUMIF(46:46,YEAR(G7)&amp;"-"&amp;MONTH(G7),47:47)</f>
        <v>100</v>
      </c>
      <c r="I7" s="371">
        <f>C7</f>
        <v>44495</v>
      </c>
      <c r="J7" s="370">
        <f>SUMIF(46:46,YEAR(I7)&amp;"-"&amp;MONTH(I7),47:47)</f>
        <v>100</v>
      </c>
      <c r="K7" s="567"/>
      <c r="L7" s="2939"/>
      <c r="M7" s="2940"/>
      <c r="N7" s="2940"/>
      <c r="O7" s="2940"/>
      <c r="P7" s="3501" t="s">
        <v>2369</v>
      </c>
      <c r="Q7" s="3529"/>
      <c r="R7" s="709" t="s">
        <v>17</v>
      </c>
      <c r="S7" s="710">
        <f t="shared" ref="S7:S14" si="0">F7</f>
        <v>100</v>
      </c>
      <c r="T7" s="709" t="s">
        <v>17</v>
      </c>
      <c r="U7" s="710">
        <f t="shared" ref="U7:U14" si="1">H7</f>
        <v>100</v>
      </c>
      <c r="V7" s="709" t="s">
        <v>17</v>
      </c>
      <c r="W7" s="710">
        <f t="shared" ref="W7:W14" si="2">J7</f>
        <v>100</v>
      </c>
      <c r="X7" s="711"/>
      <c r="Y7" s="3501" t="s">
        <v>2369</v>
      </c>
      <c r="Z7" s="3502"/>
      <c r="AA7" s="712">
        <f>D7/F7</f>
        <v>1</v>
      </c>
      <c r="AB7" s="712">
        <f>D7/H7</f>
        <v>1</v>
      </c>
      <c r="AC7" s="712">
        <f>D7/J7</f>
        <v>1</v>
      </c>
    </row>
    <row r="8" spans="1:29" s="112" customFormat="1" ht="15.75" thickBot="1">
      <c r="A8" s="367" t="s">
        <v>2370</v>
      </c>
      <c r="B8" s="368"/>
      <c r="C8" s="373" t="s">
        <v>2472</v>
      </c>
      <c r="D8" s="370">
        <v>100</v>
      </c>
      <c r="E8" s="373" t="s">
        <v>4215</v>
      </c>
      <c r="F8" s="372">
        <f>SUMIF(49:49,E8,50:50)-SUMIF(49:49,C8,50:50)+100</f>
        <v>100</v>
      </c>
      <c r="G8" s="373" t="s">
        <v>4215</v>
      </c>
      <c r="H8" s="370">
        <f>SUMIF(49:49,G8,50:50)-SUMIF(49:49,C8,50:50)+100</f>
        <v>100</v>
      </c>
      <c r="I8" s="373" t="s">
        <v>4215</v>
      </c>
      <c r="J8" s="370">
        <f>SUMIF(49:49,I8,50:50)-SUMIF(49:49,C8,50:50)+100</f>
        <v>100</v>
      </c>
      <c r="K8" s="567"/>
      <c r="L8" s="2939"/>
      <c r="M8" s="2940"/>
      <c r="N8" s="2940"/>
      <c r="O8" s="2940"/>
      <c r="P8" s="3501" t="s">
        <v>2372</v>
      </c>
      <c r="Q8" s="3502"/>
      <c r="R8" s="709" t="s">
        <v>17</v>
      </c>
      <c r="S8" s="710">
        <f t="shared" si="0"/>
        <v>100</v>
      </c>
      <c r="T8" s="709" t="s">
        <v>17</v>
      </c>
      <c r="U8" s="710">
        <f t="shared" si="1"/>
        <v>100</v>
      </c>
      <c r="V8" s="709" t="s">
        <v>17</v>
      </c>
      <c r="W8" s="710">
        <f t="shared" si="2"/>
        <v>100</v>
      </c>
      <c r="X8" s="711"/>
      <c r="Y8" s="3501" t="s">
        <v>2372</v>
      </c>
      <c r="Z8" s="3502"/>
      <c r="AA8" s="712">
        <f t="shared" ref="AA8:AA34" si="3">D8/F8</f>
        <v>1</v>
      </c>
      <c r="AB8" s="712">
        <f t="shared" ref="AB8:AB34" si="4">D8/H8</f>
        <v>1</v>
      </c>
      <c r="AC8" s="712">
        <f t="shared" ref="AC8:AC34" si="5">D8/J8</f>
        <v>1</v>
      </c>
    </row>
    <row r="9" spans="1:29" s="112" customFormat="1">
      <c r="A9" s="374" t="s">
        <v>2373</v>
      </c>
      <c r="B9" s="66" t="s">
        <v>2374</v>
      </c>
      <c r="C9" s="375"/>
      <c r="D9" s="130">
        <v>100</v>
      </c>
      <c r="E9" s="378"/>
      <c r="F9" s="377">
        <f>SUMIF(51:51,E9,52:52)-SUMIF(51:51,C9,52:52)+100</f>
        <v>100</v>
      </c>
      <c r="G9" s="378"/>
      <c r="H9" s="130">
        <f>SUMIF(51:51,G9,52:52)-SUMIF(51:51,C9,52:52)+100</f>
        <v>100</v>
      </c>
      <c r="I9" s="378"/>
      <c r="J9" s="130">
        <f>SUMIF(51:51,I9,52:52)-SUMIF(51:51,C9,52:52)+100</f>
        <v>100</v>
      </c>
      <c r="K9" s="567"/>
      <c r="L9" s="2939"/>
      <c r="M9" s="2940"/>
      <c r="N9" s="2940"/>
      <c r="O9" s="2994"/>
      <c r="P9" s="3515" t="s">
        <v>2375</v>
      </c>
      <c r="Q9" s="1525" t="str">
        <f t="shared" ref="Q9:Q14" si="6">B9</f>
        <v>用途</v>
      </c>
      <c r="R9" s="709" t="s">
        <v>17</v>
      </c>
      <c r="S9" s="710">
        <f t="shared" si="0"/>
        <v>100</v>
      </c>
      <c r="T9" s="709" t="s">
        <v>17</v>
      </c>
      <c r="U9" s="710">
        <f t="shared" si="1"/>
        <v>100</v>
      </c>
      <c r="V9" s="709" t="s">
        <v>17</v>
      </c>
      <c r="W9" s="710">
        <f t="shared" si="2"/>
        <v>100</v>
      </c>
      <c r="X9" s="711"/>
      <c r="Y9" s="3443" t="s">
        <v>2376</v>
      </c>
      <c r="Z9" s="54"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1"/>
      <c r="M10" s="2942"/>
      <c r="N10" s="2942"/>
      <c r="O10" s="2995"/>
      <c r="P10" s="3515"/>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712">
        <f t="shared" si="5"/>
        <v>1</v>
      </c>
    </row>
    <row r="11" spans="1:29" ht="15">
      <c r="A11" s="386"/>
      <c r="B11" s="2076">
        <v>111</v>
      </c>
      <c r="C11" s="390"/>
      <c r="D11" s="131">
        <v>100</v>
      </c>
      <c r="E11" s="427"/>
      <c r="F11" s="383">
        <f>SUMIF(55:55,E11,56:56)-SUMIF(55:55,C11,56:56)+100</f>
        <v>100</v>
      </c>
      <c r="G11" s="427"/>
      <c r="H11" s="131">
        <f>SUMIF(55:55,G11,56:56)-SUMIF(55:55,C11,56:56)+100</f>
        <v>100</v>
      </c>
      <c r="I11" s="427"/>
      <c r="J11" s="131">
        <f>SUMIF(55:55,I11,56:56)-SUMIF(55:55,C11,56:56)+100</f>
        <v>100</v>
      </c>
      <c r="K11" s="569"/>
      <c r="L11" s="2943"/>
      <c r="M11" s="2938"/>
      <c r="N11" s="2938"/>
      <c r="O11" s="2996"/>
      <c r="P11" s="3515"/>
      <c r="Q11" s="1525">
        <f t="shared" si="6"/>
        <v>111</v>
      </c>
      <c r="R11" s="709" t="s">
        <v>17</v>
      </c>
      <c r="S11" s="710">
        <f t="shared" si="0"/>
        <v>100</v>
      </c>
      <c r="T11" s="709" t="s">
        <v>17</v>
      </c>
      <c r="U11" s="710">
        <f t="shared" si="1"/>
        <v>100</v>
      </c>
      <c r="V11" s="709" t="s">
        <v>17</v>
      </c>
      <c r="W11" s="710">
        <f t="shared" si="2"/>
        <v>100</v>
      </c>
      <c r="X11" s="711"/>
      <c r="Y11" s="3443"/>
      <c r="Z11" s="54">
        <f t="shared" si="7"/>
        <v>111</v>
      </c>
      <c r="AA11" s="712">
        <f t="shared" si="3"/>
        <v>1</v>
      </c>
      <c r="AB11" s="712">
        <f t="shared" si="4"/>
        <v>1</v>
      </c>
      <c r="AC11" s="712">
        <f t="shared" si="5"/>
        <v>1</v>
      </c>
    </row>
    <row r="12" spans="1:29" s="112" customFormat="1" ht="15">
      <c r="A12" s="389"/>
      <c r="B12" s="2076">
        <v>111</v>
      </c>
      <c r="C12" s="390"/>
      <c r="D12" s="391">
        <v>100</v>
      </c>
      <c r="E12" s="427"/>
      <c r="F12" s="383">
        <f>SUMIF(57:57,E12,58:58)-SUMIF(57:57,C12,58:58)+100</f>
        <v>100</v>
      </c>
      <c r="G12" s="427"/>
      <c r="H12" s="131">
        <f>SUMIF(57:57,G12,58:58)-SUMIF(57:57,C12,58:58)+100</f>
        <v>100</v>
      </c>
      <c r="I12" s="427"/>
      <c r="J12" s="131">
        <f>SUMIF(57:57,I12,58:58)-SUMIF(57:57,C12,58:58)+100</f>
        <v>100</v>
      </c>
      <c r="K12" s="569"/>
      <c r="L12" s="2939"/>
      <c r="M12" s="2940"/>
      <c r="N12" s="2940"/>
      <c r="O12" s="2994"/>
      <c r="P12" s="3515"/>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712">
        <f>D12/J12</f>
        <v>1</v>
      </c>
    </row>
    <row r="13" spans="1:29" ht="15.75" thickBot="1">
      <c r="A13" s="386"/>
      <c r="B13" s="2076">
        <v>111</v>
      </c>
      <c r="C13" s="392"/>
      <c r="D13" s="393">
        <v>100</v>
      </c>
      <c r="E13" s="427"/>
      <c r="F13" s="383">
        <f>SUMIF(59:59,E13,60:60)-SUMIF(59:59,C13,60:60)+100</f>
        <v>100</v>
      </c>
      <c r="G13" s="2158"/>
      <c r="H13" s="396">
        <f>SUMIF(59:59,G13,60:60)-SUMIF(59:59,C13,60:60)+100</f>
        <v>100</v>
      </c>
      <c r="I13" s="427"/>
      <c r="J13" s="393">
        <f>SUMIF(59:59,I13,60:60)-SUMIF(59:59,C13,60:60)+100</f>
        <v>100</v>
      </c>
      <c r="K13" s="569"/>
      <c r="L13" s="2944"/>
      <c r="M13" s="2938"/>
      <c r="N13" s="2938"/>
      <c r="O13" s="2996"/>
      <c r="P13" s="3515"/>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712">
        <f t="shared" si="5"/>
        <v>1</v>
      </c>
    </row>
    <row r="14" spans="1:29" ht="15">
      <c r="A14" s="398" t="s">
        <v>2379</v>
      </c>
      <c r="B14" s="64" t="s">
        <v>2529</v>
      </c>
      <c r="C14" s="2154"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944"/>
      <c r="M14" s="2938"/>
      <c r="N14" s="2938"/>
      <c r="O14" s="2996"/>
      <c r="P14" s="3530" t="s">
        <v>2380</v>
      </c>
      <c r="Q14" s="1534" t="str">
        <f t="shared" si="6"/>
        <v>交通便捷度</v>
      </c>
      <c r="R14" s="713" t="s">
        <v>17</v>
      </c>
      <c r="S14" s="714">
        <f t="shared" si="0"/>
        <v>100</v>
      </c>
      <c r="T14" s="713" t="s">
        <v>17</v>
      </c>
      <c r="U14" s="714">
        <f t="shared" si="1"/>
        <v>100</v>
      </c>
      <c r="V14" s="713" t="s">
        <v>17</v>
      </c>
      <c r="W14" s="714">
        <f t="shared" si="2"/>
        <v>100</v>
      </c>
      <c r="X14" s="1537"/>
      <c r="Y14" s="3530" t="s">
        <v>2380</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4"/>
      <c r="M15" s="2938"/>
      <c r="N15" s="2938"/>
      <c r="O15" s="2996"/>
      <c r="P15" s="3531"/>
      <c r="Q15" s="1534"/>
      <c r="R15" s="713"/>
      <c r="S15" s="714"/>
      <c r="T15" s="713"/>
      <c r="U15" s="714"/>
      <c r="V15" s="713"/>
      <c r="W15" s="714"/>
      <c r="X15" s="1537"/>
      <c r="Y15" s="3531"/>
      <c r="Z15" s="1538"/>
      <c r="AA15" s="1535">
        <v>1</v>
      </c>
      <c r="AB15" s="1535">
        <v>1</v>
      </c>
      <c r="AC15" s="1535">
        <v>1</v>
      </c>
    </row>
    <row r="16" spans="1:29" ht="15">
      <c r="A16" s="386"/>
      <c r="B16" s="409" t="s">
        <v>2508</v>
      </c>
      <c r="C16" s="2083"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944"/>
      <c r="M16" s="2938"/>
      <c r="N16" s="2938"/>
      <c r="O16" s="2996"/>
      <c r="P16" s="3531"/>
      <c r="Q16" s="1534" t="str">
        <f>B16</f>
        <v>公共配套设施</v>
      </c>
      <c r="R16" s="713" t="s">
        <v>17</v>
      </c>
      <c r="S16" s="714">
        <f>F16</f>
        <v>100</v>
      </c>
      <c r="T16" s="713" t="s">
        <v>17</v>
      </c>
      <c r="U16" s="714">
        <f>H16</f>
        <v>100</v>
      </c>
      <c r="V16" s="713" t="s">
        <v>17</v>
      </c>
      <c r="W16" s="714">
        <f>J16</f>
        <v>100</v>
      </c>
      <c r="X16" s="1537"/>
      <c r="Y16" s="3531"/>
      <c r="Z16" s="1538" t="str">
        <f>Q16</f>
        <v>公共配套设施</v>
      </c>
      <c r="AA16" s="1535">
        <f t="shared" si="3"/>
        <v>1</v>
      </c>
      <c r="AB16" s="1535">
        <f t="shared" si="4"/>
        <v>1</v>
      </c>
      <c r="AC16" s="1535">
        <f t="shared" si="5"/>
        <v>1</v>
      </c>
    </row>
    <row r="17" spans="1:29" ht="15">
      <c r="A17" s="386"/>
      <c r="B17" s="414"/>
      <c r="C17" s="2084"/>
      <c r="D17" s="406"/>
      <c r="E17" s="405"/>
      <c r="F17" s="407"/>
      <c r="G17" s="405"/>
      <c r="H17" s="406"/>
      <c r="I17" s="405"/>
      <c r="J17" s="406"/>
      <c r="K17" s="571"/>
      <c r="L17" s="2944"/>
      <c r="M17" s="2938"/>
      <c r="N17" s="2938"/>
      <c r="O17" s="2996"/>
      <c r="P17" s="3531"/>
      <c r="Q17" s="1534"/>
      <c r="R17" s="713"/>
      <c r="S17" s="714"/>
      <c r="T17" s="713"/>
      <c r="U17" s="714"/>
      <c r="V17" s="713"/>
      <c r="W17" s="714"/>
      <c r="X17" s="1537"/>
      <c r="Y17" s="3531"/>
      <c r="Z17" s="1538"/>
      <c r="AA17" s="1535">
        <v>1</v>
      </c>
      <c r="AB17" s="1535">
        <v>1</v>
      </c>
      <c r="AC17" s="1535">
        <v>1</v>
      </c>
    </row>
    <row r="18" spans="1:29" ht="15">
      <c r="A18" s="386"/>
      <c r="B18" s="1292" t="s">
        <v>2509</v>
      </c>
      <c r="C18" s="2083"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4"/>
      <c r="M18" s="2938"/>
      <c r="N18" s="2938"/>
      <c r="O18" s="2996"/>
      <c r="P18" s="3531"/>
      <c r="Q18" s="1534" t="str">
        <f>B18</f>
        <v>基础设施水平</v>
      </c>
      <c r="R18" s="713" t="s">
        <v>17</v>
      </c>
      <c r="S18" s="714">
        <f>F18</f>
        <v>100</v>
      </c>
      <c r="T18" s="713" t="s">
        <v>17</v>
      </c>
      <c r="U18" s="714">
        <f>H18</f>
        <v>100</v>
      </c>
      <c r="V18" s="713" t="s">
        <v>17</v>
      </c>
      <c r="W18" s="714">
        <f>J18</f>
        <v>100</v>
      </c>
      <c r="X18" s="1537"/>
      <c r="Y18" s="3531"/>
      <c r="Z18" s="1538" t="str">
        <f>Q18</f>
        <v>基础设施水平</v>
      </c>
      <c r="AA18" s="1535">
        <f t="shared" ref="AA18" si="8">D18/F18</f>
        <v>1</v>
      </c>
      <c r="AB18" s="1535">
        <f t="shared" ref="AB18" si="9">D18/H18</f>
        <v>1</v>
      </c>
      <c r="AC18" s="1535">
        <f t="shared" ref="AC18" si="10">D18/J18</f>
        <v>1</v>
      </c>
    </row>
    <row r="19" spans="1:29" ht="15">
      <c r="A19" s="386"/>
      <c r="B19" s="1292"/>
      <c r="C19" s="2084"/>
      <c r="D19" s="408"/>
      <c r="E19" s="2084"/>
      <c r="F19" s="411"/>
      <c r="G19" s="2084"/>
      <c r="H19" s="406"/>
      <c r="I19" s="405"/>
      <c r="J19" s="406"/>
      <c r="K19" s="1291"/>
      <c r="L19" s="2944"/>
      <c r="M19" s="2938"/>
      <c r="N19" s="2938"/>
      <c r="O19" s="2996"/>
      <c r="P19" s="3531"/>
      <c r="Q19" s="1534"/>
      <c r="R19" s="713"/>
      <c r="S19" s="714"/>
      <c r="T19" s="713"/>
      <c r="U19" s="714"/>
      <c r="V19" s="713"/>
      <c r="W19" s="714"/>
      <c r="X19" s="1537"/>
      <c r="Y19" s="3531"/>
      <c r="Z19" s="1538"/>
      <c r="AA19" s="1535">
        <v>1</v>
      </c>
      <c r="AB19" s="1535">
        <v>1</v>
      </c>
      <c r="AC19" s="1535">
        <v>1</v>
      </c>
    </row>
    <row r="20" spans="1:29" ht="15">
      <c r="A20" s="386"/>
      <c r="B20" s="409" t="s">
        <v>2530</v>
      </c>
      <c r="C20" s="2083"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44"/>
      <c r="M20" s="2938"/>
      <c r="N20" s="2938"/>
      <c r="O20" s="2996"/>
      <c r="P20" s="3531"/>
      <c r="Q20" s="1534" t="str">
        <f>B20</f>
        <v>自然及人文环境</v>
      </c>
      <c r="R20" s="713" t="s">
        <v>17</v>
      </c>
      <c r="S20" s="714">
        <f>F20</f>
        <v>100</v>
      </c>
      <c r="T20" s="713" t="s">
        <v>17</v>
      </c>
      <c r="U20" s="714">
        <f>H20</f>
        <v>100</v>
      </c>
      <c r="V20" s="713" t="s">
        <v>17</v>
      </c>
      <c r="W20" s="714">
        <f>J20</f>
        <v>100</v>
      </c>
      <c r="X20" s="1537"/>
      <c r="Y20" s="3531"/>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4"/>
      <c r="M21" s="2938"/>
      <c r="N21" s="2938"/>
      <c r="O21" s="2996"/>
      <c r="P21" s="3531"/>
      <c r="Q21" s="1534"/>
      <c r="R21" s="713"/>
      <c r="S21" s="714"/>
      <c r="T21" s="713"/>
      <c r="U21" s="714"/>
      <c r="V21" s="713"/>
      <c r="W21" s="714"/>
      <c r="X21" s="1537"/>
      <c r="Y21" s="3531"/>
      <c r="Z21" s="1538"/>
      <c r="AA21" s="1535">
        <v>1</v>
      </c>
      <c r="AB21" s="1535">
        <v>1</v>
      </c>
      <c r="AC21" s="1535">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44"/>
      <c r="M22" s="2938"/>
      <c r="N22" s="2938"/>
      <c r="O22" s="2996"/>
      <c r="P22" s="3531"/>
      <c r="Q22" s="1534" t="str">
        <f>B22</f>
        <v>楼层</v>
      </c>
      <c r="R22" s="713" t="s">
        <v>17</v>
      </c>
      <c r="S22" s="714">
        <f>F22</f>
        <v>100</v>
      </c>
      <c r="T22" s="713" t="s">
        <v>17</v>
      </c>
      <c r="U22" s="714">
        <f>H22</f>
        <v>100</v>
      </c>
      <c r="V22" s="713" t="s">
        <v>17</v>
      </c>
      <c r="W22" s="714">
        <f>J22</f>
        <v>100</v>
      </c>
      <c r="X22" s="1537"/>
      <c r="Y22" s="3531"/>
      <c r="Z22" s="1538" t="str">
        <f>Q22</f>
        <v>楼层</v>
      </c>
      <c r="AA22" s="1535">
        <f t="shared" si="3"/>
        <v>1</v>
      </c>
      <c r="AB22" s="1535">
        <f t="shared" si="4"/>
        <v>1</v>
      </c>
      <c r="AC22" s="1535">
        <f t="shared" si="5"/>
        <v>1</v>
      </c>
    </row>
    <row r="23" spans="1:29" ht="15">
      <c r="A23" s="363"/>
      <c r="B23" s="2076">
        <v>111</v>
      </c>
      <c r="C23" s="390"/>
      <c r="D23" s="393">
        <v>100</v>
      </c>
      <c r="E23" s="392"/>
      <c r="F23" s="419">
        <f>SUMIF(71:71,E23,72:72)-SUMIF(71:71,C23,72:72)+100</f>
        <v>100</v>
      </c>
      <c r="G23" s="392"/>
      <c r="H23" s="393">
        <f>SUMIF(71:71,G23,72:72)-SUMIF(71:71,C23,72:72)+100</f>
        <v>100</v>
      </c>
      <c r="I23" s="392"/>
      <c r="J23" s="393">
        <f>SUMIF(71:71,I23,72:72)-SUMIF(71:71,C23,72:72)+100</f>
        <v>100</v>
      </c>
      <c r="K23" s="569"/>
      <c r="L23" s="2944"/>
      <c r="M23" s="2938"/>
      <c r="N23" s="2938"/>
      <c r="O23" s="2996"/>
      <c r="P23" s="3531"/>
      <c r="Q23" s="1534">
        <f>B23</f>
        <v>111</v>
      </c>
      <c r="R23" s="713" t="s">
        <v>17</v>
      </c>
      <c r="S23" s="714">
        <f>F23</f>
        <v>100</v>
      </c>
      <c r="T23" s="713" t="s">
        <v>17</v>
      </c>
      <c r="U23" s="714">
        <f>H23</f>
        <v>100</v>
      </c>
      <c r="V23" s="713" t="s">
        <v>17</v>
      </c>
      <c r="W23" s="714">
        <f>J23</f>
        <v>100</v>
      </c>
      <c r="X23" s="1537"/>
      <c r="Y23" s="3531"/>
      <c r="Z23" s="1538">
        <f>Q23</f>
        <v>111</v>
      </c>
      <c r="AA23" s="1535">
        <f t="shared" si="3"/>
        <v>1</v>
      </c>
      <c r="AB23" s="1535">
        <f t="shared" si="4"/>
        <v>1</v>
      </c>
      <c r="AC23" s="1535">
        <f t="shared" si="5"/>
        <v>1</v>
      </c>
    </row>
    <row r="24" spans="1:29" ht="15">
      <c r="A24" s="386"/>
      <c r="B24" s="2076">
        <v>111</v>
      </c>
      <c r="C24" s="390"/>
      <c r="D24" s="393">
        <v>100</v>
      </c>
      <c r="E24" s="392"/>
      <c r="F24" s="419">
        <f>SUMIF(73:73,E24,74:74)-SUMIF(73:73,C24,74:74)+100</f>
        <v>100</v>
      </c>
      <c r="G24" s="392"/>
      <c r="H24" s="393">
        <f>SUMIF(73:73,G24,74:74)-SUMIF(73:73,C24,74:74)+100</f>
        <v>100</v>
      </c>
      <c r="I24" s="392"/>
      <c r="J24" s="393">
        <f>SUMIF(73:73,I24,74:74)-SUMIF(73:73,C24,74:74)+100</f>
        <v>100</v>
      </c>
      <c r="K24" s="569"/>
      <c r="L24" s="2944"/>
      <c r="M24" s="2938"/>
      <c r="N24" s="2938"/>
      <c r="O24" s="2996"/>
      <c r="P24" s="3531"/>
      <c r="Q24" s="1534">
        <f t="shared" ref="Q24:Q34" si="11">B24</f>
        <v>111</v>
      </c>
      <c r="R24" s="713" t="s">
        <v>17</v>
      </c>
      <c r="S24" s="714">
        <f>F24</f>
        <v>100</v>
      </c>
      <c r="T24" s="713" t="s">
        <v>17</v>
      </c>
      <c r="U24" s="714">
        <f>H24</f>
        <v>100</v>
      </c>
      <c r="V24" s="713" t="s">
        <v>17</v>
      </c>
      <c r="W24" s="714">
        <f>J24</f>
        <v>100</v>
      </c>
      <c r="X24" s="1537"/>
      <c r="Y24" s="3531"/>
      <c r="Z24" s="1538">
        <f>Q24</f>
        <v>111</v>
      </c>
      <c r="AA24" s="1535">
        <f t="shared" si="3"/>
        <v>1</v>
      </c>
      <c r="AB24" s="1535">
        <f t="shared" si="4"/>
        <v>1</v>
      </c>
      <c r="AC24" s="1535">
        <f t="shared" si="5"/>
        <v>1</v>
      </c>
    </row>
    <row r="25" spans="1:29" s="112" customFormat="1" ht="15.75" thickBot="1">
      <c r="A25" s="389"/>
      <c r="B25" s="2076">
        <v>111</v>
      </c>
      <c r="C25" s="2159"/>
      <c r="D25" s="620">
        <v>100</v>
      </c>
      <c r="E25" s="2159"/>
      <c r="F25" s="621">
        <f>SUMIF(75:75,E25,76:76)-SUMIF(75:75,C25,76:76)+100</f>
        <v>100</v>
      </c>
      <c r="G25" s="2159"/>
      <c r="H25" s="620">
        <f>SUMIF(75:75,G25,76:76)-SUMIF(75:75,C25,76:76)+100</f>
        <v>100</v>
      </c>
      <c r="I25" s="2159"/>
      <c r="J25" s="620">
        <f>SUMIF(75:75,I25,76:76)-SUMIF(75:75,C25,76:76)+100</f>
        <v>100</v>
      </c>
      <c r="K25" s="569"/>
      <c r="L25" s="2939"/>
      <c r="M25" s="2940"/>
      <c r="N25" s="2940"/>
      <c r="O25" s="2994"/>
      <c r="P25" s="3531"/>
      <c r="Q25" s="1525">
        <f t="shared" si="11"/>
        <v>111</v>
      </c>
      <c r="R25" s="709" t="s">
        <v>17</v>
      </c>
      <c r="S25" s="710">
        <f>F25</f>
        <v>100</v>
      </c>
      <c r="T25" s="709" t="s">
        <v>17</v>
      </c>
      <c r="U25" s="710">
        <f>H25</f>
        <v>100</v>
      </c>
      <c r="V25" s="709" t="s">
        <v>17</v>
      </c>
      <c r="W25" s="710">
        <f>J25</f>
        <v>100</v>
      </c>
      <c r="X25" s="711"/>
      <c r="Y25" s="3531"/>
      <c r="Z25" s="54">
        <f>Q25</f>
        <v>111</v>
      </c>
      <c r="AA25" s="1535">
        <f>D25/F25</f>
        <v>1</v>
      </c>
      <c r="AB25" s="1535">
        <f>D25/H25</f>
        <v>1</v>
      </c>
      <c r="AC25" s="1535">
        <f>D25/J25</f>
        <v>1</v>
      </c>
    </row>
    <row r="26" spans="1:29" ht="28.5">
      <c r="A26" s="424" t="s">
        <v>2383</v>
      </c>
      <c r="B26" s="66" t="s">
        <v>2534</v>
      </c>
      <c r="C26" s="2150"/>
      <c r="D26" s="425">
        <v>100</v>
      </c>
      <c r="E26" s="2150"/>
      <c r="F26" s="622">
        <f>SUMIF(77:77,E26,78:78)-SUMIF(77:77,C26,78:78)+100</f>
        <v>100</v>
      </c>
      <c r="G26" s="2150"/>
      <c r="H26" s="425">
        <f>SUMIF(77:77,G26,78:78)-SUMIF(77:77,C26,78:78)+100</f>
        <v>100</v>
      </c>
      <c r="I26" s="2150"/>
      <c r="J26" s="425">
        <f>SUMIF(77:77,I26,78:78)-SUMIF(77:77,C26,78:78)+100</f>
        <v>100</v>
      </c>
      <c r="K26" s="568"/>
      <c r="L26" s="2944"/>
      <c r="M26" s="2938"/>
      <c r="N26" s="2938"/>
      <c r="O26" s="2996"/>
      <c r="P26" s="3532" t="s">
        <v>2385</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533" t="s">
        <v>2385</v>
      </c>
      <c r="Z26" s="1538" t="str">
        <f t="shared" ref="Z26:Z34" si="15">Q26</f>
        <v>公共部分装修</v>
      </c>
      <c r="AA26" s="1535">
        <f t="shared" si="3"/>
        <v>1</v>
      </c>
      <c r="AB26" s="1535">
        <f t="shared" si="4"/>
        <v>1</v>
      </c>
      <c r="AC26" s="1535">
        <f t="shared" si="5"/>
        <v>1</v>
      </c>
    </row>
    <row r="27" spans="1:29" s="429" customFormat="1" ht="15">
      <c r="A27" s="426"/>
      <c r="B27" s="380" t="s">
        <v>2535</v>
      </c>
      <c r="C27" s="432">
        <v>1</v>
      </c>
      <c r="D27" s="131">
        <v>100</v>
      </c>
      <c r="E27" s="433">
        <v>1</v>
      </c>
      <c r="F27" s="419">
        <f>LOOKUP(E27,80:80,81:81)-LOOKUP(C27,80:80,81:81)+100</f>
        <v>100</v>
      </c>
      <c r="G27" s="434">
        <v>1</v>
      </c>
      <c r="H27" s="393">
        <f>LOOKUP(G27,80:80,81:81)-LOOKUP(C27,80:80,81:81)+100</f>
        <v>100</v>
      </c>
      <c r="I27" s="434">
        <v>1</v>
      </c>
      <c r="J27" s="393">
        <f>LOOKUP(I27,80:80,81:81)-LOOKUP(C27,80:80,81:81)+100</f>
        <v>100</v>
      </c>
      <c r="K27" s="568"/>
      <c r="L27" s="2943"/>
      <c r="M27" s="2945"/>
      <c r="N27" s="2945"/>
      <c r="O27" s="2997"/>
      <c r="P27" s="3533"/>
      <c r="Q27" s="715" t="str">
        <f t="shared" si="11"/>
        <v>成新率</v>
      </c>
      <c r="R27" s="716" t="s">
        <v>17</v>
      </c>
      <c r="S27" s="717">
        <f t="shared" si="12"/>
        <v>100</v>
      </c>
      <c r="T27" s="716" t="s">
        <v>17</v>
      </c>
      <c r="U27" s="717">
        <f t="shared" si="13"/>
        <v>100</v>
      </c>
      <c r="V27" s="716" t="s">
        <v>17</v>
      </c>
      <c r="W27" s="717">
        <f t="shared" si="14"/>
        <v>100</v>
      </c>
      <c r="X27" s="718"/>
      <c r="Y27" s="3533"/>
      <c r="Z27" s="719" t="str">
        <f t="shared" si="15"/>
        <v>成新率</v>
      </c>
      <c r="AA27" s="1535">
        <f t="shared" si="3"/>
        <v>1</v>
      </c>
      <c r="AB27" s="1535">
        <f t="shared" si="4"/>
        <v>1</v>
      </c>
      <c r="AC27" s="1535">
        <f t="shared" si="5"/>
        <v>1</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44"/>
      <c r="M28" s="2938"/>
      <c r="N28" s="2938"/>
      <c r="O28" s="2996"/>
      <c r="P28" s="3533"/>
      <c r="Q28" s="1534" t="str">
        <f t="shared" si="11"/>
        <v>物业等级</v>
      </c>
      <c r="R28" s="713" t="s">
        <v>17</v>
      </c>
      <c r="S28" s="714">
        <f t="shared" si="12"/>
        <v>100</v>
      </c>
      <c r="T28" s="713" t="s">
        <v>17</v>
      </c>
      <c r="U28" s="714">
        <f t="shared" si="13"/>
        <v>100</v>
      </c>
      <c r="V28" s="713" t="s">
        <v>17</v>
      </c>
      <c r="W28" s="714">
        <f t="shared" si="14"/>
        <v>100</v>
      </c>
      <c r="X28" s="1537"/>
      <c r="Y28" s="3533"/>
      <c r="Z28" s="1538" t="str">
        <f t="shared" si="15"/>
        <v>物业等级</v>
      </c>
      <c r="AA28" s="1535">
        <f t="shared" si="3"/>
        <v>1</v>
      </c>
      <c r="AB28" s="1535">
        <f t="shared" si="4"/>
        <v>1</v>
      </c>
      <c r="AC28" s="1535">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44"/>
      <c r="M29" s="2938"/>
      <c r="N29" s="2938"/>
      <c r="O29" s="2996"/>
      <c r="P29" s="3533"/>
      <c r="Q29" s="1534" t="str">
        <f t="shared" si="11"/>
        <v>有无电梯</v>
      </c>
      <c r="R29" s="713" t="s">
        <v>17</v>
      </c>
      <c r="S29" s="714">
        <f t="shared" si="12"/>
        <v>100</v>
      </c>
      <c r="T29" s="713" t="s">
        <v>17</v>
      </c>
      <c r="U29" s="714">
        <f t="shared" si="13"/>
        <v>100</v>
      </c>
      <c r="V29" s="713" t="s">
        <v>17</v>
      </c>
      <c r="W29" s="714">
        <f t="shared" si="14"/>
        <v>100</v>
      </c>
      <c r="X29" s="1537"/>
      <c r="Y29" s="3533"/>
      <c r="Z29" s="1538" t="str">
        <f t="shared" si="15"/>
        <v>有无电梯</v>
      </c>
      <c r="AA29" s="1535">
        <f t="shared" si="3"/>
        <v>1</v>
      </c>
      <c r="AB29" s="1535">
        <f t="shared" si="4"/>
        <v>1</v>
      </c>
      <c r="AC29" s="1535">
        <f t="shared" si="5"/>
        <v>1</v>
      </c>
    </row>
    <row r="30" spans="1:29" ht="15">
      <c r="A30" s="430"/>
      <c r="B30" s="380" t="s">
        <v>2558</v>
      </c>
      <c r="C30" s="427">
        <v>0</v>
      </c>
      <c r="D30" s="393">
        <v>100</v>
      </c>
      <c r="E30" s="427">
        <v>0</v>
      </c>
      <c r="F30" s="419">
        <f>LOOKUP(E30,87:87,88:88)-LOOKUP(C30,87:87,88:88)+100</f>
        <v>100</v>
      </c>
      <c r="G30" s="427">
        <v>0</v>
      </c>
      <c r="H30" s="393">
        <f>LOOKUP(G30,87:87,88:88)-LOOKUP(C30,87:87,88:88)+100</f>
        <v>100</v>
      </c>
      <c r="I30" s="427">
        <v>0</v>
      </c>
      <c r="J30" s="393">
        <f>LOOKUP(I30,87:87,88:88)-LOOKUP(C30,87:87,88:88)+100</f>
        <v>100</v>
      </c>
      <c r="K30" s="569"/>
      <c r="L30" s="2944"/>
      <c r="M30" s="2938"/>
      <c r="N30" s="2938"/>
      <c r="O30" s="2996"/>
      <c r="P30" s="3533"/>
      <c r="Q30" s="1534" t="str">
        <f t="shared" si="11"/>
        <v>建筑面积</v>
      </c>
      <c r="R30" s="713" t="s">
        <v>17</v>
      </c>
      <c r="S30" s="714">
        <f t="shared" si="12"/>
        <v>100</v>
      </c>
      <c r="T30" s="713" t="s">
        <v>17</v>
      </c>
      <c r="U30" s="714">
        <f t="shared" si="13"/>
        <v>100</v>
      </c>
      <c r="V30" s="713" t="s">
        <v>17</v>
      </c>
      <c r="W30" s="714">
        <f t="shared" si="14"/>
        <v>100</v>
      </c>
      <c r="X30" s="1537"/>
      <c r="Y30" s="3533"/>
      <c r="Z30" s="1538" t="str">
        <f t="shared" si="15"/>
        <v>建筑面积</v>
      </c>
      <c r="AA30" s="1535">
        <f t="shared" si="3"/>
        <v>1</v>
      </c>
      <c r="AB30" s="1535">
        <f t="shared" si="4"/>
        <v>1</v>
      </c>
      <c r="AC30" s="1535">
        <f t="shared" si="5"/>
        <v>1</v>
      </c>
    </row>
    <row r="31" spans="1:29" s="112"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39"/>
      <c r="M31" s="2940"/>
      <c r="N31" s="2940"/>
      <c r="O31" s="2994"/>
      <c r="P31" s="3533"/>
      <c r="Q31" s="1525" t="str">
        <f t="shared" si="11"/>
        <v>是否封闭</v>
      </c>
      <c r="R31" s="709" t="s">
        <v>17</v>
      </c>
      <c r="S31" s="710">
        <f t="shared" si="12"/>
        <v>100</v>
      </c>
      <c r="T31" s="709" t="s">
        <v>17</v>
      </c>
      <c r="U31" s="710">
        <f t="shared" si="13"/>
        <v>100</v>
      </c>
      <c r="V31" s="709" t="s">
        <v>17</v>
      </c>
      <c r="W31" s="710">
        <f t="shared" si="14"/>
        <v>100</v>
      </c>
      <c r="X31" s="711"/>
      <c r="Y31" s="3533"/>
      <c r="Z31" s="54" t="str">
        <f t="shared" si="15"/>
        <v>是否封闭</v>
      </c>
      <c r="AA31" s="712">
        <f t="shared" si="3"/>
        <v>1</v>
      </c>
      <c r="AB31" s="712">
        <f t="shared" si="4"/>
        <v>1</v>
      </c>
      <c r="AC31" s="712">
        <f t="shared" si="5"/>
        <v>1</v>
      </c>
    </row>
    <row r="32" spans="1:29" ht="15">
      <c r="A32" s="430"/>
      <c r="B32" s="2076">
        <v>111</v>
      </c>
      <c r="C32" s="390"/>
      <c r="D32" s="393">
        <v>100</v>
      </c>
      <c r="E32" s="427"/>
      <c r="F32" s="419">
        <f>SUMIF(91:91,E32,92:92)-SUMIF(91:91,C32,92:92)+100</f>
        <v>100</v>
      </c>
      <c r="G32" s="427"/>
      <c r="H32" s="393">
        <f>SUMIF(91:91,G32,92:92)-SUMIF(91:91,C32,92:92)+100</f>
        <v>100</v>
      </c>
      <c r="I32" s="427"/>
      <c r="J32" s="393">
        <f>SUMIF(91:91,I32,92:92)-SUMIF(91:91,C32,92:92)+100</f>
        <v>100</v>
      </c>
      <c r="K32" s="569"/>
      <c r="L32" s="2944"/>
      <c r="M32" s="2938"/>
      <c r="N32" s="2938"/>
      <c r="O32" s="2996"/>
      <c r="P32" s="3533" t="s">
        <v>2385</v>
      </c>
      <c r="Q32" s="1534">
        <f t="shared" si="11"/>
        <v>111</v>
      </c>
      <c r="R32" s="713" t="s">
        <v>17</v>
      </c>
      <c r="S32" s="714">
        <f t="shared" si="12"/>
        <v>100</v>
      </c>
      <c r="T32" s="713" t="s">
        <v>17</v>
      </c>
      <c r="U32" s="714">
        <f t="shared" si="13"/>
        <v>100</v>
      </c>
      <c r="V32" s="713" t="s">
        <v>17</v>
      </c>
      <c r="W32" s="714">
        <f t="shared" si="14"/>
        <v>100</v>
      </c>
      <c r="X32" s="1537"/>
      <c r="Y32" s="3533" t="s">
        <v>2385</v>
      </c>
      <c r="Z32" s="1538">
        <f t="shared" si="15"/>
        <v>111</v>
      </c>
      <c r="AA32" s="1535">
        <f t="shared" si="3"/>
        <v>1</v>
      </c>
      <c r="AB32" s="1535">
        <f t="shared" si="4"/>
        <v>1</v>
      </c>
      <c r="AC32" s="1535">
        <f t="shared" si="5"/>
        <v>1</v>
      </c>
    </row>
    <row r="33" spans="1:30" ht="15">
      <c r="A33" s="430"/>
      <c r="B33" s="2076">
        <v>111</v>
      </c>
      <c r="C33" s="390"/>
      <c r="D33" s="393">
        <v>100</v>
      </c>
      <c r="E33" s="427"/>
      <c r="F33" s="419">
        <f>SUMIF(93:93,E33,94:94)-SUMIF(93:93,C33,94:94)+100</f>
        <v>100</v>
      </c>
      <c r="G33" s="427"/>
      <c r="H33" s="393">
        <f>SUMIF(93:93,G33,94:94)-SUMIF(93:93,C33,94:94)+100</f>
        <v>100</v>
      </c>
      <c r="I33" s="427"/>
      <c r="J33" s="393">
        <f>SUMIF(93:93,I33,94:94)-SUMIF(93:93,C33,94:94)+100</f>
        <v>100</v>
      </c>
      <c r="K33" s="569"/>
      <c r="L33" s="2944"/>
      <c r="M33" s="2938"/>
      <c r="N33" s="2938"/>
      <c r="O33" s="2996"/>
      <c r="P33" s="3533"/>
      <c r="Q33" s="1534">
        <f t="shared" si="11"/>
        <v>111</v>
      </c>
      <c r="R33" s="713" t="s">
        <v>17</v>
      </c>
      <c r="S33" s="714">
        <f t="shared" si="12"/>
        <v>100</v>
      </c>
      <c r="T33" s="713" t="s">
        <v>17</v>
      </c>
      <c r="U33" s="714">
        <f t="shared" si="13"/>
        <v>100</v>
      </c>
      <c r="V33" s="713" t="s">
        <v>17</v>
      </c>
      <c r="W33" s="714">
        <f t="shared" si="14"/>
        <v>100</v>
      </c>
      <c r="X33" s="1537"/>
      <c r="Y33" s="3533"/>
      <c r="Z33" s="1538">
        <f t="shared" si="15"/>
        <v>111</v>
      </c>
      <c r="AA33" s="1535">
        <f t="shared" si="3"/>
        <v>1</v>
      </c>
      <c r="AB33" s="1535">
        <f t="shared" si="4"/>
        <v>1</v>
      </c>
      <c r="AC33" s="1535">
        <f t="shared" si="5"/>
        <v>1</v>
      </c>
    </row>
    <row r="34" spans="1:30" ht="15.75" thickBot="1">
      <c r="A34" s="436"/>
      <c r="B34" s="2078">
        <v>111</v>
      </c>
      <c r="C34" s="395"/>
      <c r="D34" s="396">
        <v>100</v>
      </c>
      <c r="E34" s="2158"/>
      <c r="F34" s="397">
        <f>SUMIF(95:95,E34,96:96)-SUMIF(95:95,C34,96:96)+100</f>
        <v>100</v>
      </c>
      <c r="G34" s="2158"/>
      <c r="H34" s="396">
        <f>SUMIF(95:95,G34,96:96)-SUMIF(95:95,C34,96:96)+100</f>
        <v>100</v>
      </c>
      <c r="I34" s="2158"/>
      <c r="J34" s="396">
        <f>SUMIF(95:95,I34,96:96)-SUMIF(95:95,C34,96:96)+100</f>
        <v>100</v>
      </c>
      <c r="K34" s="569"/>
      <c r="L34" s="2944"/>
      <c r="M34" s="2938"/>
      <c r="N34" s="2938"/>
      <c r="O34" s="2996"/>
      <c r="P34" s="3533"/>
      <c r="Q34" s="1534">
        <f t="shared" si="11"/>
        <v>111</v>
      </c>
      <c r="R34" s="713" t="s">
        <v>17</v>
      </c>
      <c r="S34" s="714">
        <f t="shared" si="12"/>
        <v>100</v>
      </c>
      <c r="T34" s="713" t="s">
        <v>17</v>
      </c>
      <c r="U34" s="714">
        <f t="shared" si="13"/>
        <v>100</v>
      </c>
      <c r="V34" s="713" t="s">
        <v>17</v>
      </c>
      <c r="W34" s="714">
        <f t="shared" si="14"/>
        <v>100</v>
      </c>
      <c r="X34" s="1537"/>
      <c r="Y34" s="3533"/>
      <c r="Z34" s="1538">
        <f t="shared" si="15"/>
        <v>111</v>
      </c>
      <c r="AA34" s="1535">
        <f t="shared" si="3"/>
        <v>1</v>
      </c>
      <c r="AB34" s="1535">
        <f t="shared" si="4"/>
        <v>1</v>
      </c>
      <c r="AC34" s="1535">
        <f t="shared" si="5"/>
        <v>1</v>
      </c>
    </row>
    <row r="35" spans="1:30" ht="15">
      <c r="A35" s="437" t="s">
        <v>2397</v>
      </c>
      <c r="B35" s="438"/>
      <c r="C35" s="1315" t="s">
        <v>1</v>
      </c>
      <c r="D35" s="1316"/>
      <c r="E35" s="1317">
        <f>ROUND('比较法-住宅'!C48/2,0)</f>
        <v>26355</v>
      </c>
      <c r="F35" s="1318"/>
      <c r="G35" s="1319">
        <f>E35</f>
        <v>26355</v>
      </c>
      <c r="H35" s="1320"/>
      <c r="I35" s="1317">
        <f>E35</f>
        <v>26355</v>
      </c>
      <c r="J35" s="1320"/>
      <c r="K35" s="722"/>
      <c r="L35" s="2946"/>
      <c r="M35" s="2947"/>
      <c r="N35" s="2938"/>
      <c r="O35" s="2947"/>
      <c r="P35" s="3515" t="str">
        <f>A35</f>
        <v>成交单价（元/平方米）</v>
      </c>
      <c r="Q35" s="3515"/>
      <c r="R35" s="3550">
        <f>E35</f>
        <v>26355</v>
      </c>
      <c r="S35" s="3550"/>
      <c r="T35" s="3550">
        <f>G35</f>
        <v>26355</v>
      </c>
      <c r="U35" s="3550"/>
      <c r="V35" s="3550">
        <f>I35</f>
        <v>26355</v>
      </c>
      <c r="W35" s="3550"/>
      <c r="X35" s="698"/>
      <c r="Y35" s="720"/>
      <c r="Z35" s="698"/>
      <c r="AA35" s="698"/>
      <c r="AB35" s="698"/>
      <c r="AC35" s="698"/>
    </row>
    <row r="36" spans="1:30" ht="15.75" thickBot="1">
      <c r="A36" s="444" t="s">
        <v>2489</v>
      </c>
      <c r="B36" s="445"/>
      <c r="C36" s="1321">
        <f>R37</f>
        <v>26355</v>
      </c>
      <c r="D36" s="2535" t="s">
        <v>2880</v>
      </c>
      <c r="E36" s="1322">
        <f>R36</f>
        <v>26355</v>
      </c>
      <c r="F36" s="2536"/>
      <c r="G36" s="1321">
        <f>T36</f>
        <v>26355</v>
      </c>
      <c r="H36" s="2536"/>
      <c r="I36" s="1322">
        <f>V36</f>
        <v>26355</v>
      </c>
      <c r="J36" s="2536"/>
      <c r="K36" s="2538">
        <f>F36+H36+J36</f>
        <v>0</v>
      </c>
      <c r="L36" s="2946"/>
      <c r="M36" s="2947"/>
      <c r="N36" s="2938"/>
      <c r="O36" s="2947"/>
      <c r="P36" s="3515" t="str">
        <f>A36</f>
        <v>比较价值（元/平方米）</v>
      </c>
      <c r="Q36" s="3515"/>
      <c r="R36" s="3550">
        <f>IF(F1="售价",ROUND(PRODUCT(R35,AA7:AA34),0),ROUND(PRODUCT(R35,AA7:AA34),1))</f>
        <v>26355</v>
      </c>
      <c r="S36" s="3550"/>
      <c r="T36" s="3550">
        <f>IF(F1="售价",ROUND(PRODUCT(T35,AB7:AB34),0),ROUND(PRODUCT(T35,AB7:AB34),1))</f>
        <v>26355</v>
      </c>
      <c r="U36" s="3550"/>
      <c r="V36" s="3550">
        <f>IF(F1="售价",ROUND(PRODUCT(V35,AC7:AC34),0),ROUND(PRODUCT(V35,AC7:AC34),1))</f>
        <v>26355</v>
      </c>
      <c r="W36" s="3550"/>
      <c r="X36" s="698"/>
      <c r="Y36" s="698"/>
      <c r="Z36" s="698"/>
      <c r="AA36" s="698"/>
      <c r="AB36" s="698"/>
      <c r="AC36" s="698"/>
    </row>
    <row r="37" spans="1:30" ht="15.75" thickBot="1">
      <c r="A37" s="448" t="s">
        <v>2490</v>
      </c>
      <c r="B37" s="449"/>
      <c r="C37" s="1324">
        <f>R37</f>
        <v>26355</v>
      </c>
      <c r="D37" s="1324"/>
      <c r="E37" s="1324"/>
      <c r="F37" s="1324"/>
      <c r="G37" s="1324"/>
      <c r="H37" s="1324"/>
      <c r="I37" s="1324"/>
      <c r="J37" s="1324"/>
      <c r="K37" s="723"/>
      <c r="L37" s="2946"/>
      <c r="M37" s="2947"/>
      <c r="N37" s="2947"/>
      <c r="O37" s="2947"/>
      <c r="P37" s="3535" t="str">
        <f>A37</f>
        <v>估价对象XX用房的比较价值（楼面单价，元/平方米）</v>
      </c>
      <c r="Q37" s="3536"/>
      <c r="R37" s="3573">
        <f>IF(F1="售价",ROUND(IF(D36="简单平均",AVERAGE(R36:W36),R36*F36+T36*H36+V36*J36),0),ROUND(IF(D36="简单平均",AVERAGE(R36:V36),R36*F36+T36*H36+V36*J36),1))</f>
        <v>26355</v>
      </c>
      <c r="S37" s="3573"/>
      <c r="T37" s="3573"/>
      <c r="U37" s="3573"/>
      <c r="V37" s="3573"/>
      <c r="W37" s="3573"/>
      <c r="X37" s="698"/>
      <c r="Y37" s="698"/>
      <c r="Z37" s="698"/>
      <c r="AA37" s="698"/>
      <c r="AB37" s="698"/>
      <c r="AC37" s="698"/>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3" t="s">
        <v>2491</v>
      </c>
      <c r="D40" s="454"/>
      <c r="E40" s="455">
        <f>IF(E35&lt;E36,E36/E35-1,E35/E36-1)</f>
        <v>0</v>
      </c>
      <c r="F40" s="456" t="str">
        <f>IF(OR(E40&gt;=0.3,E40&lt;=-0.3),"超过30%","")</f>
        <v/>
      </c>
      <c r="G40" s="455">
        <f>IF(G35&lt;G36,G36/G35-1,G35/G36-1)</f>
        <v>0</v>
      </c>
      <c r="H40" s="456" t="str">
        <f>IF(OR(G40&gt;=0.3,G40&lt;=-0.3),"超过30%","")</f>
        <v/>
      </c>
      <c r="I40" s="455">
        <f>IF(I35&lt;I36,I36/I35-1,I35/I36-1)</f>
        <v>0</v>
      </c>
      <c r="J40" s="456" t="str">
        <f>IF(OR(I40&gt;=0.3,I40&lt;=-0.3),"超过30%","")</f>
        <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3" t="s">
        <v>2492</v>
      </c>
      <c r="D41" s="457"/>
      <c r="E41" s="455">
        <f>IF(E36&lt;G36,G36/E36-1,E36/G36-1)</f>
        <v>0</v>
      </c>
      <c r="F41" s="456" t="str">
        <f>IF(OR(E41&gt;=0.2,E41&lt;=-0.2),"超过20%","")</f>
        <v/>
      </c>
      <c r="G41" s="455">
        <f>IF(G36&lt;I36,I36/G36-1,G36/I36-1)</f>
        <v>0</v>
      </c>
      <c r="H41" s="456" t="str">
        <f>IF(OR(G41&gt;=0.2,G41&lt;=-0.2),"超过20%","")</f>
        <v/>
      </c>
      <c r="I41" s="455">
        <f>IF(I36&lt;E36,E36/I36-1,I36/E36-1)</f>
        <v>0</v>
      </c>
      <c r="J41" s="456" t="str">
        <f>IF(OR(I41&gt;=0.2,I41&lt;=-0.2),"超过20%","")</f>
        <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58" customFormat="1" ht="13.5" customHeight="1">
      <c r="A42" s="2950"/>
      <c r="B42" s="2950"/>
      <c r="C42" s="453" t="s">
        <v>2493</v>
      </c>
      <c r="D42" s="457"/>
      <c r="E42" s="455">
        <f>IF(E35&lt;G35,G35/E35-1,E35/G35-1)</f>
        <v>0</v>
      </c>
      <c r="F42" s="456" t="str">
        <f>IF(OR(E42&gt;=0.3,E42&lt;=-0.3),"超过30%","")</f>
        <v/>
      </c>
      <c r="G42" s="455">
        <f>IF(G35&lt;I35,I35/G35-1,G35/I35-1)</f>
        <v>0</v>
      </c>
      <c r="H42" s="456" t="str">
        <f>IF(OR(G42&gt;=0.3,G42&lt;=-0.3),"超过30%","")</f>
        <v/>
      </c>
      <c r="I42" s="455">
        <f>IF(I35&lt;E35,E35/I35-1,I35/E35-1)</f>
        <v>0</v>
      </c>
      <c r="J42" s="456" t="str">
        <f>IF(OR(I42&gt;=0.3,I42&lt;=-0.3),"超过30%","")</f>
        <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58"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2" t="s">
        <v>2494</v>
      </c>
      <c r="B45" s="698"/>
      <c r="C45" s="703"/>
      <c r="D45" s="703"/>
      <c r="E45" s="703"/>
      <c r="F45" s="704"/>
      <c r="G45" s="704"/>
      <c r="H45" s="703"/>
      <c r="I45" s="703"/>
      <c r="J45" s="703"/>
      <c r="K45" s="705"/>
      <c r="L45" s="706"/>
      <c r="M45" s="703"/>
      <c r="N45" s="2991"/>
      <c r="O45" s="2991"/>
      <c r="P45" s="2991"/>
      <c r="Q45" s="2961"/>
      <c r="R45" s="2947"/>
      <c r="S45" s="2947"/>
      <c r="T45" s="2947"/>
      <c r="U45" s="2947"/>
      <c r="V45" s="2947"/>
      <c r="W45" s="2947"/>
      <c r="X45" s="2947"/>
      <c r="Y45" s="2947"/>
      <c r="Z45" s="2947"/>
      <c r="AA45" s="2947"/>
      <c r="AB45" s="2947"/>
      <c r="AC45" s="2947"/>
      <c r="AD45" s="2947"/>
    </row>
    <row r="46" spans="1:30" s="464" customFormat="1" ht="15">
      <c r="A46" s="461" t="s">
        <v>2368</v>
      </c>
      <c r="B46" s="462"/>
      <c r="C46" s="1344" t="str">
        <f>YEAR(C7)&amp;"-"&amp;MONTH(C7)</f>
        <v>2021-10</v>
      </c>
      <c r="D46" s="1345">
        <f>EDATE(C46,-1)</f>
        <v>44440</v>
      </c>
      <c r="E46" s="1345">
        <f t="shared" ref="E46:O46" si="16">EDATE(D46,-1)</f>
        <v>44409</v>
      </c>
      <c r="F46" s="1345">
        <f t="shared" si="16"/>
        <v>44378</v>
      </c>
      <c r="G46" s="1345">
        <f t="shared" si="16"/>
        <v>44348</v>
      </c>
      <c r="H46" s="1345">
        <f t="shared" si="16"/>
        <v>44317</v>
      </c>
      <c r="I46" s="1345">
        <f t="shared" si="16"/>
        <v>44287</v>
      </c>
      <c r="J46" s="1345">
        <f t="shared" si="16"/>
        <v>44256</v>
      </c>
      <c r="K46" s="1345">
        <f t="shared" si="16"/>
        <v>44228</v>
      </c>
      <c r="L46" s="1345">
        <f t="shared" si="16"/>
        <v>44197</v>
      </c>
      <c r="M46" s="1345">
        <f t="shared" si="16"/>
        <v>44166</v>
      </c>
      <c r="N46" s="1345">
        <f t="shared" si="16"/>
        <v>44136</v>
      </c>
      <c r="O46" s="1345">
        <f t="shared" si="16"/>
        <v>44105</v>
      </c>
      <c r="P46" s="2998"/>
      <c r="Q46" s="2963"/>
      <c r="R46" s="2963"/>
      <c r="S46" s="2963"/>
      <c r="T46" s="2963"/>
      <c r="U46" s="2963"/>
      <c r="V46" s="2963"/>
      <c r="W46" s="2963"/>
      <c r="X46" s="2963"/>
      <c r="Y46" s="2963"/>
      <c r="Z46" s="2963"/>
      <c r="AA46" s="2963"/>
      <c r="AB46" s="2963"/>
      <c r="AC46" s="2963"/>
      <c r="AD46" s="2963"/>
    </row>
    <row r="47" spans="1:30" s="112" customFormat="1" ht="15">
      <c r="A47" s="465"/>
      <c r="B47" s="466"/>
      <c r="C47" s="1343">
        <v>100</v>
      </c>
      <c r="D47" s="468"/>
      <c r="E47" s="468"/>
      <c r="F47" s="468"/>
      <c r="G47" s="468"/>
      <c r="H47" s="468"/>
      <c r="I47" s="468"/>
      <c r="J47" s="468"/>
      <c r="K47" s="468"/>
      <c r="L47" s="468"/>
      <c r="M47" s="469"/>
      <c r="N47" s="468"/>
      <c r="O47" s="470"/>
      <c r="P47" s="2961"/>
      <c r="Q47" s="2882"/>
      <c r="R47" s="2882"/>
      <c r="S47" s="2882"/>
      <c r="T47" s="2882"/>
      <c r="U47" s="2882"/>
      <c r="V47" s="2882"/>
      <c r="W47" s="2882"/>
      <c r="X47" s="2882"/>
      <c r="Y47" s="2882"/>
      <c r="Z47" s="2882"/>
      <c r="AA47" s="2882"/>
      <c r="AB47" s="2882"/>
      <c r="AC47" s="2882"/>
      <c r="AD47" s="2882"/>
    </row>
    <row r="48" spans="1:30" s="112" customFormat="1" ht="15.75" thickBot="1">
      <c r="A48" s="471" t="s">
        <v>2405</v>
      </c>
      <c r="B48" s="472"/>
      <c r="C48" s="473"/>
      <c r="D48" s="474"/>
      <c r="E48" s="474"/>
      <c r="F48" s="474"/>
      <c r="G48" s="474"/>
      <c r="H48" s="474"/>
      <c r="I48" s="474"/>
      <c r="J48" s="474"/>
      <c r="K48" s="474"/>
      <c r="L48" s="474"/>
      <c r="M48" s="475"/>
      <c r="N48" s="474"/>
      <c r="O48" s="476"/>
      <c r="P48" s="2961"/>
      <c r="Q48" s="2961"/>
      <c r="R48" s="2882"/>
      <c r="S48" s="2882"/>
      <c r="T48" s="2882"/>
      <c r="U48" s="2882"/>
      <c r="V48" s="2882"/>
      <c r="W48" s="2882"/>
      <c r="X48" s="2882"/>
      <c r="Y48" s="2882"/>
      <c r="Z48" s="2882"/>
      <c r="AA48" s="2882"/>
      <c r="AB48" s="2882"/>
      <c r="AC48" s="2882"/>
      <c r="AD48" s="2882"/>
    </row>
    <row r="49" spans="1:30" s="112" customFormat="1" ht="15">
      <c r="A49" s="477" t="s">
        <v>2370</v>
      </c>
      <c r="B49" s="466"/>
      <c r="C49" s="478" t="s">
        <v>2472</v>
      </c>
      <c r="D49" s="479"/>
      <c r="E49" s="479"/>
      <c r="F49" s="479"/>
      <c r="G49" s="479"/>
      <c r="H49" s="479"/>
      <c r="I49" s="479"/>
      <c r="J49" s="479"/>
      <c r="K49" s="479"/>
      <c r="L49" s="480"/>
      <c r="M49" s="481"/>
      <c r="N49" s="2974"/>
      <c r="O49" s="2974"/>
      <c r="P49" s="2999"/>
      <c r="Q49" s="2961"/>
      <c r="R49" s="2882"/>
      <c r="S49" s="2882"/>
      <c r="T49" s="2882"/>
      <c r="U49" s="2882"/>
      <c r="V49" s="2882"/>
      <c r="W49" s="2882"/>
      <c r="X49" s="2882"/>
      <c r="Y49" s="2882"/>
      <c r="Z49" s="2882"/>
      <c r="AA49" s="2882"/>
      <c r="AB49" s="2882"/>
      <c r="AC49" s="2882"/>
      <c r="AD49" s="2882"/>
    </row>
    <row r="50" spans="1:30" s="112" customFormat="1" ht="15.75" thickBot="1">
      <c r="A50" s="477"/>
      <c r="B50" s="466"/>
      <c r="C50" s="594">
        <v>100</v>
      </c>
      <c r="D50" s="468"/>
      <c r="E50" s="468"/>
      <c r="F50" s="468"/>
      <c r="G50" s="468"/>
      <c r="H50" s="468"/>
      <c r="I50" s="468"/>
      <c r="J50" s="468"/>
      <c r="K50" s="468"/>
      <c r="L50" s="468"/>
      <c r="M50" s="470"/>
      <c r="N50" s="2974"/>
      <c r="O50" s="2974"/>
      <c r="P50" s="2961"/>
      <c r="Q50" s="2961"/>
      <c r="R50" s="2882"/>
      <c r="S50" s="2882"/>
      <c r="T50" s="2882"/>
      <c r="U50" s="2882"/>
      <c r="V50" s="2882"/>
      <c r="W50" s="2882"/>
      <c r="X50" s="2882"/>
      <c r="Y50" s="2882"/>
      <c r="Z50" s="2882"/>
      <c r="AA50" s="2882"/>
      <c r="AB50" s="2882"/>
      <c r="AC50" s="2882"/>
      <c r="AD50" s="2882"/>
    </row>
    <row r="51" spans="1:30">
      <c r="A51" s="483" t="s">
        <v>2408</v>
      </c>
      <c r="B51" s="484" t="s">
        <v>2374</v>
      </c>
      <c r="C51" s="485">
        <f>C9</f>
        <v>0</v>
      </c>
      <c r="D51" s="486"/>
      <c r="E51" s="486"/>
      <c r="F51" s="486"/>
      <c r="G51" s="486"/>
      <c r="H51" s="486"/>
      <c r="I51" s="486"/>
      <c r="J51" s="486"/>
      <c r="K51" s="487"/>
      <c r="L51" s="488"/>
      <c r="M51" s="489"/>
      <c r="N51" s="2975"/>
      <c r="O51" s="2975"/>
      <c r="P51" s="3000"/>
      <c r="Q51" s="2961"/>
      <c r="R51" s="2947"/>
      <c r="S51" s="2947"/>
      <c r="T51" s="2947"/>
      <c r="U51" s="2947"/>
      <c r="V51" s="2947"/>
      <c r="W51" s="2947"/>
      <c r="X51" s="2947"/>
      <c r="Y51" s="2947"/>
      <c r="Z51" s="2947"/>
      <c r="AA51" s="2947"/>
      <c r="AB51" s="2947"/>
      <c r="AC51" s="2947"/>
      <c r="AD51" s="2947"/>
    </row>
    <row r="52" spans="1:30" ht="15.75" thickBot="1">
      <c r="A52" s="490"/>
      <c r="B52" s="491"/>
      <c r="C52" s="492">
        <v>100</v>
      </c>
      <c r="D52" s="492"/>
      <c r="E52" s="492"/>
      <c r="F52" s="492"/>
      <c r="G52" s="492"/>
      <c r="H52" s="492"/>
      <c r="I52" s="492"/>
      <c r="J52" s="492"/>
      <c r="K52" s="492"/>
      <c r="L52" s="492"/>
      <c r="M52" s="493"/>
      <c r="N52" s="2976"/>
      <c r="O52" s="2976"/>
      <c r="P52" s="3000"/>
      <c r="Q52" s="2961"/>
      <c r="R52" s="2947"/>
      <c r="S52" s="2947"/>
      <c r="T52" s="2947"/>
      <c r="U52" s="2947"/>
      <c r="V52" s="2947"/>
      <c r="W52" s="2947"/>
      <c r="X52" s="2947"/>
      <c r="Y52" s="2947"/>
      <c r="Z52" s="2947"/>
      <c r="AA52" s="2947"/>
      <c r="AB52" s="2947"/>
      <c r="AC52" s="2947"/>
      <c r="AD52" s="2947"/>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75"/>
      <c r="O53" s="2975"/>
      <c r="P53" s="3000"/>
      <c r="Q53" s="2961"/>
      <c r="R53" s="2947"/>
      <c r="S53" s="2947"/>
      <c r="T53" s="2947"/>
      <c r="U53" s="2947"/>
      <c r="V53" s="2947"/>
      <c r="W53" s="2947"/>
      <c r="X53" s="2947"/>
      <c r="Y53" s="2947"/>
      <c r="Z53" s="2947"/>
      <c r="AA53" s="2947"/>
      <c r="AB53" s="2947"/>
      <c r="AC53" s="2947"/>
      <c r="AD53" s="294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6"/>
      <c r="O54" s="2976"/>
      <c r="P54" s="3000"/>
      <c r="Q54" s="2961"/>
      <c r="R54" s="2947"/>
      <c r="S54" s="2947"/>
      <c r="T54" s="2947"/>
      <c r="U54" s="2947"/>
      <c r="V54" s="2947"/>
      <c r="W54" s="2947"/>
      <c r="X54" s="2947"/>
      <c r="Y54" s="2947"/>
      <c r="Z54" s="2947"/>
      <c r="AA54" s="2947"/>
      <c r="AB54" s="2947"/>
      <c r="AC54" s="2947"/>
      <c r="AD54" s="2947"/>
    </row>
    <row r="55" spans="1:30" ht="15.75" thickTop="1">
      <c r="A55" s="490"/>
      <c r="B55" s="615">
        <f>B11</f>
        <v>111</v>
      </c>
      <c r="C55" s="505"/>
      <c r="D55" s="505"/>
      <c r="E55" s="505"/>
      <c r="F55" s="505"/>
      <c r="G55" s="505"/>
      <c r="H55" s="505"/>
      <c r="I55" s="505"/>
      <c r="J55" s="505"/>
      <c r="K55" s="506"/>
      <c r="L55" s="507"/>
      <c r="M55" s="508"/>
      <c r="N55" s="2975"/>
      <c r="O55" s="2975"/>
      <c r="P55" s="3000"/>
      <c r="Q55" s="2961"/>
      <c r="R55" s="2947"/>
      <c r="S55" s="2947"/>
      <c r="T55" s="2947"/>
      <c r="U55" s="2947"/>
      <c r="V55" s="2947"/>
      <c r="W55" s="2947"/>
      <c r="X55" s="2947"/>
      <c r="Y55" s="2947"/>
      <c r="Z55" s="2947"/>
      <c r="AA55" s="2947"/>
      <c r="AB55" s="2947"/>
      <c r="AC55" s="2947"/>
      <c r="AD55" s="2947"/>
    </row>
    <row r="56" spans="1:30" ht="15.75" thickBot="1">
      <c r="A56" s="490"/>
      <c r="B56" s="491"/>
      <c r="C56" s="516"/>
      <c r="D56" s="492"/>
      <c r="E56" s="492"/>
      <c r="F56" s="492"/>
      <c r="G56" s="492"/>
      <c r="H56" s="492"/>
      <c r="I56" s="492"/>
      <c r="J56" s="492"/>
      <c r="K56" s="492"/>
      <c r="L56" s="492"/>
      <c r="M56" s="493"/>
      <c r="N56" s="2976"/>
      <c r="O56" s="2976"/>
      <c r="P56" s="3000"/>
      <c r="Q56" s="2961"/>
      <c r="R56" s="2947"/>
      <c r="S56" s="2947"/>
      <c r="T56" s="2947"/>
      <c r="U56" s="2947"/>
      <c r="V56" s="2947"/>
      <c r="W56" s="2947"/>
      <c r="X56" s="2947"/>
      <c r="Y56" s="2947"/>
      <c r="Z56" s="2947"/>
      <c r="AA56" s="2947"/>
      <c r="AB56" s="2947"/>
      <c r="AC56" s="2947"/>
      <c r="AD56" s="2947"/>
    </row>
    <row r="57" spans="1:30" s="429" customFormat="1" ht="15.75" thickTop="1">
      <c r="A57" s="509"/>
      <c r="B57" s="494">
        <f>B12</f>
        <v>111</v>
      </c>
      <c r="C57" s="505"/>
      <c r="D57" s="505"/>
      <c r="E57" s="505"/>
      <c r="F57" s="505"/>
      <c r="G57" s="510"/>
      <c r="H57" s="511"/>
      <c r="I57" s="511"/>
      <c r="J57" s="511"/>
      <c r="K57" s="511"/>
      <c r="L57" s="512"/>
      <c r="M57" s="513"/>
      <c r="N57" s="2977"/>
      <c r="O57" s="2977"/>
      <c r="P57" s="3001"/>
      <c r="Q57" s="2968"/>
      <c r="R57" s="2969"/>
      <c r="S57" s="2969"/>
      <c r="T57" s="2969"/>
      <c r="U57" s="2969"/>
      <c r="V57" s="2969"/>
      <c r="W57" s="2969"/>
      <c r="X57" s="2969"/>
      <c r="Y57" s="2969"/>
      <c r="Z57" s="2969"/>
      <c r="AA57" s="2969"/>
      <c r="AB57" s="2969"/>
      <c r="AC57" s="2969"/>
      <c r="AD57" s="2969"/>
    </row>
    <row r="58" spans="1:30" s="429" customFormat="1" ht="15.75" thickBot="1">
      <c r="A58" s="509"/>
      <c r="B58" s="499"/>
      <c r="C58" s="516"/>
      <c r="D58" s="492"/>
      <c r="E58" s="492"/>
      <c r="F58" s="492"/>
      <c r="G58" s="492"/>
      <c r="H58" s="492"/>
      <c r="I58" s="492"/>
      <c r="J58" s="492"/>
      <c r="K58" s="492"/>
      <c r="L58" s="492"/>
      <c r="M58" s="493"/>
      <c r="N58" s="2976"/>
      <c r="O58" s="2976"/>
      <c r="P58" s="3001"/>
      <c r="Q58" s="2968"/>
      <c r="R58" s="2969"/>
      <c r="S58" s="2969"/>
      <c r="T58" s="2969"/>
      <c r="U58" s="2969"/>
      <c r="V58" s="2969"/>
      <c r="W58" s="2969"/>
      <c r="X58" s="2969"/>
      <c r="Y58" s="2969"/>
      <c r="Z58" s="2969"/>
      <c r="AA58" s="2969"/>
      <c r="AB58" s="2969"/>
      <c r="AC58" s="2969"/>
      <c r="AD58" s="2969"/>
    </row>
    <row r="59" spans="1:30" s="429" customFormat="1" ht="15.75" thickTop="1">
      <c r="A59" s="509"/>
      <c r="B59" s="494">
        <f>B13</f>
        <v>111</v>
      </c>
      <c r="C59" s="505"/>
      <c r="D59" s="505"/>
      <c r="E59" s="505"/>
      <c r="F59" s="505"/>
      <c r="G59" s="510"/>
      <c r="H59" s="511"/>
      <c r="I59" s="511"/>
      <c r="J59" s="511"/>
      <c r="K59" s="511"/>
      <c r="L59" s="512"/>
      <c r="M59" s="513"/>
      <c r="N59" s="2977"/>
      <c r="O59" s="2977"/>
      <c r="P59" s="2945"/>
      <c r="Q59" s="2971"/>
      <c r="R59" s="2969"/>
      <c r="S59" s="2969"/>
      <c r="T59" s="2969"/>
      <c r="U59" s="2969"/>
      <c r="V59" s="2969"/>
      <c r="W59" s="2969"/>
      <c r="X59" s="2969"/>
      <c r="Y59" s="2969"/>
      <c r="Z59" s="2969"/>
      <c r="AA59" s="2969"/>
      <c r="AB59" s="2969"/>
      <c r="AC59" s="2969"/>
      <c r="AD59" s="2969"/>
    </row>
    <row r="60" spans="1:30" s="429" customFormat="1" ht="15.75" thickBot="1">
      <c r="A60" s="509"/>
      <c r="B60" s="499"/>
      <c r="C60" s="516"/>
      <c r="D60" s="516"/>
      <c r="E60" s="516"/>
      <c r="F60" s="516"/>
      <c r="G60" s="516"/>
      <c r="H60" s="518"/>
      <c r="I60" s="518"/>
      <c r="J60" s="518"/>
      <c r="K60" s="518"/>
      <c r="L60" s="518"/>
      <c r="M60" s="519"/>
      <c r="N60" s="2977"/>
      <c r="O60" s="2977"/>
      <c r="P60" s="3001"/>
      <c r="Q60" s="2968"/>
      <c r="R60" s="2969"/>
      <c r="S60" s="2969"/>
      <c r="T60" s="2969"/>
      <c r="U60" s="2969"/>
      <c r="V60" s="2969"/>
      <c r="W60" s="2969"/>
      <c r="X60" s="2969"/>
      <c r="Y60" s="2969"/>
      <c r="Z60" s="2969"/>
      <c r="AA60" s="2969"/>
      <c r="AB60" s="2969"/>
      <c r="AC60" s="2969"/>
      <c r="AD60" s="2969"/>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75"/>
      <c r="O61" s="2975"/>
      <c r="P61" s="3002"/>
      <c r="Q61" s="2961"/>
      <c r="R61" s="2947"/>
      <c r="S61" s="2947"/>
      <c r="T61" s="2947"/>
      <c r="U61" s="2947"/>
      <c r="V61" s="2947"/>
      <c r="W61" s="2947"/>
      <c r="X61" s="2947"/>
      <c r="Y61" s="2947"/>
      <c r="Z61" s="2947"/>
      <c r="AA61" s="2947"/>
      <c r="AB61" s="2947"/>
      <c r="AC61" s="2947"/>
      <c r="AD61" s="294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6"/>
      <c r="O62" s="2976"/>
      <c r="P62" s="3000"/>
      <c r="Q62" s="2961"/>
      <c r="R62" s="2947"/>
      <c r="S62" s="2947"/>
      <c r="T62" s="2947"/>
      <c r="U62" s="2947"/>
      <c r="V62" s="2947"/>
      <c r="W62" s="2947"/>
      <c r="X62" s="2947"/>
      <c r="Y62" s="2947"/>
      <c r="Z62" s="2947"/>
      <c r="AA62" s="2947"/>
      <c r="AB62" s="2947"/>
      <c r="AC62" s="2947"/>
      <c r="AD62" s="2947"/>
    </row>
    <row r="63" spans="1:30" ht="27.75" thickTop="1">
      <c r="A63" s="490"/>
      <c r="B63" s="494" t="s">
        <v>2560</v>
      </c>
      <c r="C63" s="534" t="s">
        <v>2417</v>
      </c>
      <c r="D63" s="534" t="s">
        <v>2418</v>
      </c>
      <c r="E63" s="534" t="s">
        <v>2419</v>
      </c>
      <c r="F63" s="534" t="s">
        <v>2420</v>
      </c>
      <c r="G63" s="534" t="s">
        <v>2421</v>
      </c>
      <c r="H63" s="495"/>
      <c r="I63" s="495"/>
      <c r="J63" s="495"/>
      <c r="K63" s="496"/>
      <c r="L63" s="497"/>
      <c r="M63" s="498"/>
      <c r="N63" s="2975"/>
      <c r="O63" s="2975"/>
      <c r="P63" s="3000"/>
      <c r="Q63" s="2961"/>
      <c r="R63" s="2947"/>
      <c r="S63" s="2947"/>
      <c r="T63" s="2947"/>
      <c r="U63" s="2947"/>
      <c r="V63" s="2947"/>
      <c r="W63" s="2947"/>
      <c r="X63" s="2947"/>
      <c r="Y63" s="2947"/>
      <c r="Z63" s="2947"/>
      <c r="AA63" s="2947"/>
      <c r="AB63" s="2947"/>
      <c r="AC63" s="2947"/>
      <c r="AD63" s="294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6"/>
      <c r="O64" s="2976"/>
      <c r="P64" s="3000"/>
      <c r="Q64" s="2961"/>
      <c r="R64" s="2947"/>
      <c r="S64" s="2947"/>
      <c r="T64" s="2947"/>
      <c r="U64" s="2947"/>
      <c r="V64" s="2947"/>
      <c r="W64" s="2947"/>
      <c r="X64" s="2947"/>
      <c r="Y64" s="2947"/>
      <c r="Z64" s="2947"/>
      <c r="AA64" s="2947"/>
      <c r="AB64" s="2947"/>
      <c r="AC64" s="2947"/>
      <c r="AD64" s="2947"/>
    </row>
    <row r="65" spans="1:30" ht="15.75" thickTop="1">
      <c r="A65" s="490"/>
      <c r="B65" s="502" t="s">
        <v>2509</v>
      </c>
      <c r="C65" s="615" t="s">
        <v>2495</v>
      </c>
      <c r="D65" s="615" t="s">
        <v>2496</v>
      </c>
      <c r="E65" s="615" t="s">
        <v>2497</v>
      </c>
      <c r="F65" s="615" t="s">
        <v>2498</v>
      </c>
      <c r="G65" s="615" t="s">
        <v>2499</v>
      </c>
      <c r="H65" s="495"/>
      <c r="I65" s="495"/>
      <c r="J65" s="495"/>
      <c r="K65" s="495"/>
      <c r="L65" s="495"/>
      <c r="M65" s="1290"/>
      <c r="N65" s="2976"/>
      <c r="O65" s="2976"/>
      <c r="P65" s="3000"/>
      <c r="Q65" s="2961"/>
      <c r="R65" s="2947"/>
      <c r="S65" s="2947"/>
      <c r="T65" s="2947"/>
      <c r="U65" s="2947"/>
      <c r="V65" s="2947"/>
      <c r="W65" s="2947"/>
      <c r="X65" s="2947"/>
      <c r="Y65" s="2947"/>
      <c r="Z65" s="2947"/>
      <c r="AA65" s="2947"/>
      <c r="AB65" s="2947"/>
      <c r="AC65" s="2947"/>
      <c r="AD65" s="2947"/>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6"/>
      <c r="O66" s="2976"/>
      <c r="P66" s="3000"/>
      <c r="Q66" s="2961"/>
      <c r="R66" s="2947"/>
      <c r="S66" s="2947"/>
      <c r="T66" s="2947"/>
      <c r="U66" s="2947"/>
      <c r="V66" s="2947"/>
      <c r="W66" s="2947"/>
      <c r="X66" s="2947"/>
      <c r="Y66" s="2947"/>
      <c r="Z66" s="2947"/>
      <c r="AA66" s="2947"/>
      <c r="AB66" s="2947"/>
      <c r="AC66" s="2947"/>
      <c r="AD66" s="2947"/>
    </row>
    <row r="67" spans="1:30" ht="15.75" thickTop="1">
      <c r="A67" s="490"/>
      <c r="B67" s="494" t="s">
        <v>2429</v>
      </c>
      <c r="C67" s="534" t="s">
        <v>2417</v>
      </c>
      <c r="D67" s="534" t="s">
        <v>2418</v>
      </c>
      <c r="E67" s="534" t="s">
        <v>2419</v>
      </c>
      <c r="F67" s="534" t="s">
        <v>2420</v>
      </c>
      <c r="G67" s="534" t="s">
        <v>2421</v>
      </c>
      <c r="H67" s="495"/>
      <c r="I67" s="495"/>
      <c r="J67" s="495"/>
      <c r="K67" s="496"/>
      <c r="L67" s="497"/>
      <c r="M67" s="498"/>
      <c r="N67" s="2975"/>
      <c r="O67" s="2975"/>
      <c r="P67" s="3000"/>
      <c r="Q67" s="2961"/>
      <c r="R67" s="2947"/>
      <c r="S67" s="2947"/>
      <c r="T67" s="2947"/>
      <c r="U67" s="2947"/>
      <c r="V67" s="2947"/>
      <c r="W67" s="2947"/>
      <c r="X67" s="2947"/>
      <c r="Y67" s="2947"/>
      <c r="Z67" s="2947"/>
      <c r="AA67" s="2947"/>
      <c r="AB67" s="2947"/>
      <c r="AC67" s="2947"/>
      <c r="AD67" s="294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6"/>
      <c r="O68" s="2976"/>
      <c r="P68" s="3000"/>
      <c r="Q68" s="2961"/>
      <c r="R68" s="2947"/>
      <c r="S68" s="2947"/>
      <c r="T68" s="2947"/>
      <c r="U68" s="2947"/>
      <c r="V68" s="2947"/>
      <c r="W68" s="2947"/>
      <c r="X68" s="2947"/>
      <c r="Y68" s="2947"/>
      <c r="Z68" s="2947"/>
      <c r="AA68" s="2947"/>
      <c r="AB68" s="2947"/>
      <c r="AC68" s="2947"/>
      <c r="AD68" s="2947"/>
    </row>
    <row r="69" spans="1:30" ht="15.75" thickTop="1">
      <c r="A69" s="490"/>
      <c r="B69" s="494" t="s">
        <v>2549</v>
      </c>
      <c r="C69" s="510"/>
      <c r="D69" s="510"/>
      <c r="E69" s="510"/>
      <c r="F69" s="510"/>
      <c r="G69" s="510"/>
      <c r="H69" s="539"/>
      <c r="I69" s="539"/>
      <c r="J69" s="539"/>
      <c r="K69" s="540"/>
      <c r="L69" s="541"/>
      <c r="M69" s="542"/>
      <c r="N69" s="2975"/>
      <c r="O69" s="2975"/>
      <c r="P69" s="3000"/>
      <c r="Q69" s="2961"/>
      <c r="R69" s="2947"/>
      <c r="S69" s="2947"/>
      <c r="T69" s="2947"/>
      <c r="U69" s="2947"/>
      <c r="V69" s="2947"/>
      <c r="W69" s="2947"/>
      <c r="X69" s="2947"/>
      <c r="Y69" s="2947"/>
      <c r="Z69" s="2947"/>
      <c r="AA69" s="2947"/>
      <c r="AB69" s="2947"/>
      <c r="AC69" s="2947"/>
      <c r="AD69" s="2947"/>
    </row>
    <row r="70" spans="1:30" ht="15.75" thickBot="1">
      <c r="A70" s="490"/>
      <c r="B70" s="499"/>
      <c r="C70" s="500">
        <v>100</v>
      </c>
      <c r="D70" s="500">
        <f>C70-$K22</f>
        <v>100</v>
      </c>
      <c r="E70" s="500"/>
      <c r="F70" s="500"/>
      <c r="G70" s="500"/>
      <c r="H70" s="500"/>
      <c r="I70" s="500"/>
      <c r="J70" s="500"/>
      <c r="K70" s="500"/>
      <c r="L70" s="500"/>
      <c r="M70" s="501"/>
      <c r="N70" s="2976"/>
      <c r="O70" s="2976"/>
      <c r="P70" s="3000"/>
      <c r="Q70" s="2961"/>
      <c r="R70" s="2947"/>
      <c r="S70" s="2947"/>
      <c r="T70" s="2947"/>
      <c r="U70" s="2947"/>
      <c r="V70" s="2947"/>
      <c r="W70" s="2947"/>
      <c r="X70" s="2947"/>
      <c r="Y70" s="2947"/>
      <c r="Z70" s="2947"/>
      <c r="AA70" s="2947"/>
      <c r="AB70" s="2947"/>
      <c r="AC70" s="2947"/>
      <c r="AD70" s="2947"/>
    </row>
    <row r="71" spans="1:30" s="112" customFormat="1" ht="15.75" thickTop="1">
      <c r="A71" s="535"/>
      <c r="B71" s="494">
        <f>B23</f>
        <v>111</v>
      </c>
      <c r="C71" s="505"/>
      <c r="D71" s="505"/>
      <c r="E71" s="505"/>
      <c r="F71" s="505"/>
      <c r="G71" s="510"/>
      <c r="H71" s="510"/>
      <c r="I71" s="510"/>
      <c r="J71" s="510"/>
      <c r="K71" s="510"/>
      <c r="L71" s="536"/>
      <c r="M71" s="537"/>
      <c r="N71" s="2974"/>
      <c r="O71" s="2974"/>
      <c r="P71" s="3000"/>
      <c r="Q71" s="2961"/>
      <c r="R71" s="2882"/>
      <c r="S71" s="2882"/>
      <c r="T71" s="2882"/>
      <c r="U71" s="2882"/>
      <c r="V71" s="2882"/>
      <c r="W71" s="2882"/>
      <c r="X71" s="2882"/>
      <c r="Y71" s="2882"/>
      <c r="Z71" s="2882"/>
      <c r="AA71" s="2882"/>
      <c r="AB71" s="2882"/>
      <c r="AC71" s="2882"/>
      <c r="AD71" s="2882"/>
    </row>
    <row r="72" spans="1:30" s="112" customFormat="1" ht="15.75" thickBot="1">
      <c r="A72" s="535"/>
      <c r="B72" s="499"/>
      <c r="C72" s="516"/>
      <c r="D72" s="492"/>
      <c r="E72" s="492"/>
      <c r="F72" s="492"/>
      <c r="G72" s="492"/>
      <c r="H72" s="492"/>
      <c r="I72" s="492"/>
      <c r="J72" s="492"/>
      <c r="K72" s="492"/>
      <c r="L72" s="492"/>
      <c r="M72" s="493"/>
      <c r="N72" s="2976"/>
      <c r="O72" s="2976"/>
      <c r="P72" s="3000"/>
      <c r="Q72" s="2961"/>
      <c r="R72" s="2882"/>
      <c r="S72" s="2882"/>
      <c r="T72" s="2882"/>
      <c r="U72" s="2882"/>
      <c r="V72" s="2882"/>
      <c r="W72" s="2882"/>
      <c r="X72" s="2882"/>
      <c r="Y72" s="2882"/>
      <c r="Z72" s="2882"/>
      <c r="AA72" s="2882"/>
      <c r="AB72" s="2882"/>
      <c r="AC72" s="2882"/>
      <c r="AD72" s="2882"/>
    </row>
    <row r="73" spans="1:30" s="112" customFormat="1" ht="15.75" thickTop="1">
      <c r="A73" s="535"/>
      <c r="B73" s="494">
        <f>B24</f>
        <v>111</v>
      </c>
      <c r="C73" s="505"/>
      <c r="D73" s="505"/>
      <c r="E73" s="505"/>
      <c r="F73" s="505"/>
      <c r="G73" s="510"/>
      <c r="H73" s="510"/>
      <c r="I73" s="510"/>
      <c r="J73" s="510"/>
      <c r="K73" s="510"/>
      <c r="L73" s="510"/>
      <c r="M73" s="537"/>
      <c r="N73" s="2974"/>
      <c r="O73" s="2974"/>
      <c r="P73" s="3000"/>
      <c r="Q73" s="2961"/>
      <c r="R73" s="2882"/>
      <c r="S73" s="2882"/>
      <c r="T73" s="2882"/>
      <c r="U73" s="2882"/>
      <c r="V73" s="2882"/>
      <c r="W73" s="2882"/>
      <c r="X73" s="2882"/>
      <c r="Y73" s="2882"/>
      <c r="Z73" s="2882"/>
      <c r="AA73" s="2882"/>
      <c r="AB73" s="2882"/>
      <c r="AC73" s="2882"/>
      <c r="AD73" s="2882"/>
    </row>
    <row r="74" spans="1:30" s="112" customFormat="1" ht="15.75" thickBot="1">
      <c r="A74" s="535"/>
      <c r="B74" s="499"/>
      <c r="C74" s="516"/>
      <c r="D74" s="492"/>
      <c r="E74" s="492"/>
      <c r="F74" s="492"/>
      <c r="G74" s="492"/>
      <c r="H74" s="492"/>
      <c r="I74" s="492"/>
      <c r="J74" s="492"/>
      <c r="K74" s="492"/>
      <c r="L74" s="492"/>
      <c r="M74" s="493"/>
      <c r="N74" s="2976"/>
      <c r="O74" s="2976"/>
      <c r="P74" s="3000"/>
      <c r="Q74" s="2961"/>
      <c r="R74" s="2882"/>
      <c r="S74" s="2882"/>
      <c r="T74" s="2882"/>
      <c r="U74" s="2882"/>
      <c r="V74" s="2882"/>
      <c r="W74" s="2882"/>
      <c r="X74" s="2882"/>
      <c r="Y74" s="2882"/>
      <c r="Z74" s="2882"/>
      <c r="AA74" s="2882"/>
      <c r="AB74" s="2882"/>
      <c r="AC74" s="2882"/>
      <c r="AD74" s="2882"/>
    </row>
    <row r="75" spans="1:30" s="429" customFormat="1" ht="15.75" thickTop="1">
      <c r="A75" s="509"/>
      <c r="B75" s="494">
        <f>B25</f>
        <v>111</v>
      </c>
      <c r="C75" s="505"/>
      <c r="D75" s="505"/>
      <c r="E75" s="505"/>
      <c r="F75" s="505"/>
      <c r="G75" s="510"/>
      <c r="H75" s="511"/>
      <c r="I75" s="511"/>
      <c r="J75" s="511"/>
      <c r="K75" s="511"/>
      <c r="L75" s="512"/>
      <c r="M75" s="513"/>
      <c r="N75" s="2977"/>
      <c r="O75" s="2977"/>
      <c r="P75" s="3001"/>
      <c r="Q75" s="2968"/>
      <c r="R75" s="2969"/>
      <c r="S75" s="2969"/>
      <c r="T75" s="2969"/>
      <c r="U75" s="2969"/>
      <c r="V75" s="2969"/>
      <c r="W75" s="2969"/>
      <c r="X75" s="2969"/>
      <c r="Y75" s="2969"/>
      <c r="Z75" s="2969"/>
      <c r="AA75" s="2969"/>
      <c r="AB75" s="2969"/>
      <c r="AC75" s="2969"/>
      <c r="AD75" s="2969"/>
    </row>
    <row r="76" spans="1:30" s="429" customFormat="1" ht="15.75" thickBot="1">
      <c r="A76" s="509"/>
      <c r="B76" s="499"/>
      <c r="C76" s="516"/>
      <c r="D76" s="516"/>
      <c r="E76" s="516"/>
      <c r="F76" s="516"/>
      <c r="G76" s="492"/>
      <c r="H76" s="492"/>
      <c r="I76" s="492"/>
      <c r="J76" s="492"/>
      <c r="K76" s="492"/>
      <c r="L76" s="492"/>
      <c r="M76" s="493"/>
      <c r="N76" s="2977"/>
      <c r="O76" s="2977"/>
      <c r="P76" s="3001"/>
      <c r="Q76" s="2968"/>
      <c r="R76" s="2969"/>
      <c r="S76" s="2969"/>
      <c r="T76" s="2969"/>
      <c r="U76" s="2969"/>
      <c r="V76" s="2969"/>
      <c r="W76" s="2969"/>
      <c r="X76" s="2969"/>
      <c r="Y76" s="2969"/>
      <c r="Z76" s="2969"/>
      <c r="AA76" s="2969"/>
      <c r="AB76" s="2969"/>
      <c r="AC76" s="2969"/>
      <c r="AD76" s="2969"/>
    </row>
    <row r="77" spans="1:30" ht="15" thickTop="1">
      <c r="A77" s="483" t="s">
        <v>2383</v>
      </c>
      <c r="B77" s="484" t="s">
        <v>2436</v>
      </c>
      <c r="C77" s="510"/>
      <c r="D77" s="510"/>
      <c r="E77" s="486"/>
      <c r="F77" s="486"/>
      <c r="G77" s="486"/>
      <c r="H77" s="486"/>
      <c r="I77" s="486"/>
      <c r="J77" s="486"/>
      <c r="K77" s="487"/>
      <c r="L77" s="488"/>
      <c r="M77" s="489"/>
      <c r="N77" s="2975"/>
      <c r="O77" s="2975"/>
      <c r="P77" s="3000"/>
      <c r="Q77" s="2961"/>
      <c r="R77" s="2947"/>
      <c r="S77" s="2947"/>
      <c r="T77" s="2947"/>
      <c r="U77" s="2947"/>
      <c r="V77" s="2947"/>
      <c r="W77" s="2947"/>
      <c r="X77" s="2947"/>
      <c r="Y77" s="2947"/>
      <c r="Z77" s="2947"/>
      <c r="AA77" s="2947"/>
      <c r="AB77" s="2947"/>
      <c r="AC77" s="2947"/>
      <c r="AD77" s="294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4"/>
      <c r="O79" s="2974"/>
      <c r="P79" s="3000"/>
      <c r="Q79" s="2961"/>
      <c r="R79" s="2947"/>
      <c r="S79" s="2947"/>
      <c r="T79" s="2947"/>
      <c r="U79" s="2947"/>
      <c r="V79" s="2947"/>
      <c r="W79" s="2947"/>
      <c r="X79" s="2947"/>
      <c r="Y79" s="2947"/>
      <c r="Z79" s="2947"/>
      <c r="AA79" s="2947"/>
      <c r="AB79" s="2947"/>
      <c r="AC79" s="2947"/>
      <c r="AD79" s="2947"/>
    </row>
    <row r="80" spans="1:30" ht="15">
      <c r="A80" s="490"/>
      <c r="B80" s="502"/>
      <c r="C80" s="559">
        <v>0.5</v>
      </c>
      <c r="D80" s="559">
        <v>0.6</v>
      </c>
      <c r="E80" s="559">
        <v>0.7</v>
      </c>
      <c r="F80" s="559">
        <v>0.8</v>
      </c>
      <c r="G80" s="559">
        <v>0.9</v>
      </c>
      <c r="H80" s="559">
        <v>1.0001</v>
      </c>
      <c r="I80" s="615"/>
      <c r="J80" s="615"/>
      <c r="K80" s="623"/>
      <c r="L80" s="624"/>
      <c r="M80" s="625"/>
      <c r="N80" s="2974"/>
      <c r="O80" s="2974"/>
      <c r="P80" s="3000"/>
      <c r="Q80" s="2961"/>
      <c r="R80" s="2947"/>
      <c r="S80" s="2947"/>
      <c r="T80" s="2947"/>
      <c r="U80" s="2947"/>
      <c r="V80" s="2947"/>
      <c r="W80" s="2947"/>
      <c r="X80" s="2947"/>
      <c r="Y80" s="2947"/>
      <c r="Z80" s="2947"/>
      <c r="AA80" s="2947"/>
      <c r="AB80" s="2947"/>
      <c r="AC80" s="2947"/>
      <c r="AD80" s="294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5"/>
      <c r="B82" s="502" t="s">
        <v>2553</v>
      </c>
      <c r="C82" s="510"/>
      <c r="D82" s="510"/>
      <c r="E82" s="539"/>
      <c r="F82" s="539"/>
      <c r="G82" s="539"/>
      <c r="H82" s="539"/>
      <c r="I82" s="539"/>
      <c r="J82" s="539"/>
      <c r="K82" s="540"/>
      <c r="L82" s="541"/>
      <c r="M82" s="542"/>
      <c r="N82" s="2975"/>
      <c r="O82" s="2975"/>
      <c r="P82" s="3000"/>
      <c r="Q82" s="2961"/>
      <c r="R82" s="2947"/>
      <c r="S82" s="2947"/>
      <c r="T82" s="2947"/>
      <c r="U82" s="2947"/>
      <c r="V82" s="2947"/>
      <c r="W82" s="2947"/>
      <c r="X82" s="2947"/>
      <c r="Y82" s="2947"/>
      <c r="Z82" s="2947"/>
      <c r="AA82" s="2947"/>
      <c r="AB82" s="2947"/>
      <c r="AC82" s="2947"/>
      <c r="AD82" s="294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5"/>
      <c r="B84" s="494" t="s">
        <v>2561</v>
      </c>
      <c r="C84" s="510"/>
      <c r="D84" s="510"/>
      <c r="E84" s="510"/>
      <c r="F84" s="510"/>
      <c r="G84" s="510"/>
      <c r="H84" s="510"/>
      <c r="I84" s="539"/>
      <c r="J84" s="539"/>
      <c r="K84" s="540"/>
      <c r="L84" s="541"/>
      <c r="M84" s="542"/>
      <c r="N84" s="2975"/>
      <c r="O84" s="2975"/>
      <c r="P84" s="3000"/>
      <c r="Q84" s="2961"/>
      <c r="R84" s="2947"/>
      <c r="S84" s="2947"/>
      <c r="T84" s="2947"/>
      <c r="U84" s="2947"/>
      <c r="V84" s="2947"/>
      <c r="W84" s="2947"/>
      <c r="X84" s="2947"/>
      <c r="Y84" s="2947"/>
      <c r="Z84" s="2947"/>
      <c r="AA84" s="2947"/>
      <c r="AB84" s="2947"/>
      <c r="AC84" s="2947"/>
      <c r="AD84" s="294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5"/>
      <c r="B86" s="502" t="s">
        <v>2562</v>
      </c>
      <c r="C86" s="534" t="str">
        <f t="shared" ref="C86:L86" si="21">C87&amp;"(含)"&amp;"-"&amp;D87</f>
        <v>0(含)-20</v>
      </c>
      <c r="D86" s="534" t="str">
        <f t="shared" si="21"/>
        <v>20(含)-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5"/>
      <c r="B87" s="502"/>
      <c r="C87" s="551">
        <v>0</v>
      </c>
      <c r="D87" s="551">
        <v>20</v>
      </c>
      <c r="E87" s="551"/>
      <c r="F87" s="551"/>
      <c r="G87" s="551"/>
      <c r="H87" s="551"/>
      <c r="I87" s="551"/>
      <c r="J87" s="552"/>
      <c r="K87" s="552"/>
      <c r="L87" s="553"/>
      <c r="M87" s="554"/>
      <c r="N87" s="2975"/>
      <c r="O87" s="2975"/>
      <c r="P87" s="3000"/>
      <c r="Q87" s="2961"/>
      <c r="R87" s="2947"/>
      <c r="S87" s="2947"/>
      <c r="T87" s="2947"/>
      <c r="U87" s="2947"/>
      <c r="V87" s="2947"/>
      <c r="W87" s="2947"/>
      <c r="X87" s="2947"/>
      <c r="Y87" s="2947"/>
      <c r="Z87" s="2947"/>
      <c r="AA87" s="2947"/>
      <c r="AB87" s="2947"/>
      <c r="AC87" s="2947"/>
      <c r="AD87" s="2947"/>
    </row>
    <row r="88" spans="1:30" ht="15.75" thickBot="1">
      <c r="A88" s="490"/>
      <c r="B88" s="499"/>
      <c r="C88" s="516"/>
      <c r="D88" s="492"/>
      <c r="E88" s="492"/>
      <c r="F88" s="492"/>
      <c r="G88" s="492"/>
      <c r="H88" s="492"/>
      <c r="I88" s="492"/>
      <c r="J88" s="492"/>
      <c r="K88" s="492"/>
      <c r="L88" s="492"/>
      <c r="M88" s="492"/>
      <c r="N88" s="2976"/>
      <c r="O88" s="2976"/>
      <c r="P88" s="3000"/>
      <c r="Q88" s="2961"/>
      <c r="R88" s="2947"/>
      <c r="S88" s="2947"/>
      <c r="T88" s="2947"/>
      <c r="U88" s="2947"/>
      <c r="V88" s="2947"/>
      <c r="W88" s="2947"/>
      <c r="X88" s="2947"/>
      <c r="Y88" s="2947"/>
      <c r="Z88" s="2947"/>
      <c r="AA88" s="2947"/>
      <c r="AB88" s="2947"/>
      <c r="AC88" s="2947"/>
      <c r="AD88" s="2947"/>
    </row>
    <row r="89" spans="1:30" s="429" customFormat="1" ht="15" thickTop="1">
      <c r="A89" s="549"/>
      <c r="B89" s="494" t="s">
        <v>2563</v>
      </c>
      <c r="C89" s="510"/>
      <c r="D89" s="510"/>
      <c r="E89" s="510"/>
      <c r="F89" s="510"/>
      <c r="G89" s="510"/>
      <c r="H89" s="510"/>
      <c r="I89" s="510"/>
      <c r="J89" s="510"/>
      <c r="K89" s="510"/>
      <c r="L89" s="510"/>
      <c r="M89" s="537"/>
      <c r="N89" s="2977"/>
      <c r="O89" s="2977"/>
      <c r="P89" s="3001"/>
      <c r="Q89" s="2968"/>
      <c r="R89" s="2969"/>
      <c r="S89" s="2969"/>
      <c r="T89" s="2969"/>
      <c r="U89" s="2969"/>
      <c r="V89" s="2969"/>
      <c r="W89" s="2969"/>
      <c r="X89" s="2969"/>
      <c r="Y89" s="2969"/>
      <c r="Z89" s="2969"/>
      <c r="AA89" s="2969"/>
      <c r="AB89" s="2969"/>
      <c r="AC89" s="2969"/>
      <c r="AD89" s="2969"/>
    </row>
    <row r="90" spans="1:30" s="429" customFormat="1" ht="15.75" thickBot="1">
      <c r="A90" s="509"/>
      <c r="B90" s="499"/>
      <c r="C90" s="516"/>
      <c r="D90" s="492"/>
      <c r="E90" s="492"/>
      <c r="F90" s="492"/>
      <c r="G90" s="492"/>
      <c r="H90" s="492"/>
      <c r="I90" s="492"/>
      <c r="J90" s="492"/>
      <c r="K90" s="492"/>
      <c r="L90" s="492"/>
      <c r="M90" s="493"/>
      <c r="N90" s="2977"/>
      <c r="O90" s="2977"/>
      <c r="P90" s="3001"/>
      <c r="Q90" s="2968"/>
      <c r="R90" s="2969"/>
      <c r="S90" s="2969"/>
      <c r="T90" s="2969"/>
      <c r="U90" s="2969"/>
      <c r="V90" s="2969"/>
      <c r="W90" s="2969"/>
      <c r="X90" s="2969"/>
      <c r="Y90" s="2969"/>
      <c r="Z90" s="2969"/>
      <c r="AA90" s="2969"/>
      <c r="AB90" s="2969"/>
      <c r="AC90" s="2969"/>
      <c r="AD90" s="2969"/>
    </row>
    <row r="91" spans="1:30" ht="15" thickTop="1">
      <c r="A91" s="555"/>
      <c r="B91" s="494">
        <f>B32</f>
        <v>111</v>
      </c>
      <c r="C91" s="505"/>
      <c r="D91" s="505"/>
      <c r="E91" s="505"/>
      <c r="F91" s="505"/>
      <c r="G91" s="510"/>
      <c r="H91" s="511"/>
      <c r="I91" s="511"/>
      <c r="J91" s="511"/>
      <c r="K91" s="511"/>
      <c r="L91" s="512"/>
      <c r="M91" s="513"/>
      <c r="N91" s="2975"/>
      <c r="O91" s="2975"/>
      <c r="P91" s="3000"/>
      <c r="Q91" s="2961"/>
      <c r="R91" s="2947"/>
      <c r="S91" s="2947"/>
      <c r="T91" s="2947"/>
      <c r="U91" s="2947"/>
      <c r="V91" s="2947"/>
      <c r="W91" s="2947"/>
      <c r="X91" s="2947"/>
      <c r="Y91" s="2947"/>
      <c r="Z91" s="2947"/>
      <c r="AA91" s="2947"/>
      <c r="AB91" s="2947"/>
      <c r="AC91" s="2947"/>
      <c r="AD91" s="2947"/>
    </row>
    <row r="92" spans="1:30" ht="15.75" thickBot="1">
      <c r="A92" s="490"/>
      <c r="B92" s="499"/>
      <c r="C92" s="516"/>
      <c r="D92" s="492"/>
      <c r="E92" s="492"/>
      <c r="F92" s="492"/>
      <c r="G92" s="516"/>
      <c r="H92" s="518"/>
      <c r="I92" s="518"/>
      <c r="J92" s="518"/>
      <c r="K92" s="518"/>
      <c r="L92" s="518"/>
      <c r="M92" s="519"/>
      <c r="N92" s="2976"/>
      <c r="O92" s="2976"/>
      <c r="P92" s="3000"/>
      <c r="Q92" s="2961"/>
      <c r="R92" s="2947"/>
      <c r="S92" s="2947"/>
      <c r="T92" s="2947"/>
      <c r="U92" s="2947"/>
      <c r="V92" s="2947"/>
      <c r="W92" s="2947"/>
      <c r="X92" s="2947"/>
      <c r="Y92" s="2947"/>
      <c r="Z92" s="2947"/>
      <c r="AA92" s="2947"/>
      <c r="AB92" s="2947"/>
      <c r="AC92" s="2947"/>
      <c r="AD92" s="2947"/>
    </row>
    <row r="93" spans="1:30" ht="15" thickTop="1">
      <c r="A93" s="555"/>
      <c r="B93" s="494">
        <f>B33</f>
        <v>111</v>
      </c>
      <c r="C93" s="505"/>
      <c r="D93" s="505"/>
      <c r="E93" s="505"/>
      <c r="F93" s="505"/>
      <c r="G93" s="510"/>
      <c r="H93" s="511"/>
      <c r="I93" s="511"/>
      <c r="J93" s="511"/>
      <c r="K93" s="511"/>
      <c r="L93" s="512"/>
      <c r="M93" s="513"/>
      <c r="N93" s="2975"/>
      <c r="O93" s="2975"/>
      <c r="P93" s="3000"/>
      <c r="Q93" s="2961"/>
      <c r="R93" s="2947"/>
      <c r="S93" s="2947"/>
      <c r="T93" s="2947"/>
      <c r="U93" s="2947"/>
      <c r="V93" s="2947"/>
      <c r="W93" s="2947"/>
      <c r="X93" s="2947"/>
      <c r="Y93" s="2947"/>
      <c r="Z93" s="2947"/>
      <c r="AA93" s="2947"/>
      <c r="AB93" s="2947"/>
      <c r="AC93" s="2947"/>
      <c r="AD93" s="2947"/>
    </row>
    <row r="94" spans="1:30" ht="15.75" thickBot="1">
      <c r="A94" s="490"/>
      <c r="B94" s="499"/>
      <c r="C94" s="516"/>
      <c r="D94" s="492"/>
      <c r="E94" s="492"/>
      <c r="F94" s="492"/>
      <c r="G94" s="516"/>
      <c r="H94" s="518"/>
      <c r="I94" s="518"/>
      <c r="J94" s="518"/>
      <c r="K94" s="518"/>
      <c r="L94" s="518"/>
      <c r="M94" s="519"/>
      <c r="N94" s="2976"/>
      <c r="O94" s="2976"/>
      <c r="P94" s="3000"/>
      <c r="Q94" s="2961"/>
      <c r="R94" s="2947"/>
      <c r="S94" s="2947"/>
      <c r="T94" s="2947"/>
      <c r="U94" s="2947"/>
      <c r="V94" s="2947"/>
      <c r="W94" s="2947"/>
      <c r="X94" s="2947"/>
      <c r="Y94" s="2947"/>
      <c r="Z94" s="2947"/>
      <c r="AA94" s="2947"/>
      <c r="AB94" s="2947"/>
      <c r="AC94" s="2947"/>
      <c r="AD94" s="2947"/>
    </row>
    <row r="95" spans="1:30" ht="15" thickTop="1">
      <c r="A95" s="555"/>
      <c r="B95" s="591">
        <f>B34</f>
        <v>111</v>
      </c>
      <c r="C95" s="505"/>
      <c r="D95" s="505"/>
      <c r="E95" s="505"/>
      <c r="F95" s="505"/>
      <c r="G95" s="510"/>
      <c r="H95" s="511"/>
      <c r="I95" s="511"/>
      <c r="J95" s="511"/>
      <c r="K95" s="511"/>
      <c r="L95" s="512"/>
      <c r="M95" s="513"/>
      <c r="N95" s="2976"/>
      <c r="O95" s="2976"/>
      <c r="P95" s="3003"/>
      <c r="Q95" s="2990"/>
      <c r="R95" s="2947"/>
      <c r="S95" s="2947"/>
      <c r="T95" s="2947"/>
      <c r="U95" s="2947"/>
      <c r="V95" s="2947"/>
      <c r="W95" s="2947"/>
      <c r="X95" s="2947"/>
      <c r="Y95" s="2947"/>
      <c r="Z95" s="2947"/>
      <c r="AA95" s="2947"/>
      <c r="AB95" s="2947"/>
      <c r="AC95" s="2947"/>
      <c r="AD95" s="2947"/>
    </row>
    <row r="96" spans="1:30" ht="15.75" thickBot="1">
      <c r="A96" s="490"/>
      <c r="B96" s="499"/>
      <c r="C96" s="516"/>
      <c r="D96" s="516"/>
      <c r="E96" s="516"/>
      <c r="F96" s="516"/>
      <c r="G96" s="516"/>
      <c r="H96" s="518"/>
      <c r="I96" s="518"/>
      <c r="J96" s="518"/>
      <c r="K96" s="518"/>
      <c r="L96" s="518"/>
      <c r="M96" s="519"/>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6"/>
      <c r="B98" s="1066"/>
      <c r="C98" s="1066"/>
      <c r="D98" s="1066"/>
      <c r="E98" s="1066"/>
      <c r="F98" s="1066"/>
      <c r="G98" s="1066"/>
      <c r="H98" s="1066"/>
      <c r="I98" s="1066"/>
      <c r="J98" s="1066"/>
      <c r="K98" s="1067"/>
      <c r="L98" s="1068"/>
      <c r="M98" s="1066"/>
      <c r="N98" s="2947"/>
      <c r="O98" s="2947"/>
      <c r="P98" s="2947"/>
      <c r="Q98" s="2947"/>
      <c r="R98" s="2947"/>
      <c r="S98" s="2947"/>
      <c r="T98" s="2947"/>
      <c r="U98" s="2947"/>
      <c r="V98" s="2947"/>
      <c r="W98" s="2947"/>
      <c r="X98" s="2947"/>
      <c r="Y98" s="2947"/>
      <c r="Z98" s="2947"/>
      <c r="AA98" s="2947"/>
      <c r="AB98" s="2947"/>
      <c r="AC98" s="2947"/>
      <c r="AD98" s="2947"/>
    </row>
    <row r="99" spans="1:30">
      <c r="A99" s="1066"/>
      <c r="B99" s="1066"/>
      <c r="C99" s="1066"/>
      <c r="D99" s="1066"/>
      <c r="E99" s="1066"/>
      <c r="F99" s="1066"/>
      <c r="G99" s="1066"/>
      <c r="H99" s="1066"/>
      <c r="I99" s="1066"/>
      <c r="J99" s="1066"/>
      <c r="K99" s="1067"/>
      <c r="L99" s="1068"/>
      <c r="M99" s="1066"/>
      <c r="N99" s="2947"/>
      <c r="O99" s="2947"/>
      <c r="P99" s="2947"/>
      <c r="Q99" s="2947"/>
      <c r="R99" s="2947"/>
      <c r="S99" s="2947"/>
      <c r="T99" s="2947"/>
      <c r="U99" s="2947"/>
      <c r="V99" s="2947"/>
      <c r="W99" s="2947"/>
      <c r="X99" s="2947"/>
      <c r="Y99" s="2947"/>
      <c r="Z99" s="2947"/>
      <c r="AA99" s="2947"/>
      <c r="AB99" s="2947"/>
      <c r="AC99" s="2947"/>
      <c r="AD99" s="2947"/>
    </row>
    <row r="100" spans="1:30">
      <c r="A100" s="1066"/>
      <c r="B100" s="1066"/>
      <c r="C100" s="1066"/>
      <c r="D100" s="1066"/>
      <c r="E100" s="1066"/>
      <c r="F100" s="1066"/>
      <c r="G100" s="1066"/>
      <c r="H100" s="1066"/>
      <c r="I100" s="1066"/>
      <c r="J100" s="1066"/>
      <c r="K100" s="1067"/>
      <c r="L100" s="1068"/>
      <c r="M100" s="1066"/>
      <c r="N100" s="2947"/>
      <c r="O100" s="2947"/>
      <c r="P100" s="2947"/>
      <c r="Q100" s="2947"/>
      <c r="R100" s="2947"/>
      <c r="S100" s="2947"/>
      <c r="T100" s="2947"/>
      <c r="U100" s="2947"/>
      <c r="V100" s="2947"/>
      <c r="W100" s="2947"/>
      <c r="X100" s="2947"/>
      <c r="Y100" s="2947"/>
      <c r="Z100" s="2947"/>
      <c r="AA100" s="2947"/>
      <c r="AB100" s="2947"/>
      <c r="AC100" s="2947"/>
      <c r="AD100" s="2947"/>
    </row>
    <row r="101" spans="1:30">
      <c r="A101" s="1066"/>
      <c r="B101" s="1066"/>
      <c r="C101" s="1066"/>
      <c r="D101" s="1066"/>
      <c r="E101" s="1066"/>
      <c r="F101" s="1066"/>
      <c r="G101" s="1066"/>
      <c r="H101" s="1066"/>
      <c r="I101" s="1066"/>
      <c r="J101" s="1066"/>
      <c r="K101" s="1067"/>
      <c r="L101" s="1068"/>
      <c r="M101" s="1066"/>
      <c r="N101" s="2947"/>
      <c r="O101" s="2947"/>
      <c r="P101" s="2947"/>
      <c r="Q101" s="2947"/>
      <c r="R101" s="2947"/>
      <c r="S101" s="2947"/>
      <c r="T101" s="2947"/>
      <c r="U101" s="2947"/>
      <c r="V101" s="2947"/>
      <c r="W101" s="2947"/>
      <c r="X101" s="2947"/>
      <c r="Y101" s="2947"/>
      <c r="Z101" s="2947"/>
      <c r="AA101" s="2947"/>
      <c r="AB101" s="2947"/>
      <c r="AC101" s="2947"/>
      <c r="AD101" s="2947"/>
    </row>
    <row r="102" spans="1:30">
      <c r="A102" s="1066"/>
      <c r="B102" s="1066"/>
      <c r="C102" s="1066"/>
      <c r="D102" s="1066"/>
      <c r="E102" s="1066"/>
      <c r="F102" s="1066"/>
      <c r="G102" s="1066"/>
      <c r="H102" s="1066"/>
      <c r="I102" s="1066"/>
      <c r="J102" s="1066"/>
      <c r="K102" s="1067"/>
      <c r="L102" s="1068"/>
      <c r="M102" s="1066"/>
      <c r="N102" s="2947"/>
      <c r="O102" s="2947"/>
      <c r="P102" s="2947"/>
      <c r="Q102" s="2947"/>
      <c r="R102" s="2947"/>
      <c r="S102" s="2947"/>
      <c r="T102" s="2947"/>
      <c r="U102" s="2947"/>
      <c r="V102" s="2947"/>
      <c r="W102" s="2947"/>
      <c r="X102" s="2947"/>
      <c r="Y102" s="2947"/>
      <c r="Z102" s="2947"/>
      <c r="AA102" s="2947"/>
      <c r="AB102" s="2947"/>
      <c r="AC102" s="2947"/>
      <c r="AD102" s="2947"/>
    </row>
    <row r="103" spans="1:30">
      <c r="A103" s="1066"/>
      <c r="B103" s="1066"/>
      <c r="C103" s="1066"/>
      <c r="D103" s="1066"/>
      <c r="E103" s="1066"/>
      <c r="F103" s="1066"/>
      <c r="G103" s="1066"/>
      <c r="H103" s="1066"/>
      <c r="I103" s="1066"/>
      <c r="J103" s="1066"/>
      <c r="K103" s="1067"/>
      <c r="L103" s="1068"/>
      <c r="M103" s="1066"/>
      <c r="N103" s="1066"/>
      <c r="O103" s="1066"/>
      <c r="P103" s="2947"/>
      <c r="Q103" s="2947"/>
      <c r="R103" s="2947"/>
      <c r="S103" s="2947"/>
      <c r="T103" s="2947"/>
      <c r="U103" s="2947"/>
      <c r="V103" s="2947"/>
      <c r="W103" s="2947"/>
      <c r="X103" s="2947"/>
      <c r="Y103" s="2947"/>
      <c r="Z103" s="2947"/>
      <c r="AA103" s="2947"/>
      <c r="AB103" s="2947"/>
      <c r="AC103" s="2947"/>
      <c r="AD103" s="294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C2" xr:uid="{00000000-0002-0000-2600-00000F000000}">
      <formula1>"需扣减承租人权益,——"</formula1>
    </dataValidation>
    <dataValidation type="list" allowBlank="1" showInputMessage="1" showErrorMessage="1" sqref="F2" xr:uid="{00000000-0002-0000-2600-000010000000}">
      <formula1>估价方法</formula1>
    </dataValidation>
    <dataValidation type="list" allowBlank="1" showInputMessage="1" showErrorMessage="1" sqref="D36"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76"/>
      <c r="B4" s="3241" t="s">
        <v>1595</v>
      </c>
      <c r="C4" s="3241"/>
      <c r="D4" s="3241"/>
      <c r="E4" s="1676"/>
    </row>
    <row r="5" spans="1:5" ht="16.5" thickTop="1">
      <c r="A5" s="1674"/>
      <c r="B5" s="3239" t="s">
        <v>1587</v>
      </c>
      <c r="C5" s="1677" t="s">
        <v>1588</v>
      </c>
      <c r="D5" s="958">
        <f ca="1">结果表!H101</f>
        <v>85331</v>
      </c>
      <c r="E5" s="1674"/>
    </row>
    <row r="6" spans="1:5" ht="15.75">
      <c r="A6" s="1674"/>
      <c r="B6" s="3239"/>
      <c r="C6" s="1677" t="s">
        <v>1589</v>
      </c>
      <c r="D6" s="958" t="str">
        <f ca="1">NUMBERSTRING(INT(D5*10000),2)&amp;"元整"</f>
        <v>捌亿伍仟叁佰叁拾壹万元整</v>
      </c>
      <c r="E6" s="1674"/>
    </row>
    <row r="7" spans="1:5" ht="15.75">
      <c r="A7" s="1674"/>
      <c r="B7" s="3244"/>
      <c r="C7" s="1678" t="s">
        <v>1590</v>
      </c>
      <c r="D7" s="959">
        <f ca="1">结果表!H102</f>
        <v>54321</v>
      </c>
      <c r="E7" s="1674"/>
    </row>
    <row r="8" spans="1:5" ht="15.75">
      <c r="A8" s="1674"/>
      <c r="B8" s="3245" t="str">
        <f>结果表!E103</f>
        <v>2.估价师知悉的法定优先受偿款</v>
      </c>
      <c r="C8" s="1679" t="s">
        <v>1591</v>
      </c>
      <c r="D8" s="959">
        <f>结果表!H103</f>
        <v>0</v>
      </c>
      <c r="E8" s="1674"/>
    </row>
    <row r="9" spans="1:5" ht="15.75">
      <c r="A9" s="1674"/>
      <c r="B9" s="3247"/>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238" t="str">
        <f>结果表!E107</f>
        <v>3.房地产抵押价值</v>
      </c>
      <c r="C13" s="1682" t="s">
        <v>1588</v>
      </c>
      <c r="D13" s="961">
        <f ca="1">结果表!H107</f>
        <v>85331</v>
      </c>
      <c r="E13" s="1674"/>
    </row>
    <row r="14" spans="1:5" ht="15.75">
      <c r="A14" s="1674"/>
      <c r="B14" s="3239"/>
      <c r="C14" s="1677" t="s">
        <v>1589</v>
      </c>
      <c r="D14" s="958" t="str">
        <f ca="1">NUMBERSTRING(INT(D13*10000),2)&amp;"元整"</f>
        <v>捌亿伍仟叁佰叁拾壹万元整</v>
      </c>
      <c r="E14" s="1674"/>
    </row>
    <row r="15" spans="1:5" ht="15">
      <c r="A15" s="1674"/>
      <c r="B15" s="3244"/>
      <c r="C15" s="1678" t="s">
        <v>1599</v>
      </c>
      <c r="D15" s="967">
        <f ca="1">结果表!H108</f>
        <v>18427</v>
      </c>
      <c r="E15" s="1674"/>
    </row>
    <row r="16" spans="1:5" ht="15">
      <c r="A16" s="1674"/>
      <c r="B16" s="3245" t="str">
        <f>结果表!E109</f>
        <v>——</v>
      </c>
      <c r="C16" s="1682" t="s">
        <v>1600</v>
      </c>
      <c r="D16" s="1683" t="str">
        <f>结果表!H109</f>
        <v>——</v>
      </c>
      <c r="E16" s="1674"/>
    </row>
    <row r="17" spans="1:5" ht="15.75">
      <c r="A17" s="1674"/>
      <c r="B17" s="3246"/>
      <c r="C17" s="1677" t="s">
        <v>1601</v>
      </c>
      <c r="D17" s="958" t="e">
        <f>NUMBERSTRING(INT(D16*10000),2)&amp;"元整"</f>
        <v>#VALUE!</v>
      </c>
      <c r="E17" s="1674"/>
    </row>
    <row r="18" spans="1:5" ht="15">
      <c r="A18" s="1674"/>
      <c r="B18" s="3247"/>
      <c r="C18" s="1678" t="s">
        <v>1590</v>
      </c>
      <c r="D18" s="967" t="str">
        <f>结果表!H110</f>
        <v>——</v>
      </c>
      <c r="E18" s="1674"/>
    </row>
    <row r="19" spans="1:5" ht="15.75">
      <c r="A19" s="1674"/>
      <c r="B19" s="3238" t="str">
        <f>结果表!E111</f>
        <v>——</v>
      </c>
      <c r="C19" s="1682" t="s">
        <v>1588</v>
      </c>
      <c r="D19" s="959" t="str">
        <f>结果表!H111</f>
        <v>——</v>
      </c>
      <c r="E19" s="1674"/>
    </row>
    <row r="20" spans="1:5" ht="15.75">
      <c r="A20" s="1674"/>
      <c r="B20" s="3239"/>
      <c r="C20" s="1677" t="s">
        <v>1601</v>
      </c>
      <c r="D20" s="958" t="e">
        <f>NUMBERSTRING(INT(D19*10000),2)&amp;"元整"</f>
        <v>#VALUE!</v>
      </c>
      <c r="E20" s="1674"/>
    </row>
    <row r="21" spans="1:5" ht="15.75" thickBot="1">
      <c r="A21" s="1674"/>
      <c r="B21" s="3240"/>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AJ512"/>
  <sheetViews>
    <sheetView view="pageBreakPreview" zoomScale="80" zoomScaleNormal="100" zoomScaleSheetLayoutView="80" zoomScalePageLayoutView="80" workbookViewId="0">
      <selection activeCell="E30" sqref="E30"/>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1947</v>
      </c>
      <c r="B1" s="1930"/>
      <c r="C1" s="1931" t="s">
        <v>48</v>
      </c>
      <c r="D1" s="1930"/>
      <c r="E1" s="1930"/>
      <c r="F1" s="1932" t="s">
        <v>1948</v>
      </c>
      <c r="G1" s="1744" t="s">
        <v>4206</v>
      </c>
      <c r="H1" s="1933" t="str">
        <f>IF(G1="现房","——","估价对象范围")</f>
        <v>——</v>
      </c>
      <c r="I1" s="1934" t="s">
        <v>4207</v>
      </c>
    </row>
    <row r="2" spans="1:12" ht="21.75" customHeight="1" thickBot="1">
      <c r="A2" s="3440" t="str">
        <f>项目基本情况!S2</f>
        <v>北京市0331地块部分现房房地产</v>
      </c>
      <c r="B2" s="3441"/>
      <c r="C2" s="3441"/>
      <c r="D2" s="3441"/>
      <c r="E2" s="3441"/>
      <c r="F2" s="3441"/>
      <c r="G2" s="3441"/>
      <c r="H2" s="3441"/>
      <c r="I2" s="3442"/>
    </row>
    <row r="3" spans="1:12" ht="12.75">
      <c r="A3" s="3444" t="s">
        <v>1949</v>
      </c>
      <c r="B3" s="3445"/>
      <c r="C3" s="3445"/>
      <c r="D3" s="3445"/>
      <c r="E3" s="3445"/>
      <c r="F3" s="3445"/>
      <c r="G3" s="3445"/>
      <c r="H3" s="3445"/>
      <c r="I3" s="3445"/>
    </row>
    <row r="4" spans="1:12" ht="14.25">
      <c r="A4" s="1937" t="s">
        <v>1950</v>
      </c>
      <c r="B4" s="1938" t="s">
        <v>1951</v>
      </c>
      <c r="C4" s="1939" t="s">
        <v>4375</v>
      </c>
      <c r="D4" s="1939" t="s">
        <v>4212</v>
      </c>
      <c r="E4" s="3449" t="s">
        <v>1952</v>
      </c>
      <c r="F4" s="3450"/>
      <c r="G4" s="3450"/>
      <c r="H4" s="3450"/>
      <c r="I4" s="3451"/>
      <c r="K4" s="150" t="str">
        <f>IF(ISNUMBER(FIND("比较法",'结果表 (车位)'!C4)),"比较法",IF(ISNUMBER(FIND("成本法",'结果表 (车位)'!C4)),"成本法",IF(ISNUMBER(FIND("假设开发法",'结果表 (车位)'!C4)),"假设开发法",IF(ISNUMBER(FIND("收益法",'结果表 (车位)'!C4)),"收益法","基准地价系数修正法"))))</f>
        <v>成本法</v>
      </c>
      <c r="L4" s="150" t="str">
        <f>IF(ISNUMBER(FIND("比较法",'结果表 (车位)'!D4)),"比较法",IF(ISNUMBER(FIND("成本法",'结果表 (车位)'!D4)),"成本法",IF(ISNUMBER(FIND("假设开发法",'结果表 (车位)'!D4)),"假设开发法",IF(ISNUMBER(FIND("收益法",'结果表 (车位)'!D4)),"收益法","基准地价系数修正法"))))</f>
        <v>比较法</v>
      </c>
    </row>
    <row r="5" spans="1:12" ht="12.75">
      <c r="A5" s="3385" t="s">
        <v>1953</v>
      </c>
      <c r="B5" s="3443">
        <v>25</v>
      </c>
      <c r="C5" s="3446"/>
      <c r="D5" s="3434"/>
      <c r="E5" s="135" t="s">
        <v>1954</v>
      </c>
      <c r="F5" s="1940"/>
      <c r="G5" s="1940"/>
      <c r="H5" s="1940"/>
      <c r="I5" s="1555"/>
    </row>
    <row r="6" spans="1:12" ht="12.75">
      <c r="A6" s="3385"/>
      <c r="B6" s="3443"/>
      <c r="C6" s="3448"/>
      <c r="D6" s="3434"/>
      <c r="E6" s="135" t="s">
        <v>1955</v>
      </c>
      <c r="F6" s="1940"/>
      <c r="G6" s="1940"/>
      <c r="H6" s="1940"/>
      <c r="I6" s="1555"/>
    </row>
    <row r="7" spans="1:12" ht="12.75">
      <c r="A7" s="3385"/>
      <c r="B7" s="3443"/>
      <c r="C7" s="3447"/>
      <c r="D7" s="3434"/>
      <c r="E7" s="135" t="s">
        <v>1956</v>
      </c>
      <c r="F7" s="1940"/>
      <c r="G7" s="1940"/>
      <c r="H7" s="1940"/>
      <c r="I7" s="1555"/>
    </row>
    <row r="8" spans="1:12" ht="12.75">
      <c r="A8" s="3385" t="s">
        <v>1957</v>
      </c>
      <c r="B8" s="3443">
        <v>15</v>
      </c>
      <c r="C8" s="3446"/>
      <c r="D8" s="3434"/>
      <c r="E8" s="135" t="s">
        <v>1958</v>
      </c>
      <c r="F8" s="1940"/>
      <c r="G8" s="1940"/>
      <c r="H8" s="1940"/>
      <c r="I8" s="1555"/>
    </row>
    <row r="9" spans="1:12" ht="12.75">
      <c r="A9" s="3385"/>
      <c r="B9" s="3443"/>
      <c r="C9" s="3447"/>
      <c r="D9" s="3434"/>
      <c r="E9" s="135" t="s">
        <v>1959</v>
      </c>
      <c r="F9" s="1940"/>
      <c r="G9" s="1940"/>
      <c r="H9" s="1940"/>
      <c r="I9" s="1555"/>
    </row>
    <row r="10" spans="1:12" ht="12.75">
      <c r="A10" s="3385" t="s">
        <v>1960</v>
      </c>
      <c r="B10" s="3443">
        <v>15</v>
      </c>
      <c r="C10" s="3446"/>
      <c r="D10" s="3434"/>
      <c r="E10" s="135" t="s">
        <v>1961</v>
      </c>
      <c r="F10" s="1940"/>
      <c r="G10" s="1940"/>
      <c r="H10" s="1940"/>
      <c r="I10" s="1555"/>
    </row>
    <row r="11" spans="1:12" ht="12.75">
      <c r="A11" s="3385"/>
      <c r="B11" s="3443"/>
      <c r="C11" s="3447"/>
      <c r="D11" s="3434"/>
      <c r="E11" s="135" t="s">
        <v>1962</v>
      </c>
      <c r="F11" s="1940"/>
      <c r="G11" s="1940"/>
      <c r="H11" s="1940"/>
      <c r="I11" s="1555"/>
    </row>
    <row r="12" spans="1:12" ht="12.75">
      <c r="A12" s="3385" t="s">
        <v>1963</v>
      </c>
      <c r="B12" s="3443">
        <v>15</v>
      </c>
      <c r="C12" s="3446"/>
      <c r="D12" s="3434"/>
      <c r="E12" s="135" t="s">
        <v>1964</v>
      </c>
      <c r="F12" s="1940"/>
      <c r="G12" s="1940"/>
      <c r="H12" s="1940"/>
      <c r="I12" s="1555"/>
    </row>
    <row r="13" spans="1:12" ht="12.75">
      <c r="A13" s="3385"/>
      <c r="B13" s="3443"/>
      <c r="C13" s="3447"/>
      <c r="D13" s="3434"/>
      <c r="E13" s="135" t="s">
        <v>1965</v>
      </c>
      <c r="F13" s="1940"/>
      <c r="G13" s="1940"/>
      <c r="H13" s="1940"/>
      <c r="I13" s="1555"/>
    </row>
    <row r="14" spans="1:12" ht="12.75">
      <c r="A14" s="3385" t="s">
        <v>1966</v>
      </c>
      <c r="B14" s="3443">
        <v>30</v>
      </c>
      <c r="C14" s="3446">
        <v>5</v>
      </c>
      <c r="D14" s="3434">
        <f>10-C14</f>
        <v>5</v>
      </c>
      <c r="E14" s="135" t="s">
        <v>1967</v>
      </c>
      <c r="F14" s="1940"/>
      <c r="G14" s="1940"/>
      <c r="H14" s="1940"/>
      <c r="I14" s="1555"/>
    </row>
    <row r="15" spans="1:12" ht="12.75">
      <c r="A15" s="3385"/>
      <c r="B15" s="3443"/>
      <c r="C15" s="3448"/>
      <c r="D15" s="3434"/>
      <c r="E15" s="135" t="s">
        <v>1968</v>
      </c>
      <c r="F15" s="1940"/>
      <c r="G15" s="1940"/>
      <c r="H15" s="1940"/>
      <c r="I15" s="1555"/>
    </row>
    <row r="16" spans="1:12" ht="12.75">
      <c r="A16" s="3385"/>
      <c r="B16" s="3443"/>
      <c r="C16" s="3447"/>
      <c r="D16" s="3434"/>
      <c r="E16" s="135" t="s">
        <v>1969</v>
      </c>
      <c r="F16" s="1940"/>
      <c r="G16" s="1940"/>
      <c r="H16" s="1940"/>
      <c r="I16" s="1555"/>
    </row>
    <row r="17" spans="1:36" ht="15">
      <c r="A17" s="1941" t="s">
        <v>1970</v>
      </c>
      <c r="B17" s="59"/>
      <c r="C17" s="136">
        <f>SUM(C5:C16)</f>
        <v>5</v>
      </c>
      <c r="D17" s="136">
        <f>SUM(D5:D16)</f>
        <v>5</v>
      </c>
      <c r="E17" s="133"/>
      <c r="F17" s="133"/>
      <c r="G17" s="133"/>
      <c r="H17" s="133"/>
      <c r="I17" s="133"/>
      <c r="K17" s="307"/>
      <c r="L17" s="307" t="s">
        <v>1971</v>
      </c>
      <c r="M17" s="307" t="s">
        <v>1972</v>
      </c>
    </row>
    <row r="18" spans="1:36" ht="31.9" customHeight="1" thickBot="1">
      <c r="A18" s="1942" t="s">
        <v>1973</v>
      </c>
      <c r="B18" s="1943"/>
      <c r="C18" s="137">
        <f>ROUND(C17/SUM(C17:D17),2)</f>
        <v>0.5</v>
      </c>
      <c r="D18" s="137">
        <f>1-C18</f>
        <v>0.5</v>
      </c>
      <c r="E18" s="3465" t="s">
        <v>2873</v>
      </c>
      <c r="F18" s="3466"/>
      <c r="G18" s="3466"/>
      <c r="H18" s="3466"/>
      <c r="I18" s="3466"/>
      <c r="K18" s="307" t="s">
        <v>1974</v>
      </c>
      <c r="L18" s="307">
        <f>IF(C1="",'数据-汇总表'!E3,SUMIF(项目类型,C1,'数据-汇总表'!E17:E26)+SUMIF(项目类型,C1,'数据-汇总表'!I17:I26))</f>
        <v>10771.04</v>
      </c>
      <c r="M18" s="307">
        <f>IF(C1="",'数据-汇总表'!E3,SUMIF(项目类型,C1,'数据-汇总表'!E17:E26))</f>
        <v>10771.04</v>
      </c>
    </row>
    <row r="19" spans="1:36" ht="15">
      <c r="A19" s="1944" t="s">
        <v>1975</v>
      </c>
      <c r="B19" s="1945" t="s">
        <v>1976</v>
      </c>
      <c r="C19" s="138">
        <f ca="1">SUMIF(INDIRECT("'"&amp;C4&amp;"'"&amp;"!A:A"),'结果表 (车位)'!B19,INDIRECT("'"&amp;C4&amp;"'"&amp;"!B:B"))</f>
        <v>6486</v>
      </c>
      <c r="D19" s="139">
        <f ca="1">SUMIF(INDIRECT("'"&amp;D4&amp;"'"&amp;"!A:A"),'结果表 (车位)'!B19,INDIRECT("'"&amp;D4&amp;"'"&amp;"!B:B"))</f>
        <v>9072</v>
      </c>
      <c r="E19" s="1944" t="s">
        <v>1977</v>
      </c>
      <c r="F19" s="1945" t="s">
        <v>1976</v>
      </c>
      <c r="G19" s="140">
        <f ca="1">ROUND(C19*$C$18+D19*$D$18,0)</f>
        <v>7779</v>
      </c>
      <c r="H19" s="1946" t="s">
        <v>1978</v>
      </c>
      <c r="I19" s="133"/>
      <c r="J19" s="733">
        <f ca="1">G20*'成本法 (车位)'!D10/10000</f>
        <v>7779.922192</v>
      </c>
      <c r="K19" s="307" t="s">
        <v>1979</v>
      </c>
      <c r="L19" s="307">
        <f>IF(C1="",'数据-汇总表'!D3,SUMIF(项目类型,C1,'数据-汇总表'!D17:D26)+SUMIF(项目类型,C1,'数据-汇总表'!H17:H27))</f>
        <v>5393.63</v>
      </c>
      <c r="M19" s="307">
        <f>IF(C1="",'数据-汇总表'!D3,SUMIF(项目类型,C1,'数据-汇总表'!D17:D26))</f>
        <v>5393.63</v>
      </c>
    </row>
    <row r="20" spans="1:36" ht="15">
      <c r="A20" s="1947"/>
      <c r="B20" s="1156" t="s">
        <v>1980</v>
      </c>
      <c r="C20" s="141">
        <f ca="1">SUMIF(INDIRECT("'"&amp;C4&amp;"'"&amp;"!A:A"),'结果表 (车位)'!B20,INDIRECT("'"&amp;C4&amp;"'"&amp;"!B:B"))</f>
        <v>6022</v>
      </c>
      <c r="D20" s="142">
        <f ca="1">SUMIF(INDIRECT("'"&amp;D4&amp;"'"&amp;"!A:A"),'结果表 (车位)'!B20,INDIRECT("'"&amp;D4&amp;"'"&amp;"!B:B"))</f>
        <v>8423</v>
      </c>
      <c r="E20" s="1947"/>
      <c r="F20" s="1156" t="s">
        <v>1980</v>
      </c>
      <c r="G20" s="143">
        <f ca="1">ROUND(C20*$C$18+D20*$D$18,0)</f>
        <v>7223</v>
      </c>
      <c r="H20" s="916" t="s">
        <v>1981</v>
      </c>
      <c r="I20" s="133"/>
    </row>
    <row r="21" spans="1:36" ht="15" customHeight="1" thickBot="1">
      <c r="A21" s="936"/>
      <c r="B21" s="1948" t="s">
        <v>1982</v>
      </c>
      <c r="C21" s="727">
        <f ca="1">ROUND(C19*10000/L19,0)</f>
        <v>12025</v>
      </c>
      <c r="D21" s="728">
        <f ca="1">ROUND(D19*10000/L19,0)</f>
        <v>16820</v>
      </c>
      <c r="E21" s="936"/>
      <c r="F21" s="1948" t="s">
        <v>1982</v>
      </c>
      <c r="G21" s="144">
        <f ca="1">ROUND(G19*10000/L19,0)</f>
        <v>14423</v>
      </c>
      <c r="H21" s="1949" t="s">
        <v>1981</v>
      </c>
      <c r="I21" s="133"/>
    </row>
    <row r="22" spans="1:36" ht="15" thickBot="1">
      <c r="A22" s="1871" t="s">
        <v>1983</v>
      </c>
      <c r="B22" s="1950"/>
      <c r="C22" s="1951"/>
      <c r="D22" s="729">
        <f ca="1">IF(C19&lt;D19,D19/C19-1,C19/D19-1)</f>
        <v>0.39870490286771498</v>
      </c>
      <c r="E22" s="133"/>
      <c r="F22" s="133"/>
      <c r="G22" s="133"/>
      <c r="H22" s="133"/>
      <c r="I22" s="133"/>
    </row>
    <row r="23" spans="1:36" ht="13.5" thickBot="1">
      <c r="A23" s="1930"/>
      <c r="B23" s="1930"/>
      <c r="C23" s="1930"/>
      <c r="D23" s="1930"/>
      <c r="E23" s="133"/>
      <c r="F23" s="133"/>
      <c r="G23" s="133"/>
      <c r="H23" s="133"/>
      <c r="I23" s="133"/>
    </row>
    <row r="24" spans="1:36" ht="14.25">
      <c r="A24" s="3458" t="s">
        <v>1984</v>
      </c>
      <c r="B24" s="1945" t="s">
        <v>1976</v>
      </c>
      <c r="C24" s="140">
        <f>IF(B30=0,0,D30)</f>
        <v>0</v>
      </c>
      <c r="D24" s="1952"/>
      <c r="E24" s="133"/>
      <c r="F24" s="133"/>
      <c r="G24" s="133"/>
      <c r="H24" s="133"/>
      <c r="I24" s="133"/>
    </row>
    <row r="25" spans="1:36" ht="14.25">
      <c r="A25" s="3459"/>
      <c r="B25" s="1156" t="s">
        <v>1980</v>
      </c>
      <c r="C25" s="145">
        <f>IF(B30=0,0,C30)</f>
        <v>0</v>
      </c>
      <c r="D25" s="1953"/>
      <c r="E25" s="133"/>
      <c r="F25" s="133"/>
      <c r="G25" s="133"/>
      <c r="H25" s="133"/>
      <c r="I25" s="133"/>
    </row>
    <row r="26" spans="1:36" ht="13.5" customHeight="1">
      <c r="A26" s="1954" t="s">
        <v>1985</v>
      </c>
      <c r="B26" s="146" t="s">
        <v>1986</v>
      </c>
      <c r="C26" s="146" t="s">
        <v>1987</v>
      </c>
      <c r="D26" s="147" t="s">
        <v>1988</v>
      </c>
      <c r="E26" s="133"/>
      <c r="F26" s="133"/>
      <c r="G26" s="133"/>
      <c r="H26" s="133"/>
      <c r="I26" s="133"/>
    </row>
    <row r="27" spans="1:36" ht="14.25">
      <c r="A27" s="1954">
        <f ca="1">ROUND(G20*面积清单!H5,0)</f>
        <v>329658</v>
      </c>
      <c r="B27" s="146">
        <v>0</v>
      </c>
      <c r="C27" s="146">
        <v>0</v>
      </c>
      <c r="D27" s="147">
        <f>ROUND(C27*B27/10000,0)</f>
        <v>0</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1989</v>
      </c>
      <c r="B30" s="146"/>
      <c r="C30" s="146"/>
      <c r="D30" s="146"/>
      <c r="E30" s="2518" t="s">
        <v>2874</v>
      </c>
      <c r="F30" s="133"/>
      <c r="G30" s="133"/>
      <c r="H30" s="133"/>
      <c r="I30" s="133"/>
    </row>
    <row r="31" spans="1:36" s="2524" customFormat="1" ht="26.45" customHeight="1" thickTop="1" thickBot="1">
      <c r="A31" s="2519"/>
      <c r="B31" s="2520"/>
      <c r="C31" s="2520"/>
      <c r="D31" s="2520"/>
      <c r="E31" s="2520"/>
      <c r="F31" s="2520"/>
      <c r="G31" s="2520"/>
      <c r="H31" s="2520"/>
      <c r="I31" s="2521" t="s">
        <v>2875</v>
      </c>
      <c r="J31" s="291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1990</v>
      </c>
      <c r="B32" s="1957"/>
      <c r="C32" s="148">
        <f ca="1">IF(D32="总价",G19-C24,G20-C25)</f>
        <v>7779</v>
      </c>
      <c r="D32" s="1958" t="s">
        <v>4210</v>
      </c>
      <c r="E32" s="133"/>
      <c r="F32" s="133"/>
      <c r="G32" s="133"/>
      <c r="H32" s="133"/>
      <c r="I32" s="133"/>
    </row>
    <row r="33" spans="1:15" ht="15">
      <c r="A33" s="893" t="s">
        <v>1991</v>
      </c>
      <c r="B33" s="1959"/>
      <c r="C33" s="1960" t="s">
        <v>4209</v>
      </c>
      <c r="D33" s="1961" t="s">
        <v>4375</v>
      </c>
      <c r="E33" s="1962" t="s">
        <v>1992</v>
      </c>
      <c r="F33" s="1963" t="str">
        <f>IF(D32="楼面单价","取值（单价）","取值（总价）")</f>
        <v>取值（总价）</v>
      </c>
      <c r="G33" s="133"/>
      <c r="H33" s="133"/>
      <c r="I33" s="133"/>
    </row>
    <row r="34" spans="1:15" ht="15">
      <c r="A34" s="1964"/>
      <c r="B34" s="1965" t="s">
        <v>1993</v>
      </c>
      <c r="C34" s="152">
        <f ca="1">IF(C33="自定义",F34,C32-C35)</f>
        <v>2380</v>
      </c>
      <c r="D34" s="969">
        <f ca="1">IF(C33="自定义",ROUND(C34/C32,3),IF(C33="收益比率",SUMIF(INDIRECT("'"&amp;D33&amp;"'"&amp;"!b:b"),"土地收益比率",INDIRECT("'"&amp;D33&amp;"'"&amp;"!c:c")),SUMIF(INDIRECT("'"&amp;D33&amp;"'"&amp;"!b:b"),"土地成本比率",INDIRECT("'"&amp;D33&amp;"'"&amp;"!c:c"))))</f>
        <v>0.30600000000000005</v>
      </c>
      <c r="E34" s="1966" t="s">
        <v>1994</v>
      </c>
      <c r="F34" s="1496"/>
      <c r="G34" s="133"/>
      <c r="H34" s="133"/>
      <c r="I34" s="133"/>
    </row>
    <row r="35" spans="1:15" ht="15.75" thickBot="1">
      <c r="A35" s="1967"/>
      <c r="B35" s="1968" t="s">
        <v>1995</v>
      </c>
      <c r="C35" s="1331">
        <f ca="1">IF(C33="自定义",F35,ROUND(C32*D35,0))</f>
        <v>5399</v>
      </c>
      <c r="D35" s="1332">
        <f ca="1">IF(C33="自定义",ROUND(C35/C32,3),IF(C33="收益比率",SUMIF(INDIRECT("'"&amp;D33&amp;"'"&amp;"!b:b"),"建筑物收益比率",INDIRECT("'"&amp;D33&amp;"'"&amp;"!c:c")),SUMIF(INDIRECT("'"&amp;D33&amp;"'"&amp;"!b:b"),"建筑物成本比率",INDIRECT("'"&amp;D33&amp;"'"&amp;"!c:c"))))</f>
        <v>0.69399999999999995</v>
      </c>
      <c r="E35" s="1969" t="s">
        <v>1996</v>
      </c>
      <c r="F35" s="158"/>
      <c r="G35" s="133"/>
      <c r="H35" s="133"/>
      <c r="I35" s="133"/>
    </row>
    <row r="36" spans="1:15" ht="15.75" thickBot="1">
      <c r="A36" s="3435" t="s">
        <v>1997</v>
      </c>
      <c r="B36" s="1970" t="s">
        <v>1998</v>
      </c>
      <c r="C36" s="149"/>
      <c r="D36" s="1971"/>
      <c r="E36" s="1972"/>
      <c r="F36" s="1973"/>
      <c r="G36" s="133"/>
      <c r="H36" s="133"/>
      <c r="I36" s="133"/>
    </row>
    <row r="37" spans="1:15" ht="15.75" thickBot="1">
      <c r="A37" s="3436"/>
      <c r="B37" s="1857" t="s">
        <v>1999</v>
      </c>
      <c r="C37" s="151"/>
      <c r="D37" s="1300"/>
      <c r="E37" s="1300"/>
      <c r="F37" s="1973"/>
      <c r="G37" s="133"/>
      <c r="H37" s="133"/>
      <c r="I37" s="133"/>
    </row>
    <row r="38" spans="1:15" ht="15.75" thickBot="1">
      <c r="A38" s="3437"/>
      <c r="B38" s="1974" t="s">
        <v>2000</v>
      </c>
      <c r="C38" s="682"/>
      <c r="D38" s="1975" t="s">
        <v>2001</v>
      </c>
      <c r="E38" s="1300"/>
      <c r="F38" s="1973"/>
      <c r="G38" s="133"/>
      <c r="H38" s="133"/>
      <c r="I38" s="133"/>
    </row>
    <row r="39" spans="1:15" ht="15">
      <c r="A39" s="1947" t="s">
        <v>2002</v>
      </c>
      <c r="B39" s="1976" t="s">
        <v>1986</v>
      </c>
      <c r="C39" s="1977" t="s">
        <v>1987</v>
      </c>
      <c r="D39" s="1977" t="s">
        <v>2005</v>
      </c>
      <c r="E39" s="1978" t="s">
        <v>1988</v>
      </c>
      <c r="F39" s="1973"/>
      <c r="G39" s="133"/>
      <c r="H39" s="133"/>
      <c r="I39" s="133"/>
    </row>
    <row r="40" spans="1:15" ht="14.25">
      <c r="A40" s="1979" t="s">
        <v>2007</v>
      </c>
      <c r="B40" s="153"/>
      <c r="C40" s="154"/>
      <c r="D40" s="154"/>
      <c r="E40" s="155"/>
      <c r="F40" s="1973"/>
      <c r="G40" s="133"/>
      <c r="H40" s="133"/>
      <c r="I40" s="133"/>
    </row>
    <row r="41" spans="1:15" ht="14.25">
      <c r="A41" s="1979" t="s">
        <v>2008</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455" t="s">
        <v>2011</v>
      </c>
      <c r="B45" s="3456"/>
      <c r="C45" s="3457"/>
      <c r="D45" s="159">
        <f ca="1">ROUND(H101*F45,0)</f>
        <v>7779</v>
      </c>
      <c r="E45" s="160" t="s">
        <v>2012</v>
      </c>
      <c r="F45" s="161">
        <v>1</v>
      </c>
      <c r="G45" s="162" t="s">
        <v>2013</v>
      </c>
      <c r="H45" s="133"/>
      <c r="I45" s="133"/>
      <c r="J45" s="3372" t="s">
        <v>2014</v>
      </c>
      <c r="K45" s="3372"/>
      <c r="L45" s="3372"/>
      <c r="M45" s="3372"/>
      <c r="N45" s="3372"/>
      <c r="O45" s="3372"/>
    </row>
    <row r="46" spans="1:15" ht="14.25" customHeight="1">
      <c r="A46" s="3452" t="s">
        <v>2015</v>
      </c>
      <c r="B46" s="3453"/>
      <c r="C46" s="3453"/>
      <c r="D46" s="3453"/>
      <c r="E46" s="3453"/>
      <c r="F46" s="3453"/>
      <c r="G46" s="3454"/>
      <c r="H46" s="1989"/>
      <c r="I46" s="163"/>
      <c r="J46" s="3059">
        <v>1</v>
      </c>
      <c r="K46" s="3373" t="s">
        <v>2016</v>
      </c>
      <c r="L46" s="3373"/>
      <c r="M46" s="3374"/>
      <c r="N46" s="3374"/>
      <c r="O46" s="3374"/>
    </row>
    <row r="47" spans="1:15" ht="12" customHeight="1">
      <c r="A47" s="164" t="s">
        <v>2017</v>
      </c>
      <c r="B47" s="165"/>
      <c r="C47" s="166"/>
      <c r="D47" s="1246" t="s">
        <v>2018</v>
      </c>
      <c r="E47" s="307" t="s">
        <v>2019</v>
      </c>
      <c r="F47" s="167" t="s">
        <v>2020</v>
      </c>
      <c r="G47" s="2766" t="s">
        <v>2021</v>
      </c>
      <c r="H47" s="2767"/>
      <c r="I47" s="163"/>
      <c r="J47" s="3059">
        <v>2</v>
      </c>
      <c r="K47" s="3373" t="s">
        <v>2022</v>
      </c>
      <c r="L47" s="3373"/>
      <c r="M47" s="3375">
        <f>'数据-取费表'!B2</f>
        <v>44495</v>
      </c>
      <c r="N47" s="3375"/>
      <c r="O47" s="3375"/>
    </row>
    <row r="48" spans="1:15" ht="25.5">
      <c r="A48" s="3438" t="s">
        <v>2023</v>
      </c>
      <c r="B48" s="3439"/>
      <c r="C48" s="3439"/>
      <c r="D48" s="3056" t="b">
        <f>IF(H48="情况1",0,IF(H48="情况2",D52,IF(H48="情况3",D53,IF(H48="情况4",D54))))</f>
        <v>0</v>
      </c>
      <c r="E48" s="3069" t="str">
        <f>IF(H48="情况4","(销售额-原购置价)×税（费）率","销售额×税（费）率")</f>
        <v>销售额×税（费）率</v>
      </c>
      <c r="F48" s="2768">
        <f>IF(H48="情况1","免征",'数据-取费表'!B41)</f>
        <v>5.5000000000000007E-2</v>
      </c>
      <c r="G48" s="2769" t="s">
        <v>2024</v>
      </c>
      <c r="H48" s="2770"/>
      <c r="I48" s="1989"/>
      <c r="J48" s="3059">
        <v>3</v>
      </c>
      <c r="K48" s="3373" t="s">
        <v>2025</v>
      </c>
      <c r="L48" s="3373"/>
      <c r="M48" s="3376">
        <f ca="1">H101</f>
        <v>7779</v>
      </c>
      <c r="N48" s="3376"/>
      <c r="O48" s="3376"/>
    </row>
    <row r="49" spans="1:35" ht="25.5" customHeight="1">
      <c r="A49" s="3068" t="s">
        <v>2026</v>
      </c>
      <c r="B49" s="3421" t="s">
        <v>2027</v>
      </c>
      <c r="C49" s="3421"/>
      <c r="D49" s="1773">
        <v>0</v>
      </c>
      <c r="E49" s="329" t="s">
        <v>2028</v>
      </c>
      <c r="F49" s="3054" t="s">
        <v>34</v>
      </c>
      <c r="G49" s="3404"/>
      <c r="H49" s="2525" t="s">
        <v>2876</v>
      </c>
      <c r="I49" s="2526"/>
      <c r="J49" s="3059">
        <v>4</v>
      </c>
      <c r="K49" s="3373" t="str">
        <f>IF(项目基本情况!E8="房地产抵押价值","房地产抵押价值","抵押担保权已注销时的房地产抵押价值")</f>
        <v>房地产抵押价值</v>
      </c>
      <c r="L49" s="3373"/>
      <c r="M49" s="3376">
        <f ca="1">IF(项目基本情况!E8="房地产抵押价值",H107,H109)</f>
        <v>7779</v>
      </c>
      <c r="N49" s="3376"/>
      <c r="O49" s="3376"/>
    </row>
    <row r="50" spans="1:35" ht="25.5" customHeight="1">
      <c r="A50" s="2771"/>
      <c r="B50" s="3421" t="s">
        <v>2029</v>
      </c>
      <c r="C50" s="3421"/>
      <c r="D50" s="2772"/>
      <c r="E50" s="337"/>
      <c r="F50" s="3054"/>
      <c r="G50" s="3405"/>
      <c r="H50" s="2527" t="s">
        <v>2877</v>
      </c>
      <c r="I50" s="2526"/>
      <c r="J50" s="3372" t="s">
        <v>2030</v>
      </c>
      <c r="K50" s="3372"/>
      <c r="L50" s="3372"/>
      <c r="M50" s="3372"/>
      <c r="N50" s="3372"/>
      <c r="O50" s="3372"/>
    </row>
    <row r="51" spans="1:35" ht="20.45" customHeight="1">
      <c r="A51" s="2773"/>
      <c r="B51" s="3421" t="s">
        <v>2031</v>
      </c>
      <c r="C51" s="3421"/>
      <c r="D51" s="1246"/>
      <c r="E51" s="332"/>
      <c r="F51" s="3054"/>
      <c r="G51" s="3406"/>
      <c r="H51" s="2527" t="s">
        <v>2878</v>
      </c>
      <c r="I51" s="2526"/>
      <c r="J51" s="3055" t="s">
        <v>2032</v>
      </c>
      <c r="K51" s="3373" t="s">
        <v>2033</v>
      </c>
      <c r="L51" s="3373"/>
      <c r="M51" s="3055" t="s">
        <v>2034</v>
      </c>
      <c r="N51" s="3055" t="s">
        <v>2035</v>
      </c>
      <c r="O51" s="3055" t="s">
        <v>2036</v>
      </c>
    </row>
    <row r="52" spans="1:35" ht="24" customHeight="1">
      <c r="A52" s="3070" t="s">
        <v>2037</v>
      </c>
      <c r="B52" s="3421" t="s">
        <v>2038</v>
      </c>
      <c r="C52" s="3421"/>
      <c r="D52" s="1246">
        <f ca="1">ROUND(D45*'数据-取费表'!B41/(1+'数据-取费表'!C42),0)</f>
        <v>407</v>
      </c>
      <c r="E52" s="3069" t="s">
        <v>2039</v>
      </c>
      <c r="F52" s="2774">
        <f>'数据-取费表'!B41</f>
        <v>5.5000000000000007E-2</v>
      </c>
      <c r="G52" s="2775"/>
      <c r="H52" s="2764"/>
      <c r="I52" s="1990"/>
      <c r="J52" s="3059">
        <v>1</v>
      </c>
      <c r="K52" s="3398" t="s">
        <v>2040</v>
      </c>
      <c r="L52" s="3398"/>
      <c r="M52" s="2745" t="b">
        <f>D48</f>
        <v>0</v>
      </c>
      <c r="N52" s="3059" t="str">
        <f>E48</f>
        <v>销售额×税（费）率</v>
      </c>
      <c r="O52" s="2746">
        <f>F48</f>
        <v>5.5000000000000007E-2</v>
      </c>
    </row>
    <row r="53" spans="1:35" ht="12" customHeight="1">
      <c r="A53" s="3070" t="s">
        <v>2041</v>
      </c>
      <c r="B53" s="3422" t="s">
        <v>3031</v>
      </c>
      <c r="C53" s="3423"/>
      <c r="D53" s="1246">
        <f ca="1">ROUND(D45*'数据-取费表'!B41/(1+'数据-取费表'!C42),0)</f>
        <v>407</v>
      </c>
      <c r="E53" s="3069" t="s">
        <v>2039</v>
      </c>
      <c r="F53" s="2774">
        <f>'数据-取费表'!B41</f>
        <v>5.5000000000000007E-2</v>
      </c>
      <c r="G53" s="2775"/>
      <c r="H53" s="2764"/>
      <c r="I53" s="1990"/>
      <c r="J53" s="3059">
        <v>2</v>
      </c>
      <c r="K53" s="3398" t="s">
        <v>2042</v>
      </c>
      <c r="L53" s="3398"/>
      <c r="M53" s="2745">
        <f t="shared" ref="M53:O54" ca="1" si="0">D55</f>
        <v>4</v>
      </c>
      <c r="N53" s="3059" t="str">
        <f t="shared" si="0"/>
        <v>销售额×税（费）率</v>
      </c>
      <c r="O53" s="2746" t="str">
        <f t="shared" si="0"/>
        <v>免征</v>
      </c>
    </row>
    <row r="54" spans="1:35" ht="12" customHeight="1">
      <c r="A54" s="3070" t="s">
        <v>2043</v>
      </c>
      <c r="B54" s="3422" t="s">
        <v>3032</v>
      </c>
      <c r="C54" s="3423"/>
      <c r="D54" s="1246">
        <f ca="1">C68</f>
        <v>407</v>
      </c>
      <c r="E54" s="332" t="s">
        <v>2044</v>
      </c>
      <c r="F54" s="2774">
        <f>'数据-取费表'!B41</f>
        <v>5.5000000000000007E-2</v>
      </c>
      <c r="G54" s="2775"/>
      <c r="H54" s="2776"/>
      <c r="I54" s="1990"/>
      <c r="J54" s="3059">
        <v>3</v>
      </c>
      <c r="K54" s="3398" t="s">
        <v>2045</v>
      </c>
      <c r="L54" s="3398"/>
      <c r="M54" s="2745">
        <f t="shared" ca="1" si="0"/>
        <v>4410</v>
      </c>
      <c r="N54" s="3059" t="str">
        <f t="shared" si="0"/>
        <v>增值额×税（费）率</v>
      </c>
      <c r="O54" s="2747" t="str">
        <f t="shared" si="0"/>
        <v>免征</v>
      </c>
    </row>
    <row r="55" spans="1:35" ht="24" customHeight="1">
      <c r="A55" s="3461" t="s">
        <v>2046</v>
      </c>
      <c r="B55" s="3439"/>
      <c r="C55" s="3439"/>
      <c r="D55" s="3056">
        <f ca="1">IF(H55="个人住宅",0,ROUND(D45*I55,0))</f>
        <v>4</v>
      </c>
      <c r="E55" s="3069" t="s">
        <v>2047</v>
      </c>
      <c r="F55" s="2774" t="str">
        <f>IF(H55="正常",I55,"免征")</f>
        <v>免征</v>
      </c>
      <c r="G55" s="2775"/>
      <c r="H55" s="2770"/>
      <c r="I55" s="169">
        <f>'数据-取费表'!B49</f>
        <v>5.0000000000000001E-4</v>
      </c>
      <c r="J55" s="3059">
        <f>IF(H59="非个人房产","",4)</f>
        <v>4</v>
      </c>
      <c r="K55" s="3398" t="str">
        <f>IF(H59="非个人房产","——","个人所得税")</f>
        <v>个人所得税</v>
      </c>
      <c r="L55" s="3398"/>
      <c r="M55" s="2748">
        <f ca="1">D59</f>
        <v>74</v>
      </c>
      <c r="N55" s="3060" t="str">
        <f>E59</f>
        <v>差额计税</v>
      </c>
      <c r="O55" s="2749">
        <f>F59</f>
        <v>0.01</v>
      </c>
    </row>
    <row r="56" spans="1:35" ht="24.75">
      <c r="A56" s="3461" t="s">
        <v>2048</v>
      </c>
      <c r="B56" s="3439"/>
      <c r="C56" s="3439"/>
      <c r="D56" s="3056">
        <f ca="1">IF(H56="个人住宅",D57,D58)</f>
        <v>4410</v>
      </c>
      <c r="E56" s="3069" t="s">
        <v>2049</v>
      </c>
      <c r="F56" s="2774" t="str">
        <f>IF(H56="正常",F58,"免征")</f>
        <v>免征</v>
      </c>
      <c r="G56" s="2777" t="s">
        <v>2050</v>
      </c>
      <c r="H56" s="2778"/>
      <c r="I56" s="1991"/>
      <c r="J56" s="3059" t="str">
        <f>IF(项目基本情况!K6="上海银行",IF(J55="",4,J55+1),"")</f>
        <v/>
      </c>
      <c r="K56" s="3379" t="str">
        <f>IF(项目基本情况!K6="上海银行","其他处置费用","")</f>
        <v/>
      </c>
      <c r="L56" s="3380"/>
      <c r="M56" s="2745" t="str">
        <f>IF(项目基本情况!K6="上海银行",M69,"")</f>
        <v/>
      </c>
      <c r="N56" s="3379" t="str">
        <f>IF(项目基本情况!K6="上海银行","包含处置中涉及的律师、诉讼、拍卖、评估等费用","")</f>
        <v/>
      </c>
      <c r="O56" s="3382"/>
    </row>
    <row r="57" spans="1:35" ht="12.75">
      <c r="A57" s="3070" t="s">
        <v>2026</v>
      </c>
      <c r="B57" s="3422" t="s">
        <v>2051</v>
      </c>
      <c r="C57" s="3423"/>
      <c r="D57" s="1773">
        <v>0</v>
      </c>
      <c r="E57" s="329" t="s">
        <v>2028</v>
      </c>
      <c r="F57" s="307"/>
      <c r="G57" s="2775"/>
      <c r="H57" s="2779"/>
      <c r="I57" s="1991"/>
      <c r="J57" s="3398">
        <f>IF(AND(J55="",J56=""),4,IF(项目基本情况!K6="上海银行",'结果表 (车位)'!J56+1,'结果表 (车位)'!J55+1))</f>
        <v>5</v>
      </c>
      <c r="K57" s="3398" t="s">
        <v>2052</v>
      </c>
      <c r="L57" s="2750" t="s">
        <v>2053</v>
      </c>
      <c r="M57" s="2751"/>
      <c r="N57" s="2752">
        <f ca="1">SUMIF(M52:M56,"&lt;9e307")</f>
        <v>4488</v>
      </c>
      <c r="O57" s="2753"/>
      <c r="P57" s="2912">
        <f ca="1">N57/M49</f>
        <v>0.57693790975703818</v>
      </c>
    </row>
    <row r="58" spans="1:35" ht="24.75">
      <c r="A58" s="3070" t="s">
        <v>2037</v>
      </c>
      <c r="B58" s="3422" t="s">
        <v>2054</v>
      </c>
      <c r="C58" s="3421"/>
      <c r="D58" s="3056">
        <f ca="1">IF(H58="转让取得",C81,C97)</f>
        <v>4410</v>
      </c>
      <c r="E58" s="3069" t="s">
        <v>2049</v>
      </c>
      <c r="F58" s="307" t="s">
        <v>34</v>
      </c>
      <c r="G58" s="2775"/>
      <c r="H58" s="2778"/>
      <c r="I58" s="1991"/>
      <c r="J58" s="3398"/>
      <c r="K58" s="3398"/>
      <c r="L58" s="2750" t="s">
        <v>2055</v>
      </c>
      <c r="M58" s="2754"/>
      <c r="N58" s="2755" t="str">
        <f ca="1">NUMBERSTRING(INT(N57*10000),2)&amp;"元整"</f>
        <v>肆仟肆佰捌拾捌万元整</v>
      </c>
      <c r="O58" s="2756"/>
    </row>
    <row r="59" spans="1:35" ht="24.75" thickBot="1">
      <c r="A59" s="3402" t="s">
        <v>2056</v>
      </c>
      <c r="B59" s="3403"/>
      <c r="C59" s="3403"/>
      <c r="D59" s="2780">
        <f ca="1">IF(H59="非个人房产","——",IF(H59="个人住宅（满五唯一有凭证）",0,IF(H59="个人其他（无凭证）",ROUND(D45*F59,0),ROUND(C67*F59,0))))</f>
        <v>74</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9"/>
      <c r="I59" s="2528" t="s">
        <v>2879</v>
      </c>
      <c r="J59" s="3400">
        <f>J57+1</f>
        <v>6</v>
      </c>
      <c r="K59" s="3398" t="s">
        <v>2057</v>
      </c>
      <c r="L59" s="3059" t="s">
        <v>2053</v>
      </c>
      <c r="M59" s="2757"/>
      <c r="N59" s="2758">
        <f ca="1">M49-N57</f>
        <v>3291</v>
      </c>
      <c r="O59" s="2759"/>
    </row>
    <row r="60" spans="1:35" ht="12" customHeight="1">
      <c r="A60" s="1992"/>
      <c r="B60" s="1930"/>
      <c r="C60" s="1930"/>
      <c r="D60" s="1930"/>
      <c r="E60" s="1761"/>
      <c r="F60" s="1991"/>
      <c r="G60" s="1991"/>
      <c r="H60" s="1993"/>
      <c r="I60" s="133"/>
      <c r="J60" s="3401"/>
      <c r="K60" s="3398"/>
      <c r="L60" s="2750" t="s">
        <v>2055</v>
      </c>
      <c r="M60" s="2754"/>
      <c r="N60" s="2755" t="str">
        <f ca="1">NUMBERSTRING(INT(N59*10000),2)&amp;"元整"</f>
        <v>叁仟贰佰玖拾壹万元整</v>
      </c>
      <c r="O60" s="2756"/>
    </row>
    <row r="61" spans="1:35" ht="13.5" thickBot="1">
      <c r="A61" s="3460" t="s">
        <v>2058</v>
      </c>
      <c r="B61" s="3460"/>
      <c r="C61" s="3460"/>
      <c r="D61" s="3460"/>
      <c r="E61" s="3460"/>
      <c r="F61" s="1991"/>
      <c r="G61" s="1991"/>
      <c r="H61" s="1993"/>
      <c r="I61" s="133"/>
      <c r="J61" s="3059">
        <f>J59+1</f>
        <v>7</v>
      </c>
      <c r="K61" s="3398" t="s">
        <v>2059</v>
      </c>
      <c r="L61" s="3398"/>
      <c r="M61" s="2760"/>
      <c r="N61" s="2761">
        <f ca="1">ROUND(N59*10000/'数据-汇总表'!E3,0)</f>
        <v>711</v>
      </c>
      <c r="O61" s="2762"/>
    </row>
    <row r="62" spans="1:35" ht="12.75">
      <c r="A62" s="3417" t="s">
        <v>2060</v>
      </c>
      <c r="B62" s="3418"/>
      <c r="C62" s="3064"/>
      <c r="D62" s="3064" t="s">
        <v>2061</v>
      </c>
      <c r="E62" s="170" t="s">
        <v>2062</v>
      </c>
      <c r="F62" s="1991"/>
      <c r="G62" s="1991"/>
      <c r="H62" s="1993"/>
      <c r="I62" s="133"/>
    </row>
    <row r="63" spans="1:35" ht="12.75">
      <c r="A63" s="177" t="s">
        <v>775</v>
      </c>
      <c r="B63" s="171" t="s">
        <v>2063</v>
      </c>
      <c r="C63" s="2784">
        <f ca="1">ROUND((C64+C65)/(1+'数据-取费表'!C42),0)</f>
        <v>7409</v>
      </c>
      <c r="D63" s="171"/>
      <c r="E63" s="172"/>
      <c r="F63" s="1991"/>
      <c r="G63" s="1991"/>
      <c r="H63" s="1993"/>
      <c r="I63" s="133"/>
      <c r="J63" s="3381" t="s">
        <v>2064</v>
      </c>
      <c r="K63" s="3057" t="s">
        <v>2065</v>
      </c>
      <c r="L63" s="3057">
        <f ca="1">IF(M49&gt;10000,M49*0.5%,IF(AND(M49&gt;1000,M49&lt;=10000),M49*1%,IF(AND(M49&gt;100,M49&lt;=1000),M49*3%,IF(AND(M49&gt;10,M49&lt;=100),M49*5%,M49*8%))))</f>
        <v>77.790000000000006</v>
      </c>
      <c r="M63" s="307">
        <f ca="1">ROUND(L63,1)</f>
        <v>77.8</v>
      </c>
      <c r="N63" s="2763"/>
      <c r="Z63" s="1935"/>
      <c r="AI63" s="1936"/>
    </row>
    <row r="64" spans="1:35" ht="14.25" customHeight="1">
      <c r="A64" s="173" t="s">
        <v>770</v>
      </c>
      <c r="B64" s="174" t="s">
        <v>2066</v>
      </c>
      <c r="C64" s="2785">
        <f ca="1">D45</f>
        <v>7779</v>
      </c>
      <c r="D64" s="174" t="s">
        <v>32</v>
      </c>
      <c r="E64" s="176"/>
      <c r="F64" s="1991"/>
      <c r="G64" s="1991"/>
      <c r="H64" s="1993"/>
      <c r="I64" s="133"/>
      <c r="J64" s="3381"/>
      <c r="K64" s="3057" t="s">
        <v>2067</v>
      </c>
      <c r="L64" s="3057">
        <f ca="1">IF(M49&gt;2000,M49*0.5%,IF(AND(M49&gt;1000,M49&lt;=2000),M49*0.6%,IF(AND(M49&gt;500,M49&lt;=1000),M49*0.7%,IF(AND(M49&gt;200,M49&lt;=500),M49*0.8%,IF(AND(M49&gt;100,M49&lt;=200),M49*0.9%,IF(AND(M49&gt;50,M49&lt;=100),M49*1%,IF(AND(M49&gt;20,M49&lt;=50),M49*1.5%,IF(AND(M49&gt;10,M49&lt;=20),M49*2%,IF(AND(M49&gt;1,M49&lt;=10),M49*2.5%)))))))))</f>
        <v>38.895000000000003</v>
      </c>
      <c r="M64" s="307">
        <f t="shared" ref="M64:M65" ca="1" si="1">ROUND(L64,1)</f>
        <v>38.9</v>
      </c>
      <c r="N64" s="2764" t="s">
        <v>2068</v>
      </c>
      <c r="Z64" s="1935"/>
      <c r="AI64" s="1936"/>
    </row>
    <row r="65" spans="1:35" ht="14.25" customHeight="1">
      <c r="A65" s="173" t="s">
        <v>771</v>
      </c>
      <c r="B65" s="174" t="s">
        <v>2069</v>
      </c>
      <c r="C65" s="2786"/>
      <c r="D65" s="174"/>
      <c r="E65" s="176"/>
      <c r="F65" s="1991"/>
      <c r="G65" s="1991"/>
      <c r="H65" s="1993"/>
      <c r="I65" s="133"/>
      <c r="J65" s="3381"/>
      <c r="K65" s="3057" t="s">
        <v>2070</v>
      </c>
      <c r="L65" s="3057">
        <f ca="1">IF(M49&gt;1000,M49*0.1%,IF(AND(M49&gt;500,M49&lt;=1000),M49*0.5%,IF(AND(M49&gt;50,M49&lt;=500),M49*1%,IF(AND(M49&gt;1,M49&lt;=50),M49*1.5%))))</f>
        <v>7.7789999999999999</v>
      </c>
      <c r="M65" s="307">
        <f t="shared" ca="1" si="1"/>
        <v>7.8</v>
      </c>
      <c r="N65" s="2764" t="s">
        <v>2068</v>
      </c>
      <c r="Z65" s="1935"/>
      <c r="AI65" s="1936"/>
    </row>
    <row r="66" spans="1:35" ht="14.25" customHeight="1">
      <c r="A66" s="177" t="s">
        <v>772</v>
      </c>
      <c r="B66" s="178" t="s">
        <v>2071</v>
      </c>
      <c r="C66" s="2787"/>
      <c r="D66" s="178" t="s">
        <v>32</v>
      </c>
      <c r="E66" s="1507" t="s">
        <v>1337</v>
      </c>
      <c r="F66" s="1991"/>
      <c r="G66" s="1991"/>
      <c r="H66" s="1993"/>
      <c r="I66" s="133"/>
      <c r="J66" s="3381"/>
      <c r="K66" s="3057" t="s">
        <v>2072</v>
      </c>
      <c r="L66" s="3057">
        <f ca="1">M49*0.5%</f>
        <v>38.895000000000003</v>
      </c>
      <c r="M66" s="307">
        <f ca="1">IF(L66&gt;0.5,0.5,ROUND(L66,0))</f>
        <v>0.5</v>
      </c>
      <c r="N66" s="2764" t="s">
        <v>2073</v>
      </c>
      <c r="Z66" s="1935"/>
      <c r="AI66" s="1936"/>
    </row>
    <row r="67" spans="1:35" ht="14.25" customHeight="1">
      <c r="A67" s="177" t="s">
        <v>773</v>
      </c>
      <c r="B67" s="178" t="s">
        <v>2074</v>
      </c>
      <c r="C67" s="2788">
        <f ca="1">C63-C66</f>
        <v>7409</v>
      </c>
      <c r="D67" s="174" t="s">
        <v>32</v>
      </c>
      <c r="E67" s="176"/>
      <c r="F67" s="1991"/>
      <c r="G67" s="1991"/>
      <c r="H67" s="1993"/>
      <c r="I67" s="133"/>
      <c r="J67" s="3381"/>
      <c r="K67" s="3057" t="s">
        <v>2075</v>
      </c>
      <c r="L67" s="3057">
        <f ca="1">IF(M49&gt;=10000,(8.25+(M49-10000)*0.01%),IF(AND(M49&gt;=8000,M49&lt;10000),(7.85+(M49-8000)*0.02%),IF(AND(M49&gt;=5000,M49&lt;8000),(6.65+(M49-5000)*0.04%),IF(AND(M49&gt;=2000,M49&lt;5000),(4.25+(PM49-2000)*0.08%),IF(AND(M49&gt;=1000,M49&lt;2000),(2.75+(M49-1000)*0.15%),IF(AND(M49&gt;=100,M49&lt;1000),(0.5+(M49-100)*0.25%),IF(AND(M49&gt;0,M49&lt;100),M49*0.5%)))))))</f>
        <v>7.7616000000000005</v>
      </c>
      <c r="M67" s="307">
        <f ca="1">ROUND(L67*0.9,1)</f>
        <v>7</v>
      </c>
      <c r="N67" s="2763"/>
      <c r="Z67" s="1935"/>
      <c r="AI67" s="1936"/>
    </row>
    <row r="68" spans="1:35" ht="14.25" customHeight="1" thickBot="1">
      <c r="A68" s="180" t="s">
        <v>774</v>
      </c>
      <c r="B68" s="181" t="s">
        <v>2076</v>
      </c>
      <c r="C68" s="2789">
        <f ca="1">IF(C67&lt;=0,0,ROUND(C67*D68,0))</f>
        <v>407</v>
      </c>
      <c r="D68" s="2790">
        <f>'数据-取费表'!B41</f>
        <v>5.5000000000000007E-2</v>
      </c>
      <c r="E68" s="183"/>
      <c r="F68" s="1991"/>
      <c r="G68" s="1991"/>
      <c r="H68" s="1993"/>
      <c r="I68" s="133"/>
      <c r="J68" s="3381"/>
      <c r="K68" s="3057" t="s">
        <v>2077</v>
      </c>
      <c r="L68" s="3057">
        <f ca="1">IF(M49&gt;10000,M49*0.5%,IF(AND(M49&gt;5000,M49&lt;=10000),M49*1%,IF(AND(M49&gt;1000,M49&lt;=5000),M49*2%,IF(AND(M49&gt;200,M49&lt;=1000),M49*3%,M49*5%))))</f>
        <v>77.790000000000006</v>
      </c>
      <c r="M68" s="307">
        <f ca="1">ROUND(L68,1)</f>
        <v>77.8</v>
      </c>
      <c r="N68" s="2763"/>
      <c r="Z68" s="1935"/>
      <c r="AI68" s="1936"/>
    </row>
    <row r="69" spans="1:35" s="1955" customFormat="1" ht="16.5" customHeight="1">
      <c r="A69" s="1994"/>
      <c r="B69" s="1995"/>
      <c r="C69" s="1996"/>
      <c r="D69" s="1997"/>
      <c r="E69" s="1998"/>
      <c r="F69" s="1761"/>
      <c r="G69" s="1761"/>
      <c r="H69" s="1760"/>
      <c r="I69" s="1930"/>
      <c r="J69" s="3381"/>
      <c r="K69" s="3057" t="s">
        <v>2078</v>
      </c>
      <c r="L69" s="3057"/>
      <c r="M69" s="307">
        <f ca="1">ROUND(SUM(M63:M68),0)</f>
        <v>210</v>
      </c>
      <c r="N69" s="2765">
        <f ca="1">M69/M49</f>
        <v>2.699575780948708E-2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425" t="s">
        <v>2079</v>
      </c>
      <c r="B70" s="3426"/>
      <c r="C70" s="3426"/>
      <c r="D70" s="3426"/>
      <c r="E70" s="3426"/>
      <c r="F70" s="3426"/>
      <c r="G70" s="3426"/>
      <c r="H70" s="3426"/>
      <c r="I70" s="1999"/>
      <c r="J70" s="2913"/>
      <c r="K70" s="2913"/>
      <c r="L70" s="2913"/>
      <c r="M70" s="2913"/>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417" t="s">
        <v>2060</v>
      </c>
      <c r="B71" s="3418"/>
      <c r="C71" s="3064"/>
      <c r="D71" s="3064" t="s">
        <v>2061</v>
      </c>
      <c r="E71" s="184" t="s">
        <v>2062</v>
      </c>
      <c r="F71" s="185"/>
      <c r="G71" s="185"/>
      <c r="H71" s="186"/>
      <c r="I71" s="2003"/>
      <c r="J71" s="2913"/>
      <c r="K71" s="2913"/>
      <c r="L71" s="2913"/>
      <c r="M71" s="2913"/>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2080</v>
      </c>
      <c r="C72" s="2788">
        <f ca="1">ROUND(D45/(1+'数据-取费表'!C42),0)</f>
        <v>7409</v>
      </c>
      <c r="D72" s="174" t="s">
        <v>32</v>
      </c>
      <c r="E72" s="3066"/>
      <c r="F72" s="3065"/>
      <c r="G72" s="3065"/>
      <c r="H72" s="187"/>
      <c r="I72" s="2003"/>
      <c r="J72" s="2913"/>
      <c r="K72" s="2913"/>
      <c r="L72" s="2913"/>
      <c r="M72" s="2913"/>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2081</v>
      </c>
      <c r="C73" s="2788">
        <f ca="1">C74+C78</f>
        <v>37</v>
      </c>
      <c r="D73" s="174" t="s">
        <v>32</v>
      </c>
      <c r="E73" s="3066"/>
      <c r="F73" s="3065"/>
      <c r="G73" s="3065"/>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2082</v>
      </c>
      <c r="C74" s="174">
        <f>ROUND(IF(G77="2016年5月1日后购买",C75/(1+'数据-取费表'!C42)+C76+C77,C75+C76+C77),0)</f>
        <v>0</v>
      </c>
      <c r="D74" s="174" t="s">
        <v>32</v>
      </c>
      <c r="E74" s="3066"/>
      <c r="F74" s="3065"/>
      <c r="G74" s="3065"/>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2083</v>
      </c>
      <c r="C75" s="2791"/>
      <c r="D75" s="174" t="s">
        <v>32</v>
      </c>
      <c r="E75" s="189" t="s">
        <v>2084</v>
      </c>
      <c r="F75" s="2792"/>
      <c r="G75" s="189" t="s">
        <v>2085</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2086</v>
      </c>
      <c r="C76" s="174">
        <f>IF(F75="购房发票",ROUND(C75*H75*D76,0),0)</f>
        <v>0</v>
      </c>
      <c r="D76" s="2794">
        <v>0.05</v>
      </c>
      <c r="E76" s="3422" t="s">
        <v>2087</v>
      </c>
      <c r="F76" s="3421"/>
      <c r="G76" s="3421"/>
      <c r="H76" s="3424"/>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2088</v>
      </c>
      <c r="C77" s="174">
        <f>ROUND(IF(G77="个人住宅",0,IF(G77="2016年5月1日前购买",C75*D77,C75*D77/(1+'数据-取费表'!C42))),0)</f>
        <v>0</v>
      </c>
      <c r="D77" s="2795">
        <f>'数据-取费表'!B48+'数据-取费表'!B49</f>
        <v>3.0499999999999999E-2</v>
      </c>
      <c r="E77" s="3056" t="s">
        <v>2089</v>
      </c>
      <c r="F77" s="191"/>
      <c r="G77" s="2005"/>
      <c r="H77" s="3067"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2090</v>
      </c>
      <c r="C78" s="2796">
        <f ca="1">ROUND(D45*D78/(1+'数据-取费表'!C42),0)</f>
        <v>37</v>
      </c>
      <c r="D78" s="2797">
        <f>'数据-取费表'!B43</f>
        <v>5.000000000000001E-3</v>
      </c>
      <c r="E78" s="3414" t="s">
        <v>2091</v>
      </c>
      <c r="F78" s="3415"/>
      <c r="G78" s="3415"/>
      <c r="H78" s="3416"/>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773</v>
      </c>
      <c r="B79" s="178" t="s">
        <v>2092</v>
      </c>
      <c r="C79" s="2788">
        <f ca="1">C72-C73</f>
        <v>7372</v>
      </c>
      <c r="D79" s="174" t="s">
        <v>32</v>
      </c>
      <c r="E79" s="3066"/>
      <c r="F79" s="3065"/>
      <c r="G79" s="3065"/>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2093</v>
      </c>
      <c r="C80" s="2798">
        <f ca="1">IF(C79&lt;=0,0,C79/C73)</f>
        <v>199.24324324324326</v>
      </c>
      <c r="D80" s="174"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5"/>
      <c r="G80" s="3065"/>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2094</v>
      </c>
      <c r="C81" s="2799">
        <f ca="1">ROUND(IF(C79&lt;=0,0,IF(C80&gt;=200%,C79*60%-C73*35%,IF(C80&gt;=100%,C79*50%-C73*15%,IF(C80&gt;=50%,C79*40%-C73*5%,IF(C80&lt;50%,C79*30%,0))))),0)</f>
        <v>4410</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425" t="s">
        <v>2095</v>
      </c>
      <c r="B83" s="3426"/>
      <c r="C83" s="3426"/>
      <c r="D83" s="3426"/>
      <c r="E83" s="3426"/>
      <c r="F83" s="3426"/>
      <c r="G83" s="3426"/>
      <c r="H83" s="3426"/>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417" t="s">
        <v>2060</v>
      </c>
      <c r="B84" s="3418"/>
      <c r="C84" s="3064"/>
      <c r="D84" s="3064" t="s">
        <v>2061</v>
      </c>
      <c r="E84" s="184" t="s">
        <v>2062</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2080</v>
      </c>
      <c r="C85" s="2788">
        <f ca="1">ROUND(D45/(1+'数据-取费表'!C42),0)</f>
        <v>7409</v>
      </c>
      <c r="D85" s="174" t="s">
        <v>32</v>
      </c>
      <c r="E85" s="3066"/>
      <c r="F85" s="3065"/>
      <c r="G85" s="3065"/>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2081</v>
      </c>
      <c r="C86" s="2788">
        <f ca="1">IF(H88="仅含出让金",C87+C90+C91+C92+C93+C94,C87+C91+C92+C93+C94)</f>
        <v>37</v>
      </c>
      <c r="D86" s="2801"/>
      <c r="E86" s="3066"/>
      <c r="F86" s="3065"/>
      <c r="G86" s="3065"/>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2096</v>
      </c>
      <c r="C87" s="2796">
        <f>C88+C89</f>
        <v>0</v>
      </c>
      <c r="D87" s="2797"/>
      <c r="E87" s="3061"/>
      <c r="F87" s="3062"/>
      <c r="G87" s="3062"/>
      <c r="H87" s="3063"/>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2097</v>
      </c>
      <c r="C88" s="2802"/>
      <c r="D88" s="2797"/>
      <c r="E88" s="198" t="s">
        <v>2098</v>
      </c>
      <c r="F88" s="3062"/>
      <c r="G88" s="199" t="s">
        <v>2099</v>
      </c>
      <c r="H88" s="2007"/>
      <c r="I88" s="2004"/>
      <c r="J88" s="2741"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2088</v>
      </c>
      <c r="C89" s="2796">
        <f>ROUND(C88*D89,0)</f>
        <v>0</v>
      </c>
      <c r="D89" s="2797">
        <f>'数据-取费表'!B48+'数据-取费表'!B49</f>
        <v>3.0499999999999999E-2</v>
      </c>
      <c r="E89" s="198" t="s">
        <v>2100</v>
      </c>
      <c r="F89" s="3062"/>
      <c r="G89" s="3062"/>
      <c r="H89" s="3063"/>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2101</v>
      </c>
      <c r="C90" s="2802"/>
      <c r="D90" s="2797"/>
      <c r="E90" s="198" t="str">
        <f>IF(H88="-","土地取得成本中已包含该笔费用"," ")</f>
        <v xml:space="preserve"> </v>
      </c>
      <c r="F90" s="3062"/>
      <c r="G90" s="3383" t="s">
        <v>2871</v>
      </c>
      <c r="H90" s="3384"/>
      <c r="I90" s="2004"/>
      <c r="J90" s="2741"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2102</v>
      </c>
      <c r="B91" s="174" t="s">
        <v>2103</v>
      </c>
      <c r="C91" s="2796">
        <f>IF(H91="——",成本法!C33,I91)</f>
        <v>0</v>
      </c>
      <c r="D91" s="2797"/>
      <c r="E91" s="3414" t="s">
        <v>2104</v>
      </c>
      <c r="F91" s="3415"/>
      <c r="G91" s="3415"/>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2105</v>
      </c>
      <c r="B92" s="174" t="s">
        <v>2106</v>
      </c>
      <c r="C92" s="2796">
        <f>ROUND((C87+C90+C91)*D92,0)</f>
        <v>0</v>
      </c>
      <c r="D92" s="2803"/>
      <c r="E92" s="3414" t="s">
        <v>2107</v>
      </c>
      <c r="F92" s="3415"/>
      <c r="G92" s="3415"/>
      <c r="H92" s="3416"/>
      <c r="I92" s="2004"/>
      <c r="J92" s="2742"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2108</v>
      </c>
      <c r="B93" s="174" t="s">
        <v>2090</v>
      </c>
      <c r="C93" s="2796">
        <f ca="1">ROUND(D45*D93/(1+'数据-取费表'!C42),0)</f>
        <v>37</v>
      </c>
      <c r="D93" s="2797">
        <f>'数据-取费表'!B43</f>
        <v>5.000000000000001E-3</v>
      </c>
      <c r="E93" s="3414" t="s">
        <v>2091</v>
      </c>
      <c r="F93" s="3415"/>
      <c r="G93" s="3415"/>
      <c r="H93" s="3416"/>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2109</v>
      </c>
      <c r="B94" s="174" t="s">
        <v>2110</v>
      </c>
      <c r="C94" s="2802">
        <f>ROUND((C87+C90+C91)*D94,0)</f>
        <v>0</v>
      </c>
      <c r="D94" s="2797">
        <v>0.2</v>
      </c>
      <c r="E94" s="3462" t="s">
        <v>2111</v>
      </c>
      <c r="F94" s="3463"/>
      <c r="G94" s="3463"/>
      <c r="H94" s="3464"/>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773</v>
      </c>
      <c r="B95" s="178" t="s">
        <v>2092</v>
      </c>
      <c r="C95" s="2788">
        <f ca="1">ROUND(C85-C86,0)</f>
        <v>7372</v>
      </c>
      <c r="D95" s="174" t="s">
        <v>32</v>
      </c>
      <c r="E95" s="3066"/>
      <c r="F95" s="3065"/>
      <c r="G95" s="3065"/>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2093</v>
      </c>
      <c r="C96" s="2798">
        <f ca="1">IF(C95&lt;=0,0,C95/C86)</f>
        <v>199.24324324324326</v>
      </c>
      <c r="D96" s="174"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5"/>
      <c r="G96" s="3065"/>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2094</v>
      </c>
      <c r="C97" s="2799">
        <f ca="1">ROUND(IF(C95&lt;=0,0,IF(C96&gt;=200%,C95*60%-C86*35%,IF(C96&gt;=100%,C95*50%-C86*15%,IF(C96&gt;=50%,C95*40%-C86*5%,IF(C96&lt;50%,C95*30%,0))))),0)</f>
        <v>4410</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2112</v>
      </c>
      <c r="B99" s="1930"/>
      <c r="C99" s="1930"/>
      <c r="D99" s="1930"/>
      <c r="E99" s="1761"/>
      <c r="F99" s="1761"/>
      <c r="G99" s="1761"/>
      <c r="H99" s="1760"/>
      <c r="I99" s="133"/>
    </row>
    <row r="100" spans="1:35" ht="18.75" customHeight="1">
      <c r="A100" s="3323" t="s">
        <v>2113</v>
      </c>
      <c r="B100" s="3324"/>
      <c r="C100" s="3324"/>
      <c r="D100" s="3399"/>
      <c r="E100" s="3324" t="s">
        <v>2114</v>
      </c>
      <c r="F100" s="3324"/>
      <c r="G100" s="3324"/>
      <c r="H100" s="3399"/>
      <c r="I100" s="133"/>
    </row>
    <row r="101" spans="1:35" ht="18.75" customHeight="1">
      <c r="A101" s="3407" t="s">
        <v>2115</v>
      </c>
      <c r="B101" s="3408"/>
      <c r="C101" s="2805" t="str">
        <f>C4</f>
        <v>成本法 (车位)</v>
      </c>
      <c r="D101" s="2806" t="str">
        <f>D4</f>
        <v>比较法-车位</v>
      </c>
      <c r="E101" s="3377" t="s">
        <v>2116</v>
      </c>
      <c r="F101" s="3378"/>
      <c r="G101" s="2010" t="s">
        <v>2117</v>
      </c>
      <c r="H101" s="2815">
        <f ca="1">H118</f>
        <v>7779</v>
      </c>
      <c r="I101" s="133"/>
    </row>
    <row r="102" spans="1:35" ht="18.75" customHeight="1">
      <c r="A102" s="3409" t="s">
        <v>2118</v>
      </c>
      <c r="B102" s="2804" t="s">
        <v>2117</v>
      </c>
      <c r="C102" s="2805">
        <f ca="1">C19</f>
        <v>6486</v>
      </c>
      <c r="D102" s="2806">
        <f ca="1">D19</f>
        <v>9072</v>
      </c>
      <c r="E102" s="3377"/>
      <c r="F102" s="3378"/>
      <c r="G102" s="2010" t="s">
        <v>2119</v>
      </c>
      <c r="H102" s="2775">
        <f ca="1">I118</f>
        <v>7222</v>
      </c>
      <c r="I102" s="133"/>
    </row>
    <row r="103" spans="1:35" ht="42.75" customHeight="1">
      <c r="A103" s="3409"/>
      <c r="B103" s="2804" t="s">
        <v>2119</v>
      </c>
      <c r="C103" s="2807">
        <f ca="1">C20</f>
        <v>6022</v>
      </c>
      <c r="D103" s="2808">
        <f ca="1">D20</f>
        <v>8423</v>
      </c>
      <c r="E103" s="3370" t="s">
        <v>2120</v>
      </c>
      <c r="F103" s="3371"/>
      <c r="G103" s="2011" t="s">
        <v>2121</v>
      </c>
      <c r="H103" s="2815">
        <f>IF(D36="正常操作",H104+H105+H106,H105+H106)</f>
        <v>0</v>
      </c>
      <c r="I103" s="133"/>
    </row>
    <row r="104" spans="1:35" ht="18.75" customHeight="1">
      <c r="A104" s="3409" t="s">
        <v>2122</v>
      </c>
      <c r="B104" s="2809" t="s">
        <v>2117</v>
      </c>
      <c r="C104" s="2810">
        <f ca="1">H118</f>
        <v>7779</v>
      </c>
      <c r="D104" s="2811"/>
      <c r="E104" s="1857" t="s">
        <v>2123</v>
      </c>
      <c r="F104" s="1849"/>
      <c r="G104" s="2011" t="s">
        <v>2121</v>
      </c>
      <c r="H104" s="2816">
        <f>IF(D36="同一抵押权人同一抵押物续贷",C36&amp;"（续贷，未扣减，详见特别提示）",C36)</f>
        <v>0</v>
      </c>
      <c r="I104" s="133"/>
    </row>
    <row r="105" spans="1:35" ht="18.75" customHeight="1" thickBot="1">
      <c r="A105" s="3419"/>
      <c r="B105" s="2812" t="s">
        <v>2119</v>
      </c>
      <c r="C105" s="2813">
        <f ca="1">I118</f>
        <v>7222</v>
      </c>
      <c r="D105" s="2814"/>
      <c r="E105" s="1857" t="s">
        <v>2124</v>
      </c>
      <c r="F105" s="1849"/>
      <c r="G105" s="2011" t="s">
        <v>2121</v>
      </c>
      <c r="H105" s="2817">
        <f>C37</f>
        <v>0</v>
      </c>
      <c r="I105" s="133"/>
    </row>
    <row r="106" spans="1:35" ht="18.75" customHeight="1">
      <c r="A106" s="1930" t="s">
        <v>2125</v>
      </c>
      <c r="B106" s="1930"/>
      <c r="C106" s="1930"/>
      <c r="D106" s="1930"/>
      <c r="E106" s="2012" t="s">
        <v>2126</v>
      </c>
      <c r="F106" s="1849"/>
      <c r="G106" s="2011" t="s">
        <v>2121</v>
      </c>
      <c r="H106" s="2817">
        <f>C38</f>
        <v>0</v>
      </c>
      <c r="I106" s="133"/>
    </row>
    <row r="107" spans="1:35" ht="18.75" customHeight="1">
      <c r="A107" s="133"/>
      <c r="B107" s="133"/>
      <c r="C107" s="133"/>
      <c r="D107" s="133"/>
      <c r="E107" s="3410" t="str">
        <f>IF(项目基本情况!E8="已注销","——","3.房地产抵押价值")</f>
        <v>3.房地产抵押价值</v>
      </c>
      <c r="F107" s="3378"/>
      <c r="G107" s="2010" t="s">
        <v>2117</v>
      </c>
      <c r="H107" s="2815">
        <f ca="1">IF(E107="——","——",H101-H103)</f>
        <v>7779</v>
      </c>
      <c r="I107" s="133"/>
    </row>
    <row r="108" spans="1:35" ht="18.75" customHeight="1">
      <c r="A108" s="133"/>
      <c r="B108" s="133"/>
      <c r="C108" s="133"/>
      <c r="D108" s="133"/>
      <c r="E108" s="3410"/>
      <c r="F108" s="3378"/>
      <c r="G108" s="2010" t="s">
        <v>2119</v>
      </c>
      <c r="H108" s="2775">
        <f ca="1">ROUND(H107*10000/'数据-汇总表'!E3,0)</f>
        <v>1680</v>
      </c>
      <c r="I108" s="133"/>
    </row>
    <row r="109" spans="1:35" ht="18.75" customHeight="1">
      <c r="A109" s="133"/>
      <c r="B109" s="133"/>
      <c r="C109" s="133"/>
      <c r="D109" s="133"/>
      <c r="E109" s="3410" t="str">
        <f>IF(项目基本情况!E8="已注销及未注销","4.抵押担保权已注销时的房地产抵押价值",IF(项目基本情况!E8="已注销","3.抵押担保权已注销时的房地产抵押价值","——"))</f>
        <v>——</v>
      </c>
      <c r="F109" s="3378"/>
      <c r="G109" s="2010" t="s">
        <v>2117</v>
      </c>
      <c r="H109" s="2818" t="str">
        <f>IF(E109="——","——",H101-H105-H106)</f>
        <v>——</v>
      </c>
      <c r="I109" s="133"/>
    </row>
    <row r="110" spans="1:35" ht="18.75" customHeight="1">
      <c r="A110" s="133"/>
      <c r="B110" s="133"/>
      <c r="C110" s="133"/>
      <c r="D110" s="133"/>
      <c r="E110" s="3410"/>
      <c r="F110" s="3378"/>
      <c r="G110" s="2010" t="s">
        <v>2119</v>
      </c>
      <c r="H110" s="2775" t="str">
        <f>IF(H109="——","——",ROUND(H109*10000/'数据-汇总表'!E3,0))</f>
        <v>——</v>
      </c>
      <c r="I110" s="133"/>
    </row>
    <row r="111" spans="1:35" ht="18.75" customHeight="1">
      <c r="A111" s="133"/>
      <c r="B111" s="133"/>
      <c r="C111" s="133"/>
      <c r="D111" s="133"/>
      <c r="E111" s="3411" t="str">
        <f>IF(项目基本情况!E9="抵押净值",IF(OR(项目基本情况!E8="已注销",项目基本情况!E8="房地产抵押价值"),"4.抵押净值","5.抵押净值"),"——")</f>
        <v>——</v>
      </c>
      <c r="F111" s="3397"/>
      <c r="G111" s="2010" t="s">
        <v>2117</v>
      </c>
      <c r="H111" s="2815" t="str">
        <f>IF(E111="——","——",N59)</f>
        <v>——</v>
      </c>
      <c r="I111" s="133"/>
    </row>
    <row r="112" spans="1:35" ht="18.75" customHeight="1" thickBot="1">
      <c r="A112" s="133"/>
      <c r="B112" s="133"/>
      <c r="C112" s="133"/>
      <c r="D112" s="133"/>
      <c r="E112" s="3412"/>
      <c r="F112" s="3413"/>
      <c r="G112" s="2013" t="s">
        <v>2119</v>
      </c>
      <c r="H112" s="2819" t="str">
        <f>IF(E111="——","——",N61)</f>
        <v>——</v>
      </c>
      <c r="I112" s="133"/>
    </row>
    <row r="113" spans="1:27" ht="18.75" customHeight="1">
      <c r="A113" s="133"/>
      <c r="B113" s="133"/>
      <c r="C113" s="133"/>
      <c r="D113" s="133"/>
      <c r="E113" s="3420" t="s">
        <v>2125</v>
      </c>
      <c r="F113" s="3420"/>
      <c r="G113" s="3420"/>
      <c r="H113" s="3420"/>
      <c r="I113" s="133"/>
    </row>
    <row r="114" spans="1:27" ht="3.75" customHeight="1">
      <c r="A114" s="1930"/>
      <c r="B114" s="1930"/>
      <c r="C114" s="1930"/>
      <c r="D114" s="1930"/>
      <c r="E114" s="1992"/>
      <c r="F114" s="1992"/>
      <c r="G114" s="1992"/>
      <c r="H114" s="1992"/>
      <c r="I114" s="1930"/>
    </row>
    <row r="115" spans="1:27" ht="18.75" customHeight="1">
      <c r="A115" s="3431" t="s">
        <v>2127</v>
      </c>
      <c r="B115" s="3432"/>
      <c r="C115" s="3432"/>
      <c r="D115" s="3432"/>
      <c r="E115" s="3432"/>
      <c r="F115" s="3432"/>
      <c r="G115" s="3432"/>
      <c r="H115" s="3432"/>
      <c r="I115" s="3433"/>
    </row>
    <row r="116" spans="1:27" ht="27" customHeight="1">
      <c r="A116" s="3385" t="s">
        <v>2128</v>
      </c>
      <c r="B116" s="3389" t="s">
        <v>2129</v>
      </c>
      <c r="C116" s="3389" t="s">
        <v>2130</v>
      </c>
      <c r="D116" s="3395" t="s">
        <v>2131</v>
      </c>
      <c r="E116" s="3396"/>
      <c r="F116" s="3427" t="s">
        <v>2132</v>
      </c>
      <c r="G116" s="3427"/>
      <c r="H116" s="3385" t="s">
        <v>2133</v>
      </c>
      <c r="I116" s="3385"/>
    </row>
    <row r="117" spans="1:27" ht="18.75" customHeight="1">
      <c r="A117" s="3385"/>
      <c r="B117" s="3390"/>
      <c r="C117" s="3390"/>
      <c r="D117" s="3058" t="s">
        <v>2134</v>
      </c>
      <c r="E117" s="3058" t="s">
        <v>2135</v>
      </c>
      <c r="F117" s="3058" t="s">
        <v>2134</v>
      </c>
      <c r="G117" s="3058" t="s">
        <v>2136</v>
      </c>
      <c r="H117" s="3058" t="s">
        <v>2134</v>
      </c>
      <c r="I117" s="3058" t="s">
        <v>2136</v>
      </c>
    </row>
    <row r="118" spans="1:27" ht="24.75" customHeight="1">
      <c r="A118" s="2820" t="str">
        <f>项目基本情况!S2</f>
        <v>北京市0331地块部分现房房地产</v>
      </c>
      <c r="B118" s="3058">
        <f>M18</f>
        <v>10771.04</v>
      </c>
      <c r="C118" s="3058">
        <f>M19</f>
        <v>5393.63</v>
      </c>
      <c r="D118" s="3058">
        <f ca="1">ROUND(IF(D32="总价",C34,E118*B118/10000),0)</f>
        <v>2380</v>
      </c>
      <c r="E118" s="3058">
        <f ca="1">ROUND(IF(C33="自定义",IF(D32="楼面单价",C34,D118*10000/B118),I118-G118),0)</f>
        <v>2209</v>
      </c>
      <c r="F118" s="3058">
        <f ca="1">ROUND(IF(D32="总价",C35,G118*B118/10000),0)</f>
        <v>5399</v>
      </c>
      <c r="G118" s="3058">
        <f ca="1">ROUND(IF(D32="楼面单价",C35,F118*10000/B118),0)</f>
        <v>5013</v>
      </c>
      <c r="H118" s="3058">
        <f ca="1">ROUND(IF(D32="总价",C32,I118*B118/10000),0)</f>
        <v>7779</v>
      </c>
      <c r="I118" s="3058">
        <f ca="1">ROUND(IF(D32="楼面单价",C32,H118*10000/B118),0)</f>
        <v>7222</v>
      </c>
    </row>
    <row r="119" spans="1:27" ht="18.75" customHeight="1">
      <c r="A119" s="3385" t="s">
        <v>2137</v>
      </c>
      <c r="B119" s="3385"/>
      <c r="C119" s="3385"/>
      <c r="D119" s="3391" t="str">
        <f ca="1">NUMBERSTRING(INT(D118*10000),2)&amp;"元整"</f>
        <v>贰仟叁佰捌拾万元整</v>
      </c>
      <c r="E119" s="3392"/>
      <c r="F119" s="3391" t="str">
        <f ca="1">NUMBERSTRING(INT(F118*10000),2)&amp;"元整"</f>
        <v>伍仟叁佰玖拾玖万元整</v>
      </c>
      <c r="G119" s="3392"/>
      <c r="H119" s="3391" t="str">
        <f ca="1">NUMBERSTRING(INT(H118*10000),2)&amp;"元整"</f>
        <v>柒仟柒佰柒拾玖万元整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428" t="s">
        <v>2137</v>
      </c>
      <c r="B121" s="3429"/>
      <c r="C121" s="3430"/>
      <c r="D121" s="3391" t="str">
        <f>IF(D120=0,"零元整",NUMBERSTRING(INT(D120*10000),2)&amp;"元整")</f>
        <v>零元整</v>
      </c>
      <c r="E121" s="3393"/>
      <c r="F121" s="3393"/>
      <c r="G121" s="3393"/>
      <c r="H121" s="3393"/>
      <c r="I121" s="3392"/>
      <c r="AA121" s="733"/>
    </row>
    <row r="122" spans="1:27" ht="18.75" customHeight="1">
      <c r="A122" s="3397" t="str">
        <f>IF(项目基本情况!B9="房地产市场价值","",MID(E107,3,LEN(E107)-2))</f>
        <v>房地产抵押价值</v>
      </c>
      <c r="B122" s="3397"/>
      <c r="C122" s="3397"/>
      <c r="D122" s="3386">
        <f ca="1">H107</f>
        <v>7779</v>
      </c>
      <c r="E122" s="3387"/>
      <c r="F122" s="3387"/>
      <c r="G122" s="3387"/>
      <c r="H122" s="3387"/>
      <c r="I122" s="3388"/>
      <c r="AA122" s="733"/>
    </row>
    <row r="123" spans="1:27" ht="18.75" customHeight="1">
      <c r="A123" s="3385" t="s">
        <v>2137</v>
      </c>
      <c r="B123" s="3385"/>
      <c r="C123" s="3385"/>
      <c r="D123" s="3391" t="str">
        <f ca="1">NUMBERSTRING(INT(D122*10000),2)&amp;"元整"</f>
        <v>柒仟柒佰柒拾玖万元整</v>
      </c>
      <c r="E123" s="3393"/>
      <c r="F123" s="3393"/>
      <c r="G123" s="3393"/>
      <c r="H123" s="3393"/>
      <c r="I123" s="3392"/>
      <c r="AA123" s="733"/>
    </row>
    <row r="124" spans="1:27" ht="18.75" customHeight="1">
      <c r="A124" s="3397" t="str">
        <f>IF(项目基本情况!B9="房地产市场价值","",MID(E109,3,LEN(E109)-2))</f>
        <v/>
      </c>
      <c r="B124" s="3397"/>
      <c r="C124" s="3397"/>
      <c r="D124" s="3386" t="str">
        <f>H109</f>
        <v>——</v>
      </c>
      <c r="E124" s="3387"/>
      <c r="F124" s="3387"/>
      <c r="G124" s="3387"/>
      <c r="H124" s="3387"/>
      <c r="I124" s="3388"/>
      <c r="AA124" s="733"/>
    </row>
    <row r="125" spans="1:27" ht="18.75" customHeight="1">
      <c r="A125" s="3385" t="s">
        <v>2137</v>
      </c>
      <c r="B125" s="3385"/>
      <c r="C125" s="3385"/>
      <c r="D125" s="3391" t="e">
        <f>NUMBERSTRING(INT(D124*10000),2)&amp;"元整"</f>
        <v>#VALUE!</v>
      </c>
      <c r="E125" s="3393"/>
      <c r="F125" s="3393"/>
      <c r="G125" s="3393"/>
      <c r="H125" s="3393"/>
      <c r="I125" s="3392"/>
      <c r="AA125" s="733"/>
    </row>
    <row r="126" spans="1:27" ht="18.75" customHeight="1">
      <c r="A126" s="3397" t="str">
        <f>IF(项目基本情况!B9="房地产市场价值","",MID(E111,3,LEN(E111)-2))</f>
        <v/>
      </c>
      <c r="B126" s="3397"/>
      <c r="C126" s="3397"/>
      <c r="D126" s="3386" t="str">
        <f>H111</f>
        <v>——</v>
      </c>
      <c r="E126" s="3387"/>
      <c r="F126" s="3387"/>
      <c r="G126" s="3387"/>
      <c r="H126" s="3387"/>
      <c r="I126" s="3388"/>
      <c r="AA126" s="733"/>
    </row>
    <row r="127" spans="1:27" ht="18.75" customHeight="1">
      <c r="A127" s="3385" t="s">
        <v>2137</v>
      </c>
      <c r="B127" s="3385"/>
      <c r="C127" s="3385"/>
      <c r="D127" s="3391" t="e">
        <f>NUMBERSTRING(INT(D126*10000),2)&amp;"元整"</f>
        <v>#VALUE!</v>
      </c>
      <c r="E127" s="3393"/>
      <c r="F127" s="3393"/>
      <c r="G127" s="3393"/>
      <c r="H127" s="3393"/>
      <c r="I127" s="3392"/>
      <c r="AA127" s="733"/>
    </row>
    <row r="128" spans="1:27" ht="21.75" customHeight="1">
      <c r="A128" s="3394" t="s">
        <v>2138</v>
      </c>
      <c r="B128" s="3394"/>
      <c r="C128" s="3394"/>
      <c r="D128" s="3394"/>
      <c r="E128" s="3394"/>
      <c r="F128" s="3394"/>
      <c r="G128" s="3394"/>
      <c r="H128" s="3394"/>
      <c r="I128" s="3394"/>
      <c r="AA128" s="733"/>
    </row>
    <row r="129" spans="1:35" ht="21.75" customHeight="1">
      <c r="A129" s="2014" t="s">
        <v>2139</v>
      </c>
      <c r="B129" s="2015"/>
      <c r="C129" s="2016" t="s">
        <v>2140</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2141</v>
      </c>
      <c r="G135" s="2031"/>
      <c r="H135" s="2031"/>
      <c r="I135" s="2032" t="s">
        <v>2142</v>
      </c>
    </row>
    <row r="136" spans="1:35" ht="21.75" customHeight="1">
      <c r="A136" s="733"/>
      <c r="B136" s="2033"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2144</v>
      </c>
    </row>
    <row r="139" spans="1:35" ht="21.75" customHeight="1">
      <c r="A139" s="733"/>
      <c r="B139" s="2033" t="s">
        <v>2145</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2144</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51" priority="10" stopIfTrue="1" operator="equal">
      <formula>25</formula>
    </cfRule>
  </conditionalFormatting>
  <conditionalFormatting sqref="C8:C9">
    <cfRule type="cellIs" dxfId="50" priority="9" stopIfTrue="1" operator="equal">
      <formula>15</formula>
    </cfRule>
  </conditionalFormatting>
  <conditionalFormatting sqref="C14:C16">
    <cfRule type="cellIs" dxfId="49" priority="8" stopIfTrue="1" operator="equal">
      <formula>30</formula>
    </cfRule>
  </conditionalFormatting>
  <conditionalFormatting sqref="D5:D7">
    <cfRule type="cellIs" dxfId="48" priority="7" stopIfTrue="1" operator="equal">
      <formula>25</formula>
    </cfRule>
  </conditionalFormatting>
  <conditionalFormatting sqref="D8:D9">
    <cfRule type="cellIs" dxfId="47" priority="6" stopIfTrue="1" operator="equal">
      <formula>15</formula>
    </cfRule>
  </conditionalFormatting>
  <conditionalFormatting sqref="C10:D13">
    <cfRule type="cellIs" dxfId="46" priority="5" stopIfTrue="1" operator="equal">
      <formula>15</formula>
    </cfRule>
  </conditionalFormatting>
  <conditionalFormatting sqref="D14:D16">
    <cfRule type="cellIs" dxfId="45" priority="4" stopIfTrue="1" operator="equal">
      <formula>30</formula>
    </cfRule>
  </conditionalFormatting>
  <conditionalFormatting sqref="C90">
    <cfRule type="expression" dxfId="44" priority="3" stopIfTrue="1">
      <formula>$H$88&lt;&gt;"仅含出让金"</formula>
    </cfRule>
  </conditionalFormatting>
  <conditionalFormatting sqref="C91">
    <cfRule type="expression" dxfId="43" priority="2" stopIfTrue="1">
      <formula>$H$91="由企业提供"</formula>
    </cfRule>
  </conditionalFormatting>
  <conditionalFormatting sqref="E36">
    <cfRule type="expression" dxfId="42" priority="1" stopIfTrue="1">
      <formula>$D$36="同一抵押权人同一抵押物续贷"</formula>
    </cfRule>
  </conditionalFormatting>
  <dataValidations count="23">
    <dataValidation type="list" allowBlank="1" showInputMessage="1" showErrorMessage="1" sqref="C4:D4 D33" xr:uid="{00000000-0002-0000-2700-000000000000}">
      <formula1>估价方法</formula1>
    </dataValidation>
    <dataValidation type="list" allowBlank="1" showInputMessage="1" showErrorMessage="1" sqref="H55:H56" xr:uid="{00000000-0002-0000-2700-000001000000}">
      <formula1>"个人住宅,正常"</formula1>
    </dataValidation>
    <dataValidation type="list" allowBlank="1" showInputMessage="1" showErrorMessage="1" sqref="H48" xr:uid="{00000000-0002-0000-2700-000002000000}">
      <formula1>"情况1,情况2,情况3,情况4"</formula1>
    </dataValidation>
    <dataValidation type="list" allowBlank="1" showInputMessage="1" showErrorMessage="1" sqref="H58" xr:uid="{00000000-0002-0000-2700-000003000000}">
      <formula1>"转让取得,自行开发建设"</formula1>
    </dataValidation>
    <dataValidation type="list" allowBlank="1" showInputMessage="1" showErrorMessage="1" sqref="D32" xr:uid="{00000000-0002-0000-2700-000004000000}">
      <formula1>"总价,楼面单价"</formula1>
    </dataValidation>
    <dataValidation type="list" allowBlank="1" showInputMessage="1" showErrorMessage="1" sqref="F45" xr:uid="{00000000-0002-0000-2700-000005000000}">
      <formula1>"100%,80%,60%,64%"</formula1>
    </dataValidation>
    <dataValidation type="list" allowBlank="1" showInputMessage="1" showErrorMessage="1" sqref="C33" xr:uid="{00000000-0002-0000-2700-000006000000}">
      <formula1>"成本比率,收益比率,自定义"</formula1>
    </dataValidation>
    <dataValidation type="list" allowBlank="1" showInputMessage="1" showErrorMessage="1" sqref="H91" xr:uid="{00000000-0002-0000-2700-000007000000}">
      <formula1>"企业提供（在右侧录入）,——"</formula1>
    </dataValidation>
    <dataValidation type="list" allowBlank="1" showInputMessage="1" showErrorMessage="1" sqref="H88" xr:uid="{00000000-0002-0000-2700-000008000000}">
      <formula1>"仅含出让金,出让金+开发费"</formula1>
    </dataValidation>
    <dataValidation type="list" allowBlank="1" showInputMessage="1" showErrorMessage="1" sqref="F75" xr:uid="{00000000-0002-0000-2700-000009000000}">
      <formula1>"买卖合同,购房发票"</formula1>
    </dataValidation>
    <dataValidation type="list" allowBlank="1" showInputMessage="1" showErrorMessage="1" sqref="D36" xr:uid="{00000000-0002-0000-2700-00000A000000}">
      <formula1>"同一抵押权人同一抵押物续贷,注销后放款,正常操作"</formula1>
    </dataValidation>
    <dataValidation type="list" allowBlank="1" showInputMessage="1" showErrorMessage="1" sqref="B116:B117" xr:uid="{00000000-0002-0000-2700-00000B000000}">
      <formula1>"建筑面积,规划建筑面积,（规划）建筑面积"</formula1>
    </dataValidation>
    <dataValidation type="list" allowBlank="1" showInputMessage="1" showErrorMessage="1" sqref="C116:C117" xr:uid="{00000000-0002-0000-2700-00000C000000}">
      <formula1>"土地面积,分摊土地面积,（分摊）土地面积"</formula1>
    </dataValidation>
    <dataValidation type="list" allowBlank="1" showInputMessage="1" showErrorMessage="1" sqref="D116:E116" xr:uid="{00000000-0002-0000-2700-00000D000000}">
      <formula1>"出让国有建设用地使用权价值,划拨国有建设用地使用权价值"</formula1>
    </dataValidation>
    <dataValidation type="list" allowBlank="1" showInputMessage="1" showErrorMessage="1" sqref="F116:G116" xr:uid="{00000000-0002-0000-2700-00000E000000}">
      <formula1>"建筑物价值,在建建筑物价值,建筑物/在建建筑物价值"</formula1>
    </dataValidation>
    <dataValidation type="list" allowBlank="1" showInputMessage="1" showErrorMessage="1" sqref="C129" xr:uid="{00000000-0002-0000-2700-00000F000000}">
      <formula1>"无,有"</formula1>
    </dataValidation>
    <dataValidation type="list" showInputMessage="1" showErrorMessage="1" sqref="G1" xr:uid="{00000000-0002-0000-2700-000010000000}">
      <formula1>"现房,在建,土地,-"</formula1>
    </dataValidation>
    <dataValidation type="list" allowBlank="1" showInputMessage="1" showErrorMessage="1" sqref="I1" xr:uid="{00000000-0002-0000-2700-000011000000}">
      <formula1>"项目局部,项目全部,——"</formula1>
    </dataValidation>
    <dataValidation type="list" allowBlank="1" showInputMessage="1" showErrorMessage="1" sqref="C1" xr:uid="{00000000-0002-0000-2700-000012000000}">
      <formula1>项目类型</formula1>
    </dataValidation>
    <dataValidation type="list" allowBlank="1" showInputMessage="1" showErrorMessage="1" sqref="G77" xr:uid="{00000000-0002-0000-2700-000013000000}">
      <formula1>"个人住宅,2016年5月1日前购买,2016年5月1日后购买"</formula1>
    </dataValidation>
    <dataValidation type="list" allowBlank="1" showInputMessage="1" showErrorMessage="1" sqref="E103" xr:uid="{00000000-0002-0000-2700-000014000000}">
      <formula1>"2.估价师知悉的法定优先受偿款,2.估价师知悉的除抵押担保权以外的法定优先受偿款"</formula1>
    </dataValidation>
    <dataValidation type="list" allowBlank="1" showInputMessage="1" showErrorMessage="1" sqref="H59" xr:uid="{00000000-0002-0000-2700-000015000000}">
      <formula1>"非个人房产,个人住宅（满五唯一有凭证）,个人其他（有凭证）,个人其他（无凭证）"</formula1>
    </dataValidation>
    <dataValidation type="list" allowBlank="1" showInputMessage="1" showErrorMessage="1" sqref="D92" xr:uid="{00000000-0002-0000-2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B1" zoomScaleNormal="70" zoomScaleSheetLayoutView="100" workbookViewId="0">
      <selection activeCell="C25" sqref="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2" t="s">
        <v>48</v>
      </c>
      <c r="C1" s="203"/>
      <c r="D1" s="203"/>
      <c r="E1" s="203"/>
      <c r="F1" s="203"/>
      <c r="G1" s="1287">
        <f>MATCH(B1,'数据-取费表'!A6:A16,0)+5</f>
        <v>8</v>
      </c>
    </row>
    <row r="2" spans="1:9" s="205" customFormat="1" ht="18" customHeight="1">
      <c r="A2" s="206" t="s">
        <v>1359</v>
      </c>
      <c r="B2" s="207">
        <f ca="1">IF(D2="——",C52,C52-E2)</f>
        <v>6486</v>
      </c>
      <c r="C2" s="204" t="s">
        <v>2148</v>
      </c>
      <c r="D2" s="2036" t="s">
        <v>70</v>
      </c>
      <c r="E2" s="1330" t="e">
        <f ca="1">SUMIF(INDIRECT("'"&amp;G2&amp;"'"&amp;"!A:A"),"承租人权益价值",INDIRECT("'"&amp;G2&amp;"'"&amp;"!c:c"))</f>
        <v>#REF!</v>
      </c>
      <c r="F2" s="2037" t="s">
        <v>2148</v>
      </c>
      <c r="G2" s="2038"/>
    </row>
    <row r="3" spans="1:9" s="205" customFormat="1" ht="18" customHeight="1" thickBot="1">
      <c r="A3" s="208" t="s">
        <v>1360</v>
      </c>
      <c r="B3" s="209">
        <f ca="1">ROUND(B2*10000/(IF(B1="",'数据-汇总表'!E3,INDIRECT("'数据-取费表'!k"&amp;$G$1))),0)</f>
        <v>6022</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f>C6+C7+C8</f>
        <v>1549</v>
      </c>
      <c r="D5" s="216" t="s">
        <v>2154</v>
      </c>
      <c r="E5" s="217" t="s">
        <v>2155</v>
      </c>
      <c r="F5" s="217" t="s">
        <v>2156</v>
      </c>
      <c r="G5" s="218"/>
    </row>
    <row r="6" spans="1:9" s="219" customFormat="1" ht="13.5" customHeight="1">
      <c r="A6" s="885" t="s">
        <v>791</v>
      </c>
      <c r="B6" s="220" t="s">
        <v>2158</v>
      </c>
      <c r="C6" s="221">
        <f>'土地比较法-住宅、综合'!F63</f>
        <v>1503</v>
      </c>
      <c r="D6" s="222"/>
      <c r="E6" s="223"/>
      <c r="F6" s="223"/>
      <c r="G6" s="224"/>
    </row>
    <row r="7" spans="1:9" s="219" customFormat="1" ht="13.5" customHeight="1">
      <c r="A7" s="885" t="s">
        <v>792</v>
      </c>
      <c r="B7" s="220" t="s">
        <v>2160</v>
      </c>
      <c r="C7" s="225">
        <f>ROUND(C6*F7,0)</f>
        <v>46</v>
      </c>
      <c r="D7" s="225"/>
      <c r="E7" s="223"/>
      <c r="F7" s="226">
        <f>IF(项目基本情况!B8="出让",0,'数据-取费表'!B48+'数据-取费表'!B49)</f>
        <v>3.0499999999999999E-2</v>
      </c>
      <c r="G7" s="224"/>
    </row>
    <row r="8" spans="1:9" s="228" customFormat="1">
      <c r="A8" s="885" t="s">
        <v>793</v>
      </c>
      <c r="B8" s="220" t="s">
        <v>2162</v>
      </c>
      <c r="C8" s="225">
        <f>IF(G8="已包含在土地购买价格中","0",IF(B1="",'数据-取费表'!B29,IF(G9="全部缴纳",C9+C10,H9)))</f>
        <v>0</v>
      </c>
      <c r="D8" s="227"/>
      <c r="E8" s="225"/>
      <c r="F8" s="226"/>
      <c r="G8" s="2039"/>
    </row>
    <row r="9" spans="1:9" s="219" customFormat="1" ht="13.5" customHeight="1">
      <c r="A9" s="886" t="s">
        <v>800</v>
      </c>
      <c r="B9" s="229" t="s">
        <v>2163</v>
      </c>
      <c r="C9" s="230">
        <f ca="1">ROUND(D9*E9/10000,0)</f>
        <v>0</v>
      </c>
      <c r="D9" s="953">
        <f ca="1">IF(B1="",'数据-汇总表'!E5,IF(INDIRECT("'数据-取费表'!c"&amp;$G$1)="住宅",INDIRECT("'数据-取费表'!k"&amp;$G$1),0))</f>
        <v>0</v>
      </c>
      <c r="E9" s="230">
        <f>'数据-取费表'!B27</f>
        <v>0</v>
      </c>
      <c r="F9" s="226"/>
      <c r="G9" s="2040"/>
      <c r="H9" s="1298"/>
      <c r="I9" s="2041" t="s">
        <v>2164</v>
      </c>
    </row>
    <row r="10" spans="1:9" s="219" customFormat="1" ht="13.5" customHeight="1">
      <c r="A10" s="886" t="s">
        <v>801</v>
      </c>
      <c r="B10" s="229" t="s">
        <v>2165</v>
      </c>
      <c r="C10" s="230">
        <f ca="1">ROUND(D10*E10/10000,0)</f>
        <v>0</v>
      </c>
      <c r="D10" s="953">
        <f ca="1">IF(B1="",'数据-汇总表'!E6,IF(INDIRECT("'数据-取费表'!c"&amp;$G$1)="住宅",INDIRECT("'数据-取费表'!s"&amp;$G$1),INDIRECT("'数据-取费表'!k"&amp;$G$1)+INDIRECT("'数据-取费表'!s"&amp;$G$1)))</f>
        <v>10771.04</v>
      </c>
      <c r="E10" s="230">
        <f>'数据-取费表'!B28</f>
        <v>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2162</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2162</v>
      </c>
      <c r="C16" s="225"/>
      <c r="D16" s="955"/>
      <c r="E16" s="223"/>
      <c r="F16" s="223"/>
      <c r="G16" s="224"/>
    </row>
    <row r="17" spans="1:7" s="219" customFormat="1" ht="13.5" hidden="1" customHeight="1">
      <c r="A17" s="232" t="s">
        <v>13</v>
      </c>
      <c r="B17" s="220" t="s">
        <v>2173</v>
      </c>
      <c r="C17" s="234"/>
      <c r="D17" s="956"/>
      <c r="E17" s="234"/>
      <c r="F17" s="234"/>
      <c r="G17" s="224" t="s">
        <v>2172</v>
      </c>
    </row>
    <row r="18" spans="1:7" s="219" customFormat="1" ht="13.5" hidden="1" customHeight="1">
      <c r="A18" s="232" t="s">
        <v>14</v>
      </c>
      <c r="B18" s="220" t="s">
        <v>2174</v>
      </c>
      <c r="C18" s="225">
        <v>0</v>
      </c>
      <c r="D18" s="955"/>
      <c r="E18" s="223"/>
      <c r="F18" s="226">
        <v>3.0499999999999999E-2</v>
      </c>
      <c r="G18" s="224" t="s">
        <v>2175</v>
      </c>
    </row>
    <row r="19" spans="1:7" s="228" customFormat="1" ht="13.5" customHeight="1">
      <c r="A19" s="260" t="s">
        <v>2176</v>
      </c>
      <c r="B19" s="215" t="s">
        <v>2177</v>
      </c>
      <c r="C19" s="216" t="str">
        <f>IF(G19="已包含在土地取得成本中","0",ROUND(D19*E19/10000,0))</f>
        <v>0</v>
      </c>
      <c r="D19" s="957">
        <f ca="1">D9+D10</f>
        <v>10771.04</v>
      </c>
      <c r="E19" s="216">
        <f>'数据-取费表'!B31</f>
        <v>200</v>
      </c>
      <c r="F19" s="236"/>
      <c r="G19" s="2039" t="s">
        <v>4213</v>
      </c>
    </row>
    <row r="20" spans="1:7" s="219" customFormat="1" ht="13.5" customHeight="1">
      <c r="A20" s="260" t="s">
        <v>2178</v>
      </c>
      <c r="B20" s="215" t="s">
        <v>2179</v>
      </c>
      <c r="C20" s="237">
        <f>ROUND((C5+C19)*F20,0)</f>
        <v>46</v>
      </c>
      <c r="D20" s="237"/>
      <c r="E20" s="237"/>
      <c r="F20" s="238">
        <f>'数据-取费表'!B37</f>
        <v>0.03</v>
      </c>
      <c r="G20" s="239" t="s">
        <v>2180</v>
      </c>
    </row>
    <row r="21" spans="1:7" s="219" customFormat="1" ht="13.5" customHeight="1">
      <c r="A21" s="260" t="s">
        <v>2181</v>
      </c>
      <c r="B21" s="215" t="s">
        <v>2182</v>
      </c>
      <c r="C21" s="240">
        <f>F21</f>
        <v>0.03</v>
      </c>
      <c r="D21" s="241" t="s">
        <v>2183</v>
      </c>
      <c r="E21" s="237"/>
      <c r="F21" s="238">
        <f>'数据-取费表'!B38</f>
        <v>0.03</v>
      </c>
      <c r="G21" s="239" t="s">
        <v>2184</v>
      </c>
    </row>
    <row r="22" spans="1:7" s="219" customFormat="1" ht="13.5" customHeight="1">
      <c r="A22" s="260" t="s">
        <v>2185</v>
      </c>
      <c r="B22" s="215" t="s">
        <v>2186</v>
      </c>
      <c r="C22" s="1263">
        <f ca="1">ROUND(SUM(C23:C25),0)</f>
        <v>140</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7" t="s">
        <v>791</v>
      </c>
      <c r="B23" s="220" t="s">
        <v>2188</v>
      </c>
      <c r="C23" s="1264">
        <f ca="1">ROUND(IF('数据-取费表'!B22&lt;=1,C5*F22*'数据-取费表'!B23,C5*(POWER((1+F22),'数据-取费表'!B23)-1)),0)</f>
        <v>138</v>
      </c>
      <c r="D23" s="243"/>
      <c r="E23" s="243"/>
      <c r="F23" s="244"/>
      <c r="G23" s="245" t="s">
        <v>2189</v>
      </c>
    </row>
    <row r="24" spans="1:7" s="219" customFormat="1" ht="13.5" customHeight="1">
      <c r="A24" s="887" t="s">
        <v>792</v>
      </c>
      <c r="B24" s="220" t="s">
        <v>2191</v>
      </c>
      <c r="C24" s="1264">
        <f ca="1">ROUND(IF('数据-取费表'!B22&lt;=1,C19*F22*('数据-取费表'!B19/2+'数据-取费表'!B21),C19*(POWER((1+F22),('数据-取费表'!B19/2+'数据-取费表'!B21))-1)),0)</f>
        <v>0</v>
      </c>
      <c r="D24" s="243"/>
      <c r="E24" s="243"/>
      <c r="F24" s="244"/>
      <c r="G24" s="245" t="s">
        <v>2192</v>
      </c>
    </row>
    <row r="25" spans="1:7" s="219" customFormat="1" ht="24">
      <c r="A25" s="887" t="s">
        <v>793</v>
      </c>
      <c r="B25" s="220" t="s">
        <v>2194</v>
      </c>
      <c r="C25" s="1264">
        <f ca="1">ROUND(IF('数据-取费表'!B22&lt;=1,C20*F22*'数据-取费表'!B23/2,C20*(POWER((1+F22),'数据-取费表'!B23/2)-1)),0)</f>
        <v>2</v>
      </c>
      <c r="D25" s="243"/>
      <c r="E25" s="246"/>
      <c r="F25" s="244"/>
      <c r="G25" s="247" t="s">
        <v>2195</v>
      </c>
    </row>
    <row r="26" spans="1:7" s="219" customFormat="1">
      <c r="A26" s="887"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f ca="1">C28</f>
        <v>80</v>
      </c>
      <c r="D27" s="240">
        <f ca="1">C29</f>
        <v>1.5E-3</v>
      </c>
      <c r="E27" s="241" t="s">
        <v>2183</v>
      </c>
      <c r="F27" s="251">
        <f ca="1">IF(B1="",'数据-取费表'!Q16,INDIRECT("'数据-取费表'!q"&amp;$G$1))</f>
        <v>0.05</v>
      </c>
      <c r="G27" s="252" t="s">
        <v>2200</v>
      </c>
    </row>
    <row r="28" spans="1:7" s="219" customFormat="1" ht="13.5" customHeight="1">
      <c r="A28" s="887" t="s">
        <v>791</v>
      </c>
      <c r="B28" s="253" t="s">
        <v>2201</v>
      </c>
      <c r="C28" s="254">
        <f ca="1">ROUND((C5+C19+C20)*F27*'数据-取费表'!B21/'数据-取费表'!B20,0)</f>
        <v>80</v>
      </c>
      <c r="D28" s="240"/>
      <c r="E28" s="241"/>
      <c r="F28" s="251"/>
      <c r="G28" s="252"/>
    </row>
    <row r="29" spans="1:7" s="219" customFormat="1" ht="13.5" customHeight="1">
      <c r="A29" s="887" t="s">
        <v>792</v>
      </c>
      <c r="B29" s="253" t="s">
        <v>2202</v>
      </c>
      <c r="C29" s="243">
        <f ca="1">ROUND(C21*F27*'数据-取费表'!B21/'数据-取费表'!B20,4)</f>
        <v>1.5E-3</v>
      </c>
      <c r="D29" s="240"/>
      <c r="E29" s="241"/>
      <c r="F29" s="251"/>
      <c r="G29" s="252"/>
    </row>
    <row r="30" spans="1:7" s="219" customFormat="1" ht="13.5" customHeight="1">
      <c r="A30" s="260" t="s">
        <v>2203</v>
      </c>
      <c r="B30" s="215" t="s">
        <v>2204</v>
      </c>
      <c r="C30" s="240">
        <f>ROUND(F30/(1+'数据-取费表'!C42),4)</f>
        <v>5.2400000000000002E-2</v>
      </c>
      <c r="D30" s="241" t="s">
        <v>2183</v>
      </c>
      <c r="E30" s="246"/>
      <c r="F30" s="242">
        <f>'数据-取费表'!B41</f>
        <v>5.5000000000000007E-2</v>
      </c>
      <c r="G30" s="239" t="s">
        <v>2205</v>
      </c>
    </row>
    <row r="31" spans="1:7" ht="16.5" customHeight="1">
      <c r="A31" s="214">
        <v>1</v>
      </c>
      <c r="B31" s="215" t="s">
        <v>2206</v>
      </c>
      <c r="C31" s="216">
        <f ca="1">ROUND((C5+C19+C20+C22+C27)/(1-C21-D22-D27-C30),0)</f>
        <v>1984</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3656</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3231</v>
      </c>
      <c r="D34" s="222"/>
      <c r="E34" s="225"/>
      <c r="F34" s="262">
        <f ca="1">IF('数据-取费表'!B24=0,1,IF(B1="",'数据-取费表'!N16,INDIRECT("'数据-取费表'!n"&amp;$G$1)))</f>
        <v>1</v>
      </c>
      <c r="G34" s="224" t="s">
        <v>2211</v>
      </c>
    </row>
    <row r="35" spans="1:7" ht="13.5" customHeight="1">
      <c r="A35" s="887" t="s">
        <v>796</v>
      </c>
      <c r="B35" s="220" t="s">
        <v>2212</v>
      </c>
      <c r="C35" s="225">
        <f ca="1">ROUND(C34*F35,0)</f>
        <v>162</v>
      </c>
      <c r="D35" s="225"/>
      <c r="E35" s="225"/>
      <c r="F35" s="264">
        <f>'数据-取费表'!B33</f>
        <v>0.05</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2215</v>
      </c>
    </row>
    <row r="37" spans="1:7" s="263" customFormat="1" ht="13.5" customHeight="1">
      <c r="A37" s="887" t="s">
        <v>798</v>
      </c>
      <c r="B37" s="220" t="s">
        <v>2216</v>
      </c>
      <c r="C37" s="254">
        <f ca="1">ROUND(E37*D37*F34/10000,0)</f>
        <v>215</v>
      </c>
      <c r="D37" s="222">
        <f ca="1">D19</f>
        <v>10771.04</v>
      </c>
      <c r="E37" s="254">
        <f>'数据-取费表'!B35</f>
        <v>200</v>
      </c>
      <c r="F37" s="264"/>
      <c r="G37" s="266" t="s">
        <v>2217</v>
      </c>
    </row>
    <row r="38" spans="1:7" ht="13.5" customHeight="1">
      <c r="A38" s="887" t="s">
        <v>799</v>
      </c>
      <c r="B38" s="220" t="s">
        <v>2218</v>
      </c>
      <c r="C38" s="225">
        <f ca="1">ROUND(C34*F38,0)</f>
        <v>48</v>
      </c>
      <c r="D38" s="225"/>
      <c r="E38" s="225"/>
      <c r="F38" s="264">
        <f>'数据-取费表'!B36</f>
        <v>1.4999999999999999E-2</v>
      </c>
      <c r="G38" s="224" t="s">
        <v>2213</v>
      </c>
    </row>
    <row r="39" spans="1:7" s="219" customFormat="1" ht="13.5" customHeight="1">
      <c r="A39" s="260" t="s">
        <v>2176</v>
      </c>
      <c r="B39" s="215" t="s">
        <v>2179</v>
      </c>
      <c r="C39" s="237">
        <f ca="1">ROUND(C33*F20,0)</f>
        <v>110</v>
      </c>
      <c r="D39" s="237"/>
      <c r="E39" s="237"/>
      <c r="F39" s="2532">
        <f>F20</f>
        <v>0.03</v>
      </c>
      <c r="G39" s="239" t="s">
        <v>2221</v>
      </c>
    </row>
    <row r="40" spans="1:7" s="219" customFormat="1" ht="13.5" customHeight="1">
      <c r="A40" s="260" t="s">
        <v>2178</v>
      </c>
      <c r="B40" s="215" t="s">
        <v>2182</v>
      </c>
      <c r="C40" s="1493">
        <f>F21</f>
        <v>0.03</v>
      </c>
      <c r="D40" s="241" t="s">
        <v>2224</v>
      </c>
      <c r="E40" s="237"/>
      <c r="F40" s="2532">
        <f>F21</f>
        <v>0.03</v>
      </c>
      <c r="G40" s="239" t="s">
        <v>2225</v>
      </c>
    </row>
    <row r="41" spans="1:7" s="219" customFormat="1" ht="13.5" customHeight="1">
      <c r="A41" s="260" t="s">
        <v>2181</v>
      </c>
      <c r="B41" s="215" t="s">
        <v>2186</v>
      </c>
      <c r="C41" s="237">
        <f ca="1">ROUND(SUM(C42:C43),0)</f>
        <v>164</v>
      </c>
      <c r="D41" s="240">
        <f ca="1">C44</f>
        <v>1.2999999999999999E-3</v>
      </c>
      <c r="E41" s="241" t="s">
        <v>2224</v>
      </c>
      <c r="F41" s="2533">
        <f ca="1">F22</f>
        <v>4.3499999999999997E-2</v>
      </c>
      <c r="G41" s="239" t="str">
        <f>IF('数据-取费表'!B22&lt;=1,"单利计息","复利计息")</f>
        <v>复利计息</v>
      </c>
    </row>
    <row r="42" spans="1:7" ht="13.5" customHeight="1">
      <c r="A42" s="887" t="s">
        <v>791</v>
      </c>
      <c r="B42" s="220" t="s">
        <v>2188</v>
      </c>
      <c r="C42" s="243">
        <f ca="1">ROUND(IF('数据-取费表'!B22&lt;=1,C33*F22*'数据-取费表'!B21/2,C33*(POWER((1+F22),'数据-取费表'!B21/2)-1)),0)</f>
        <v>159</v>
      </c>
      <c r="D42" s="243"/>
      <c r="E42" s="243"/>
      <c r="F42" s="244"/>
      <c r="G42" s="3467" t="s">
        <v>2229</v>
      </c>
    </row>
    <row r="43" spans="1:7" ht="13.5" customHeight="1">
      <c r="A43" s="887" t="s">
        <v>792</v>
      </c>
      <c r="B43" s="220" t="s">
        <v>2191</v>
      </c>
      <c r="C43" s="243">
        <f ca="1">ROUND(IF('数据-取费表'!B22&lt;=1,C39*F22*'数据-取费表'!B21/2,C39*(POWER((1+F22),'数据-取费表'!B21/2)-1)),0)</f>
        <v>5</v>
      </c>
      <c r="D43" s="243"/>
      <c r="E43" s="243"/>
      <c r="F43" s="244"/>
      <c r="G43" s="3468"/>
    </row>
    <row r="44" spans="1:7" ht="13.5" customHeight="1">
      <c r="A44" s="887" t="s">
        <v>793</v>
      </c>
      <c r="B44" s="220" t="s">
        <v>2194</v>
      </c>
      <c r="C44" s="243">
        <f ca="1">ROUND(IF('数据-取费表'!B22&lt;=1,C40*F22*'数据-取费表'!B21/2,C40*(POWER((1+F22),'数据-取费表'!B21/2)-1)),4)</f>
        <v>1.2999999999999999E-3</v>
      </c>
      <c r="D44" s="243"/>
      <c r="E44" s="243"/>
      <c r="F44" s="244"/>
      <c r="G44" s="3469"/>
    </row>
    <row r="45" spans="1:7" s="219" customFormat="1" ht="13.5" customHeight="1">
      <c r="A45" s="260" t="s">
        <v>2185</v>
      </c>
      <c r="B45" s="249" t="s">
        <v>2198</v>
      </c>
      <c r="C45" s="250">
        <f ca="1">C46</f>
        <v>188</v>
      </c>
      <c r="D45" s="240">
        <f ca="1">C47</f>
        <v>1.5E-3</v>
      </c>
      <c r="E45" s="241" t="s">
        <v>2224</v>
      </c>
      <c r="F45" s="2534">
        <f ca="1">F27</f>
        <v>0.05</v>
      </c>
      <c r="G45" s="252" t="s">
        <v>2233</v>
      </c>
    </row>
    <row r="46" spans="1:7" s="219" customFormat="1" ht="13.5" customHeight="1">
      <c r="A46" s="887" t="s">
        <v>791</v>
      </c>
      <c r="B46" s="253" t="s">
        <v>2234</v>
      </c>
      <c r="C46" s="254">
        <f ca="1">ROUND((C33+C39)*F27,0)</f>
        <v>188</v>
      </c>
      <c r="D46" s="268"/>
      <c r="E46" s="241"/>
      <c r="F46" s="251"/>
      <c r="G46" s="252"/>
    </row>
    <row r="47" spans="1:7" s="219" customFormat="1" ht="13.5" customHeight="1">
      <c r="A47" s="887" t="s">
        <v>792</v>
      </c>
      <c r="B47" s="253" t="s">
        <v>2235</v>
      </c>
      <c r="C47" s="243">
        <f ca="1">ROUND(C40*F27,4)</f>
        <v>1.5E-3</v>
      </c>
      <c r="D47" s="268"/>
      <c r="E47" s="241"/>
      <c r="F47" s="251"/>
      <c r="G47" s="252"/>
    </row>
    <row r="48" spans="1:7" s="219" customFormat="1" ht="13.5" customHeight="1">
      <c r="A48" s="260" t="s">
        <v>2197</v>
      </c>
      <c r="B48" s="215" t="s">
        <v>2236</v>
      </c>
      <c r="C48" s="1493">
        <f>ROUND(F30/(1+'数据-取费表'!C42),4)</f>
        <v>5.2400000000000002E-2</v>
      </c>
      <c r="D48" s="241" t="s">
        <v>2224</v>
      </c>
      <c r="E48" s="237"/>
      <c r="F48" s="2533">
        <f>F30</f>
        <v>5.5000000000000007E-2</v>
      </c>
      <c r="G48" s="239" t="s">
        <v>2237</v>
      </c>
    </row>
    <row r="49" spans="1:7" ht="16.5" customHeight="1">
      <c r="A49" s="260" t="s">
        <v>2203</v>
      </c>
      <c r="B49" s="215" t="s">
        <v>2238</v>
      </c>
      <c r="C49" s="237">
        <f ca="1">ROUND((C33+C39+C41+C45)/(1-C40-D41-D45-C48),0)</f>
        <v>4502</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4502</v>
      </c>
      <c r="D51" s="237"/>
      <c r="E51" s="237"/>
      <c r="F51" s="269"/>
      <c r="G51" s="239" t="s">
        <v>2245</v>
      </c>
    </row>
    <row r="52" spans="1:7" s="213" customFormat="1" ht="16.5" thickBot="1">
      <c r="A52" s="270" t="s">
        <v>2246</v>
      </c>
      <c r="B52" s="271"/>
      <c r="C52" s="272">
        <f ca="1">C31+C51</f>
        <v>6486</v>
      </c>
      <c r="D52" s="271"/>
      <c r="E52" s="271"/>
      <c r="F52" s="271"/>
      <c r="G52" s="273"/>
    </row>
    <row r="55" spans="1:7" ht="15">
      <c r="B55" s="275" t="s">
        <v>2247</v>
      </c>
      <c r="C55" s="276"/>
    </row>
    <row r="56" spans="1:7">
      <c r="B56" s="278" t="s">
        <v>1478</v>
      </c>
      <c r="C56" s="280">
        <f ca="1">1-C57</f>
        <v>0.30600000000000005</v>
      </c>
    </row>
    <row r="57" spans="1:7">
      <c r="B57" s="278" t="s">
        <v>1479</v>
      </c>
      <c r="C57" s="279">
        <f ca="1">ROUND(C51/C52,3)</f>
        <v>0.69399999999999995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9" xr:uid="{00000000-0002-0000-2800-000003000000}">
      <formula1>"部分缴纳,全部缴纳"</formula1>
    </dataValidation>
    <dataValidation type="list" allowBlank="1" showInputMessage="1" showErrorMessage="1" sqref="G2" xr:uid="{00000000-0002-0000-2800-000004000000}">
      <formula1>估价方法</formula1>
    </dataValidation>
    <dataValidation type="list" allowBlank="1" showInputMessage="1" showErrorMessage="1" sqref="D2" xr:uid="{00000000-0002-0000-2800-000005000000}">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10" zoomScale="80" zoomScaleNormal="60" zoomScaleSheetLayoutView="80" workbookViewId="0">
      <selection activeCell="E5" sqref="E5:F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2527</v>
      </c>
      <c r="B1" s="1389" t="s">
        <v>3061</v>
      </c>
      <c r="C1" s="1390" t="s">
        <v>2350</v>
      </c>
      <c r="D1" s="1391" t="s">
        <v>48</v>
      </c>
      <c r="E1" s="1392"/>
      <c r="F1" s="2062" t="s">
        <v>4214</v>
      </c>
      <c r="G1" s="1393" t="s">
        <v>2463</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2147</v>
      </c>
      <c r="B2" s="1325">
        <f>IF(C2="——",IF(B37="元/平方米",ROUND(C39*D3/10000,0),ROUND(F3*C39/10000,0)),IF(B37="元/平方米",ROUND(C39*D3/10000,0),ROUND(F3*C39/10000,0))-D2)</f>
        <v>9072</v>
      </c>
      <c r="C2" s="2064" t="s">
        <v>70</v>
      </c>
      <c r="D2" s="1037" t="e">
        <f ca="1">SUMIF(INDIRECT("'"&amp;F2&amp;"'"&amp;"!A:A"),"承租人权益价值",INDIRECT("'"&amp;F2&amp;"'"&amp;"!c:c"))</f>
        <v>#REF!</v>
      </c>
      <c r="E2" s="2065" t="s">
        <v>2148</v>
      </c>
      <c r="F2" s="2066"/>
      <c r="G2" s="1038"/>
      <c r="H2" s="1038"/>
      <c r="I2" s="1038"/>
      <c r="J2" s="1038"/>
      <c r="K2" s="1040"/>
      <c r="L2" s="2956"/>
      <c r="M2" s="2957"/>
      <c r="N2" s="2957"/>
      <c r="O2" s="2957"/>
      <c r="P2" s="1326"/>
      <c r="Q2" s="707"/>
      <c r="R2" s="707"/>
      <c r="S2" s="707"/>
      <c r="T2" s="707"/>
      <c r="U2" s="707"/>
      <c r="V2" s="707"/>
      <c r="W2" s="707"/>
      <c r="X2" s="707"/>
      <c r="Y2" s="707"/>
      <c r="Z2" s="707"/>
      <c r="AA2" s="707"/>
      <c r="AB2" s="707"/>
      <c r="AC2" s="708"/>
    </row>
    <row r="3" spans="1:29" s="357" customFormat="1" ht="28.5" customHeight="1" thickBot="1">
      <c r="A3" s="208" t="s">
        <v>2149</v>
      </c>
      <c r="B3" s="565">
        <f>IF(AND(C2="——",B37="元/平方米"),C39,ROUND(B2*10000/D3,0))</f>
        <v>8423</v>
      </c>
      <c r="C3" s="359" t="s">
        <v>2464</v>
      </c>
      <c r="D3" s="358">
        <f>SUMIF('数据-汇总表'!$C19:$C33,D1,'数据-汇总表'!$E19:$E33)</f>
        <v>10771.04</v>
      </c>
      <c r="E3" s="359" t="s">
        <v>2528</v>
      </c>
      <c r="F3" s="358">
        <f>SUMIF('数据-取费表'!A5:A15,D1,'数据-取费表'!AH5:AH15)</f>
        <v>236</v>
      </c>
      <c r="G3" s="1038"/>
      <c r="H3" s="1038"/>
      <c r="I3" s="1038"/>
      <c r="J3" s="1038"/>
      <c r="K3" s="1040"/>
      <c r="L3" s="2956"/>
      <c r="M3" s="2957"/>
      <c r="N3" s="2957"/>
      <c r="O3" s="2957"/>
      <c r="P3" s="1326"/>
      <c r="Q3" s="707"/>
      <c r="R3" s="707"/>
      <c r="S3" s="707"/>
      <c r="T3" s="707"/>
      <c r="U3" s="707"/>
      <c r="V3" s="707"/>
      <c r="W3" s="707"/>
      <c r="X3" s="707"/>
      <c r="Y3" s="707"/>
      <c r="Z3" s="707"/>
      <c r="AA3" s="707"/>
      <c r="AB3" s="724"/>
      <c r="AC3" s="721"/>
    </row>
    <row r="4" spans="1:29" ht="15">
      <c r="A4" s="360" t="s">
        <v>2465</v>
      </c>
      <c r="B4" s="361"/>
      <c r="C4" s="3516" t="s">
        <v>2466</v>
      </c>
      <c r="D4" s="3517"/>
      <c r="E4" s="3518" t="s">
        <v>2467</v>
      </c>
      <c r="F4" s="3519"/>
      <c r="G4" s="3516" t="s">
        <v>2468</v>
      </c>
      <c r="H4" s="3517"/>
      <c r="I4" s="3516" t="s">
        <v>2469</v>
      </c>
      <c r="J4" s="3517"/>
      <c r="K4" s="566" t="s">
        <v>2470</v>
      </c>
      <c r="L4" s="2937"/>
      <c r="M4" s="2938"/>
      <c r="N4" s="2938"/>
      <c r="O4" s="2938"/>
      <c r="P4" s="3520" t="s">
        <v>2471</v>
      </c>
      <c r="Q4" s="3521"/>
      <c r="R4" s="3503" t="s">
        <v>2467</v>
      </c>
      <c r="S4" s="3504"/>
      <c r="T4" s="3503" t="s">
        <v>2468</v>
      </c>
      <c r="U4" s="3504"/>
      <c r="V4" s="3528" t="s">
        <v>2469</v>
      </c>
      <c r="W4" s="3528"/>
      <c r="X4" s="1537"/>
      <c r="Y4" s="3503" t="s">
        <v>2471</v>
      </c>
      <c r="Z4" s="3504"/>
      <c r="AA4" s="3498" t="s">
        <v>2467</v>
      </c>
      <c r="AB4" s="3499" t="s">
        <v>2468</v>
      </c>
      <c r="AC4" s="3498" t="s">
        <v>2469</v>
      </c>
    </row>
    <row r="5" spans="1:29" ht="15">
      <c r="A5" s="363"/>
      <c r="B5" s="364"/>
      <c r="C5" s="3543" t="s">
        <v>2362</v>
      </c>
      <c r="D5" s="3544"/>
      <c r="E5" s="3557" t="str">
        <f>车库案例!A1</f>
        <v>诺德阅墅</v>
      </c>
      <c r="F5" s="3542"/>
      <c r="G5" s="3543" t="str">
        <f>车库案例!A4</f>
        <v>建邦·顺颐府</v>
      </c>
      <c r="H5" s="3544"/>
      <c r="I5" s="3543" t="str">
        <f>车库案例!A10</f>
        <v>公园十七区</v>
      </c>
      <c r="J5" s="3544"/>
      <c r="K5" s="566"/>
      <c r="L5" s="2937"/>
      <c r="M5" s="2938"/>
      <c r="N5" s="2938"/>
      <c r="O5" s="2938"/>
      <c r="P5" s="3522"/>
      <c r="Q5" s="3523"/>
      <c r="R5" s="3505"/>
      <c r="S5" s="3506"/>
      <c r="T5" s="3505"/>
      <c r="U5" s="3506"/>
      <c r="V5" s="3528"/>
      <c r="W5" s="3528"/>
      <c r="X5" s="1537"/>
      <c r="Y5" s="3505"/>
      <c r="Z5" s="3506"/>
      <c r="AA5" s="3499"/>
      <c r="AB5" s="3499"/>
      <c r="AC5" s="3499"/>
    </row>
    <row r="6" spans="1:29" ht="15.75" thickBot="1">
      <c r="A6" s="365"/>
      <c r="B6" s="366"/>
      <c r="C6" s="3545" t="s">
        <v>2366</v>
      </c>
      <c r="D6" s="3546"/>
      <c r="E6" s="3547" t="s">
        <v>2366</v>
      </c>
      <c r="F6" s="3548"/>
      <c r="G6" s="3545" t="s">
        <v>2366</v>
      </c>
      <c r="H6" s="3546"/>
      <c r="I6" s="3545" t="s">
        <v>2366</v>
      </c>
      <c r="J6" s="3546"/>
      <c r="K6" s="566" t="s">
        <v>2367</v>
      </c>
      <c r="L6" s="2937"/>
      <c r="M6" s="2938"/>
      <c r="N6" s="2938"/>
      <c r="O6" s="2938"/>
      <c r="P6" s="3524"/>
      <c r="Q6" s="3525"/>
      <c r="R6" s="3505"/>
      <c r="S6" s="3506"/>
      <c r="T6" s="3526"/>
      <c r="U6" s="3527"/>
      <c r="V6" s="3528"/>
      <c r="W6" s="3528"/>
      <c r="X6" s="1537"/>
      <c r="Y6" s="3526"/>
      <c r="Z6" s="3527"/>
      <c r="AA6" s="3500"/>
      <c r="AB6" s="3500"/>
      <c r="AC6" s="3500"/>
    </row>
    <row r="7" spans="1:29" s="112" customFormat="1" ht="15.75" thickBot="1">
      <c r="A7" s="367" t="s">
        <v>2368</v>
      </c>
      <c r="B7" s="368"/>
      <c r="C7" s="369">
        <f>'数据-取费表'!B2</f>
        <v>44495</v>
      </c>
      <c r="D7" s="370">
        <v>100</v>
      </c>
      <c r="E7" s="371">
        <f>C7</f>
        <v>44495</v>
      </c>
      <c r="F7" s="372">
        <f>SUMIF(48:48,YEAR(E7)&amp;"-"&amp;MONTH(E7),49:49)</f>
        <v>100</v>
      </c>
      <c r="G7" s="371">
        <f>C7</f>
        <v>44495</v>
      </c>
      <c r="H7" s="370">
        <f>SUMIF(48:48,YEAR(G7)&amp;"-"&amp;MONTH(G7),49:49)</f>
        <v>100</v>
      </c>
      <c r="I7" s="371">
        <f>C7</f>
        <v>44495</v>
      </c>
      <c r="J7" s="370">
        <f>SUMIF(48:48,YEAR(I7)&amp;"-"&amp;MONTH(I7),49:49)</f>
        <v>100</v>
      </c>
      <c r="K7" s="567"/>
      <c r="L7" s="2939"/>
      <c r="M7" s="2940"/>
      <c r="N7" s="2940"/>
      <c r="O7" s="2940"/>
      <c r="P7" s="3501" t="s">
        <v>2369</v>
      </c>
      <c r="Q7" s="3529"/>
      <c r="R7" s="709" t="s">
        <v>17</v>
      </c>
      <c r="S7" s="710">
        <f t="shared" ref="S7:S14" si="0">F7</f>
        <v>100</v>
      </c>
      <c r="T7" s="709" t="s">
        <v>17</v>
      </c>
      <c r="U7" s="710">
        <f t="shared" ref="U7:U14" si="1">H7</f>
        <v>100</v>
      </c>
      <c r="V7" s="709" t="s">
        <v>17</v>
      </c>
      <c r="W7" s="710">
        <f t="shared" ref="W7:W14" si="2">J7</f>
        <v>100</v>
      </c>
      <c r="X7" s="711"/>
      <c r="Y7" s="3501" t="s">
        <v>2369</v>
      </c>
      <c r="Z7" s="3502"/>
      <c r="AA7" s="712">
        <f>D7/F7</f>
        <v>1</v>
      </c>
      <c r="AB7" s="712">
        <f>D7/H7</f>
        <v>1</v>
      </c>
      <c r="AC7" s="712">
        <f>D7/J7</f>
        <v>1</v>
      </c>
    </row>
    <row r="8" spans="1:29" s="112" customFormat="1" ht="15.75" thickBot="1">
      <c r="A8" s="367" t="s">
        <v>2370</v>
      </c>
      <c r="B8" s="368"/>
      <c r="C8" s="373" t="s">
        <v>2472</v>
      </c>
      <c r="D8" s="370">
        <v>100</v>
      </c>
      <c r="E8" s="373" t="s">
        <v>4215</v>
      </c>
      <c r="F8" s="372">
        <f>SUMIF(51:51,E8,52:52)-SUMIF(51:51,C8,52:52)+100</f>
        <v>100</v>
      </c>
      <c r="G8" s="373" t="s">
        <v>4215</v>
      </c>
      <c r="H8" s="370">
        <f>SUMIF(51:51,G8,52:52)-SUMIF(51:51,C8,52:52)+100</f>
        <v>100</v>
      </c>
      <c r="I8" s="373" t="s">
        <v>4215</v>
      </c>
      <c r="J8" s="370">
        <f>SUMIF(51:51,I8,52:52)-SUMIF(51:51,C8,52:52)+100</f>
        <v>100</v>
      </c>
      <c r="K8" s="567"/>
      <c r="L8" s="2939"/>
      <c r="M8" s="2940"/>
      <c r="N8" s="2940"/>
      <c r="O8" s="2940"/>
      <c r="P8" s="3501" t="s">
        <v>2372</v>
      </c>
      <c r="Q8" s="3502"/>
      <c r="R8" s="709" t="s">
        <v>17</v>
      </c>
      <c r="S8" s="710">
        <f t="shared" si="0"/>
        <v>100</v>
      </c>
      <c r="T8" s="709" t="s">
        <v>17</v>
      </c>
      <c r="U8" s="710">
        <f t="shared" si="1"/>
        <v>100</v>
      </c>
      <c r="V8" s="709" t="s">
        <v>17</v>
      </c>
      <c r="W8" s="710">
        <f t="shared" si="2"/>
        <v>100</v>
      </c>
      <c r="X8" s="711"/>
      <c r="Y8" s="3501" t="s">
        <v>2372</v>
      </c>
      <c r="Z8" s="3502"/>
      <c r="AA8" s="712">
        <f t="shared" ref="AA8:AA36" si="3">D8/F8</f>
        <v>1</v>
      </c>
      <c r="AB8" s="712">
        <f t="shared" ref="AB8:AB36" si="4">D8/H8</f>
        <v>1</v>
      </c>
      <c r="AC8" s="712">
        <f t="shared" ref="AC8:AC36" si="5">D8/J8</f>
        <v>1</v>
      </c>
    </row>
    <row r="9" spans="1:29" s="112" customFormat="1">
      <c r="A9" s="63" t="s">
        <v>2373</v>
      </c>
      <c r="B9" s="595" t="s">
        <v>2374</v>
      </c>
      <c r="C9" s="3159" t="s">
        <v>4380</v>
      </c>
      <c r="D9" s="130">
        <v>100</v>
      </c>
      <c r="E9" s="378" t="s">
        <v>48</v>
      </c>
      <c r="F9" s="130">
        <f>SUMIF(53:53,E9,54:54)-SUMIF(53:53,C9,54:54)+100</f>
        <v>100</v>
      </c>
      <c r="G9" s="376" t="s">
        <v>48</v>
      </c>
      <c r="H9" s="130">
        <f>SUMIF(53:53,G9,54:54)-SUMIF(53:53,C9,54:54)+100</f>
        <v>100</v>
      </c>
      <c r="I9" s="376" t="s">
        <v>48</v>
      </c>
      <c r="J9" s="130">
        <f>SUMIF(53:53,I9,54:54)-SUMIF(53:53,C9,54:54)+100</f>
        <v>100</v>
      </c>
      <c r="K9" s="567"/>
      <c r="L9" s="2939"/>
      <c r="M9" s="2940"/>
      <c r="N9" s="2940"/>
      <c r="O9" s="2940"/>
      <c r="P9" s="3515" t="s">
        <v>2375</v>
      </c>
      <c r="Q9" s="1525" t="str">
        <f t="shared" ref="Q9:Q14" si="6">B9</f>
        <v>用途</v>
      </c>
      <c r="R9" s="709" t="s">
        <v>17</v>
      </c>
      <c r="S9" s="710">
        <f t="shared" si="0"/>
        <v>100</v>
      </c>
      <c r="T9" s="709" t="s">
        <v>17</v>
      </c>
      <c r="U9" s="710">
        <f t="shared" si="1"/>
        <v>100</v>
      </c>
      <c r="V9" s="709" t="s">
        <v>17</v>
      </c>
      <c r="W9" s="710">
        <f t="shared" si="2"/>
        <v>100</v>
      </c>
      <c r="X9" s="711"/>
      <c r="Y9" s="3443" t="s">
        <v>2376</v>
      </c>
      <c r="Z9" s="54" t="str">
        <f t="shared" ref="Z9:Z14" si="7">Q9</f>
        <v>用途</v>
      </c>
      <c r="AA9" s="712">
        <f t="shared" si="3"/>
        <v>1</v>
      </c>
      <c r="AB9" s="712">
        <f t="shared" si="4"/>
        <v>1</v>
      </c>
      <c r="AC9" s="712">
        <f t="shared" si="5"/>
        <v>1</v>
      </c>
    </row>
    <row r="10" spans="1:29" s="385" customFormat="1" ht="27">
      <c r="A10" s="596"/>
      <c r="B10" s="597" t="s">
        <v>2377</v>
      </c>
      <c r="C10" s="381" t="s">
        <v>4379</v>
      </c>
      <c r="D10" s="131">
        <v>100</v>
      </c>
      <c r="E10" s="381" t="s">
        <v>4379</v>
      </c>
      <c r="F10" s="131">
        <f>SUMIF(55:55,E10,56:56)-SUMIF(55:55,C10,56:56)+100</f>
        <v>100</v>
      </c>
      <c r="G10" s="382" t="s">
        <v>4379</v>
      </c>
      <c r="H10" s="131">
        <f>SUMIF(55:55,G10,56:56)-SUMIF(55:55,C10,56:56)+100</f>
        <v>100</v>
      </c>
      <c r="I10" s="381" t="s">
        <v>4379</v>
      </c>
      <c r="J10" s="131">
        <f>SUMIF(55:55,I10,56:56)-SUMIF(55:55,C10,56:56)+100</f>
        <v>100</v>
      </c>
      <c r="K10" s="568">
        <v>2</v>
      </c>
      <c r="L10" s="2941"/>
      <c r="M10" s="2942"/>
      <c r="N10" s="2942"/>
      <c r="O10" s="2942"/>
      <c r="P10" s="3515"/>
      <c r="Q10" s="1525" t="str">
        <f t="shared" si="6"/>
        <v>土地使用年限（年）</v>
      </c>
      <c r="R10" s="709" t="s">
        <v>17</v>
      </c>
      <c r="S10" s="710">
        <f t="shared" si="0"/>
        <v>100</v>
      </c>
      <c r="T10" s="709" t="s">
        <v>17</v>
      </c>
      <c r="U10" s="710">
        <f t="shared" si="1"/>
        <v>100</v>
      </c>
      <c r="V10" s="709" t="s">
        <v>17</v>
      </c>
      <c r="W10" s="710">
        <f t="shared" si="2"/>
        <v>100</v>
      </c>
      <c r="X10" s="711"/>
      <c r="Y10" s="3443"/>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3"/>
      <c r="M11" s="2938"/>
      <c r="N11" s="2938"/>
      <c r="O11" s="2938"/>
      <c r="P11" s="3515"/>
      <c r="Q11" s="1525">
        <f t="shared" si="6"/>
        <v>111</v>
      </c>
      <c r="R11" s="709" t="s">
        <v>17</v>
      </c>
      <c r="S11" s="710">
        <f t="shared" si="0"/>
        <v>100</v>
      </c>
      <c r="T11" s="709" t="s">
        <v>17</v>
      </c>
      <c r="U11" s="710">
        <f t="shared" si="1"/>
        <v>100</v>
      </c>
      <c r="V11" s="709" t="s">
        <v>17</v>
      </c>
      <c r="W11" s="710">
        <f t="shared" si="2"/>
        <v>100</v>
      </c>
      <c r="X11" s="711"/>
      <c r="Y11" s="3443"/>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9"/>
      <c r="M12" s="2940"/>
      <c r="N12" s="2940"/>
      <c r="O12" s="2940"/>
      <c r="P12" s="3515"/>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4"/>
      <c r="M13" s="2938"/>
      <c r="N13" s="2938"/>
      <c r="O13" s="2938"/>
      <c r="P13" s="3515"/>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712">
        <f t="shared" si="5"/>
        <v>1</v>
      </c>
    </row>
    <row r="14" spans="1:29" ht="15">
      <c r="A14" s="360" t="s">
        <v>2379</v>
      </c>
      <c r="B14" s="584" t="s">
        <v>2529</v>
      </c>
      <c r="C14" s="2154"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v>5</v>
      </c>
      <c r="L14" s="2944"/>
      <c r="M14" s="2938"/>
      <c r="N14" s="2938"/>
      <c r="O14" s="2938"/>
      <c r="P14" s="3530" t="s">
        <v>2380</v>
      </c>
      <c r="Q14" s="1534" t="str">
        <f t="shared" si="6"/>
        <v>交通便捷度</v>
      </c>
      <c r="R14" s="713" t="s">
        <v>17</v>
      </c>
      <c r="S14" s="714">
        <f t="shared" si="0"/>
        <v>100</v>
      </c>
      <c r="T14" s="713" t="s">
        <v>17</v>
      </c>
      <c r="U14" s="714">
        <f t="shared" si="1"/>
        <v>100</v>
      </c>
      <c r="V14" s="713" t="s">
        <v>17</v>
      </c>
      <c r="W14" s="714">
        <f t="shared" si="2"/>
        <v>100</v>
      </c>
      <c r="X14" s="1537"/>
      <c r="Y14" s="3530" t="s">
        <v>2380</v>
      </c>
      <c r="Z14" s="1538" t="str">
        <f t="shared" si="7"/>
        <v>交通便捷度</v>
      </c>
      <c r="AA14" s="1535">
        <f t="shared" si="3"/>
        <v>1</v>
      </c>
      <c r="AB14" s="1535">
        <f t="shared" si="4"/>
        <v>1</v>
      </c>
      <c r="AC14" s="1535">
        <f t="shared" si="5"/>
        <v>1</v>
      </c>
    </row>
    <row r="15" spans="1:29" ht="15">
      <c r="A15" s="363"/>
      <c r="B15" s="602"/>
      <c r="C15" s="405" t="s">
        <v>4350</v>
      </c>
      <c r="D15" s="406"/>
      <c r="E15" s="405" t="s">
        <v>4350</v>
      </c>
      <c r="F15" s="407"/>
      <c r="G15" s="405" t="s">
        <v>4350</v>
      </c>
      <c r="H15" s="408"/>
      <c r="I15" s="405" t="s">
        <v>4350</v>
      </c>
      <c r="J15" s="406"/>
      <c r="K15" s="571"/>
      <c r="L15" s="2944"/>
      <c r="M15" s="2938"/>
      <c r="N15" s="2938"/>
      <c r="O15" s="2938"/>
      <c r="P15" s="3531"/>
      <c r="Q15" s="1534"/>
      <c r="R15" s="713"/>
      <c r="S15" s="714"/>
      <c r="T15" s="713"/>
      <c r="U15" s="714"/>
      <c r="V15" s="713"/>
      <c r="W15" s="714"/>
      <c r="X15" s="1537"/>
      <c r="Y15" s="3531"/>
      <c r="Z15" s="1538"/>
      <c r="AA15" s="1535">
        <v>1</v>
      </c>
      <c r="AB15" s="1535">
        <v>1</v>
      </c>
      <c r="AC15" s="1535">
        <v>1</v>
      </c>
    </row>
    <row r="16" spans="1:29" ht="15">
      <c r="A16" s="363"/>
      <c r="B16" s="586" t="s">
        <v>2508</v>
      </c>
      <c r="C16" s="2083" t="str">
        <f>IF(B1="工业",估价对象房地状况!G5,估价对象房地状况!C7)</f>
        <v>一般</v>
      </c>
      <c r="D16" s="413">
        <v>100</v>
      </c>
      <c r="E16" s="415"/>
      <c r="F16" s="416">
        <f>SUMIF(65:65,E17,66:66)-SUMIF(65:65,C17,66:66)+100</f>
        <v>102</v>
      </c>
      <c r="G16" s="417"/>
      <c r="H16" s="413">
        <f>SUMIF(65:65,G17,66:66)-SUMIF(65:65,C17,66:66)+100</f>
        <v>102</v>
      </c>
      <c r="I16" s="415"/>
      <c r="J16" s="413">
        <f>SUMIF(65:65,I17,66:66)-SUMIF(65:65,C17,66:66)+100</f>
        <v>102</v>
      </c>
      <c r="K16" s="570">
        <v>2</v>
      </c>
      <c r="L16" s="2944"/>
      <c r="M16" s="2938"/>
      <c r="N16" s="2938"/>
      <c r="O16" s="2938"/>
      <c r="P16" s="3531"/>
      <c r="Q16" s="1534" t="str">
        <f>B16</f>
        <v>公共配套设施</v>
      </c>
      <c r="R16" s="713" t="s">
        <v>17</v>
      </c>
      <c r="S16" s="714">
        <f>F16</f>
        <v>102</v>
      </c>
      <c r="T16" s="713" t="s">
        <v>17</v>
      </c>
      <c r="U16" s="714">
        <f>H16</f>
        <v>102</v>
      </c>
      <c r="V16" s="713" t="s">
        <v>17</v>
      </c>
      <c r="W16" s="714">
        <f>J16</f>
        <v>102</v>
      </c>
      <c r="X16" s="1537"/>
      <c r="Y16" s="3531"/>
      <c r="Z16" s="1538" t="str">
        <f>Q16</f>
        <v>公共配套设施</v>
      </c>
      <c r="AA16" s="1535">
        <f t="shared" si="3"/>
        <v>0.98039215686274506</v>
      </c>
      <c r="AB16" s="1535">
        <f t="shared" si="4"/>
        <v>0.98039215686274506</v>
      </c>
      <c r="AC16" s="1535">
        <f t="shared" si="5"/>
        <v>0.98039215686274506</v>
      </c>
    </row>
    <row r="17" spans="1:29" ht="15">
      <c r="A17" s="363"/>
      <c r="B17" s="587"/>
      <c r="C17" s="2084" t="s">
        <v>4350</v>
      </c>
      <c r="D17" s="406"/>
      <c r="E17" s="405" t="s">
        <v>4351</v>
      </c>
      <c r="F17" s="407"/>
      <c r="G17" s="405" t="s">
        <v>4351</v>
      </c>
      <c r="H17" s="406"/>
      <c r="I17" s="405" t="s">
        <v>4351</v>
      </c>
      <c r="J17" s="406"/>
      <c r="K17" s="571"/>
      <c r="L17" s="2944"/>
      <c r="M17" s="2938"/>
      <c r="N17" s="2938"/>
      <c r="O17" s="2938"/>
      <c r="P17" s="3531"/>
      <c r="Q17" s="1534"/>
      <c r="R17" s="713"/>
      <c r="S17" s="714"/>
      <c r="T17" s="713"/>
      <c r="U17" s="714"/>
      <c r="V17" s="713"/>
      <c r="W17" s="714"/>
      <c r="X17" s="1537"/>
      <c r="Y17" s="3531"/>
      <c r="Z17" s="1538"/>
      <c r="AA17" s="1535">
        <v>1</v>
      </c>
      <c r="AB17" s="1535">
        <v>1</v>
      </c>
      <c r="AC17" s="1535">
        <v>1</v>
      </c>
    </row>
    <row r="18" spans="1:29" ht="15">
      <c r="A18" s="363"/>
      <c r="B18" s="588" t="s">
        <v>2509</v>
      </c>
      <c r="C18" s="2083"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v>2</v>
      </c>
      <c r="L18" s="2944"/>
      <c r="M18" s="2938"/>
      <c r="N18" s="2938"/>
      <c r="O18" s="2938"/>
      <c r="P18" s="3531"/>
      <c r="Q18" s="1534" t="str">
        <f>B18</f>
        <v>基础设施水平</v>
      </c>
      <c r="R18" s="713" t="s">
        <v>17</v>
      </c>
      <c r="S18" s="714">
        <f>F18</f>
        <v>100</v>
      </c>
      <c r="T18" s="713" t="s">
        <v>17</v>
      </c>
      <c r="U18" s="714">
        <f>H18</f>
        <v>100</v>
      </c>
      <c r="V18" s="713" t="s">
        <v>17</v>
      </c>
      <c r="W18" s="714">
        <f>J18</f>
        <v>100</v>
      </c>
      <c r="X18" s="1537"/>
      <c r="Y18" s="3531"/>
      <c r="Z18" s="1538" t="str">
        <f>Q18</f>
        <v>基础设施水平</v>
      </c>
      <c r="AA18" s="1535">
        <f t="shared" ref="AA18" si="8">D18/F18</f>
        <v>1</v>
      </c>
      <c r="AB18" s="1535">
        <f t="shared" ref="AB18" si="9">D18/H18</f>
        <v>1</v>
      </c>
      <c r="AC18" s="1535">
        <f t="shared" ref="AC18" si="10">D18/J18</f>
        <v>1</v>
      </c>
    </row>
    <row r="19" spans="1:29" ht="15">
      <c r="A19" s="363"/>
      <c r="B19" s="588"/>
      <c r="C19" s="2084" t="s">
        <v>4316</v>
      </c>
      <c r="D19" s="408"/>
      <c r="E19" s="2084" t="s">
        <v>4316</v>
      </c>
      <c r="F19" s="411"/>
      <c r="G19" s="2084" t="s">
        <v>4316</v>
      </c>
      <c r="H19" s="406"/>
      <c r="I19" s="405" t="s">
        <v>4316</v>
      </c>
      <c r="J19" s="406"/>
      <c r="K19" s="1291"/>
      <c r="L19" s="2944"/>
      <c r="M19" s="2938"/>
      <c r="N19" s="2938"/>
      <c r="O19" s="2938"/>
      <c r="P19" s="3531"/>
      <c r="Q19" s="1534"/>
      <c r="R19" s="713"/>
      <c r="S19" s="714"/>
      <c r="T19" s="713"/>
      <c r="U19" s="714"/>
      <c r="V19" s="713"/>
      <c r="W19" s="714"/>
      <c r="X19" s="1537"/>
      <c r="Y19" s="3531"/>
      <c r="Z19" s="1538"/>
      <c r="AA19" s="1535">
        <v>1</v>
      </c>
      <c r="AB19" s="1535">
        <v>1</v>
      </c>
      <c r="AC19" s="1535">
        <v>1</v>
      </c>
    </row>
    <row r="20" spans="1:29" ht="15">
      <c r="A20" s="363"/>
      <c r="B20" s="586" t="s">
        <v>2530</v>
      </c>
      <c r="C20" s="2083"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v>2</v>
      </c>
      <c r="L20" s="2944"/>
      <c r="M20" s="2938"/>
      <c r="N20" s="2938"/>
      <c r="O20" s="2938"/>
      <c r="P20" s="3531"/>
      <c r="Q20" s="1534" t="str">
        <f>B20</f>
        <v>自然及人文环境</v>
      </c>
      <c r="R20" s="713" t="s">
        <v>17</v>
      </c>
      <c r="S20" s="714">
        <f>F20</f>
        <v>100</v>
      </c>
      <c r="T20" s="713" t="s">
        <v>17</v>
      </c>
      <c r="U20" s="714">
        <f>H20</f>
        <v>100</v>
      </c>
      <c r="V20" s="713" t="s">
        <v>17</v>
      </c>
      <c r="W20" s="714">
        <f>J20</f>
        <v>100</v>
      </c>
      <c r="X20" s="1537"/>
      <c r="Y20" s="3531"/>
      <c r="Z20" s="1538" t="str">
        <f>Q20</f>
        <v>自然及人文环境</v>
      </c>
      <c r="AA20" s="1535">
        <f t="shared" si="3"/>
        <v>1</v>
      </c>
      <c r="AB20" s="1535">
        <f t="shared" si="4"/>
        <v>1</v>
      </c>
      <c r="AC20" s="1535">
        <f t="shared" si="5"/>
        <v>1</v>
      </c>
    </row>
    <row r="21" spans="1:29" ht="15">
      <c r="A21" s="363"/>
      <c r="B21" s="587"/>
      <c r="C21" s="405" t="s">
        <v>4350</v>
      </c>
      <c r="D21" s="406"/>
      <c r="E21" s="405" t="s">
        <v>4350</v>
      </c>
      <c r="F21" s="407"/>
      <c r="G21" s="405" t="s">
        <v>4350</v>
      </c>
      <c r="H21" s="406"/>
      <c r="I21" s="405" t="s">
        <v>4350</v>
      </c>
      <c r="J21" s="406"/>
      <c r="K21" s="571"/>
      <c r="L21" s="2944"/>
      <c r="M21" s="2938"/>
      <c r="N21" s="2938"/>
      <c r="O21" s="2938"/>
      <c r="P21" s="3531"/>
      <c r="Q21" s="1534"/>
      <c r="R21" s="713"/>
      <c r="S21" s="714"/>
      <c r="T21" s="713"/>
      <c r="U21" s="714"/>
      <c r="V21" s="713"/>
      <c r="W21" s="714"/>
      <c r="X21" s="1537"/>
      <c r="Y21" s="3531"/>
      <c r="Z21" s="1538"/>
      <c r="AA21" s="1535">
        <v>1</v>
      </c>
      <c r="AB21" s="1535">
        <v>1</v>
      </c>
      <c r="AC21" s="1535">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44"/>
      <c r="M22" s="2938"/>
      <c r="N22" s="2938"/>
      <c r="O22" s="2938"/>
      <c r="P22" s="3531"/>
      <c r="Q22" s="1534" t="str">
        <f>B22</f>
        <v>楼层</v>
      </c>
      <c r="R22" s="713" t="s">
        <v>17</v>
      </c>
      <c r="S22" s="714">
        <f>F22</f>
        <v>100</v>
      </c>
      <c r="T22" s="713" t="s">
        <v>17</v>
      </c>
      <c r="U22" s="714">
        <f>H22</f>
        <v>100</v>
      </c>
      <c r="V22" s="713" t="s">
        <v>17</v>
      </c>
      <c r="W22" s="714">
        <f>J22</f>
        <v>100</v>
      </c>
      <c r="X22" s="1537"/>
      <c r="Y22" s="3531"/>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4"/>
      <c r="M23" s="2938"/>
      <c r="N23" s="2938"/>
      <c r="O23" s="2938"/>
      <c r="P23" s="3531"/>
      <c r="Q23" s="1534">
        <f>B23</f>
        <v>111</v>
      </c>
      <c r="R23" s="713" t="s">
        <v>17</v>
      </c>
      <c r="S23" s="714">
        <f>F23</f>
        <v>100</v>
      </c>
      <c r="T23" s="713" t="s">
        <v>17</v>
      </c>
      <c r="U23" s="714">
        <f>H23</f>
        <v>100</v>
      </c>
      <c r="V23" s="713" t="s">
        <v>17</v>
      </c>
      <c r="W23" s="714">
        <f>J23</f>
        <v>100</v>
      </c>
      <c r="X23" s="1537"/>
      <c r="Y23" s="3531"/>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4"/>
      <c r="M24" s="2938"/>
      <c r="N24" s="2938"/>
      <c r="O24" s="2938"/>
      <c r="P24" s="3531"/>
      <c r="Q24" s="1534">
        <f t="shared" ref="Q24:Q36" si="11">B24</f>
        <v>111</v>
      </c>
      <c r="R24" s="713" t="s">
        <v>17</v>
      </c>
      <c r="S24" s="714">
        <f>F24</f>
        <v>100</v>
      </c>
      <c r="T24" s="713" t="s">
        <v>17</v>
      </c>
      <c r="U24" s="714">
        <f>H24</f>
        <v>100</v>
      </c>
      <c r="V24" s="713" t="s">
        <v>17</v>
      </c>
      <c r="W24" s="714">
        <f>J24</f>
        <v>100</v>
      </c>
      <c r="X24" s="1537"/>
      <c r="Y24" s="3531"/>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9"/>
      <c r="M25" s="2940"/>
      <c r="N25" s="2940"/>
      <c r="O25" s="2940"/>
      <c r="P25" s="3531"/>
      <c r="Q25" s="1525">
        <f t="shared" si="11"/>
        <v>111</v>
      </c>
      <c r="R25" s="709" t="s">
        <v>17</v>
      </c>
      <c r="S25" s="710">
        <f>F25</f>
        <v>100</v>
      </c>
      <c r="T25" s="709" t="s">
        <v>17</v>
      </c>
      <c r="U25" s="710">
        <f>H25</f>
        <v>100</v>
      </c>
      <c r="V25" s="709" t="s">
        <v>17</v>
      </c>
      <c r="W25" s="710">
        <f>J25</f>
        <v>100</v>
      </c>
      <c r="X25" s="711"/>
      <c r="Y25" s="3531"/>
      <c r="Z25" s="54">
        <f>Q25</f>
        <v>111</v>
      </c>
      <c r="AA25" s="1535">
        <f>D25/F25</f>
        <v>1</v>
      </c>
      <c r="AB25" s="1535">
        <f>D25/H25</f>
        <v>1</v>
      </c>
      <c r="AC25" s="1535">
        <f>D25/J25</f>
        <v>1</v>
      </c>
    </row>
    <row r="26" spans="1:29" ht="28.5">
      <c r="A26" s="607" t="s">
        <v>2383</v>
      </c>
      <c r="B26" s="65" t="s">
        <v>2532</v>
      </c>
      <c r="C26" s="2155" t="str">
        <f>B1</f>
        <v>住宅</v>
      </c>
      <c r="D26" s="406">
        <v>100</v>
      </c>
      <c r="E26" s="405" t="s">
        <v>3061</v>
      </c>
      <c r="F26" s="407">
        <f>SUMIF(79:79,E26,80:80)-SUMIF(79:79,C26,80:80)+100</f>
        <v>100</v>
      </c>
      <c r="G26" s="405" t="s">
        <v>3061</v>
      </c>
      <c r="H26" s="406">
        <f>SUMIF(79:79,G26,80:80)-SUMIF(79:79,C26,80:80)+100</f>
        <v>100</v>
      </c>
      <c r="I26" s="405" t="s">
        <v>3061</v>
      </c>
      <c r="J26" s="406">
        <f>SUMIF(79:79,I26,80:80)-SUMIF(79:79,C26,80:80)+100</f>
        <v>100</v>
      </c>
      <c r="K26" s="568">
        <v>2</v>
      </c>
      <c r="L26" s="2944"/>
      <c r="M26" s="2938"/>
      <c r="N26" s="2938"/>
      <c r="O26" s="2938"/>
      <c r="P26" s="3532" t="s">
        <v>2385</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533" t="s">
        <v>2385</v>
      </c>
      <c r="Z26" s="1538" t="str">
        <f t="shared" ref="Z26:Z36" si="15">Q26</f>
        <v>配套类型</v>
      </c>
      <c r="AA26" s="1535">
        <f t="shared" si="3"/>
        <v>1</v>
      </c>
      <c r="AB26" s="1535">
        <f t="shared" si="4"/>
        <v>1</v>
      </c>
      <c r="AC26" s="1535">
        <f t="shared" si="5"/>
        <v>1</v>
      </c>
    </row>
    <row r="27" spans="1:29" s="429" customFormat="1" ht="15">
      <c r="A27" s="608"/>
      <c r="B27" s="609" t="s">
        <v>2533</v>
      </c>
      <c r="C27" s="610" t="s">
        <v>4390</v>
      </c>
      <c r="D27" s="131">
        <v>100</v>
      </c>
      <c r="E27" s="610" t="s">
        <v>4394</v>
      </c>
      <c r="F27" s="419">
        <f>SUMIF(81:81,E27,82:82)-SUMIF(81:81,C27,82:82)+100</f>
        <v>97.5</v>
      </c>
      <c r="G27" s="610" t="s">
        <v>4394</v>
      </c>
      <c r="H27" s="393">
        <f>SUMIF(81:81,G27,82:82)-SUMIF(81:81,C27,82:82)+100</f>
        <v>97.5</v>
      </c>
      <c r="I27" s="610" t="s">
        <v>4392</v>
      </c>
      <c r="J27" s="393">
        <f>SUMIF(81:81,I27,82:82)-SUMIF(81:81,C27,82:82)+100</f>
        <v>96</v>
      </c>
      <c r="K27" s="569"/>
      <c r="L27" s="2943"/>
      <c r="M27" s="2945"/>
      <c r="N27" s="2945"/>
      <c r="O27" s="2945"/>
      <c r="P27" s="3533"/>
      <c r="Q27" s="715" t="str">
        <f t="shared" si="11"/>
        <v>项目停车位配比</v>
      </c>
      <c r="R27" s="716" t="s">
        <v>17</v>
      </c>
      <c r="S27" s="717">
        <f t="shared" si="12"/>
        <v>97.5</v>
      </c>
      <c r="T27" s="716" t="s">
        <v>17</v>
      </c>
      <c r="U27" s="717">
        <f t="shared" si="13"/>
        <v>97.5</v>
      </c>
      <c r="V27" s="716" t="s">
        <v>17</v>
      </c>
      <c r="W27" s="717">
        <f t="shared" si="14"/>
        <v>96</v>
      </c>
      <c r="X27" s="718"/>
      <c r="Y27" s="3533"/>
      <c r="Z27" s="719" t="str">
        <f t="shared" si="15"/>
        <v>项目停车位配比</v>
      </c>
      <c r="AA27" s="1535">
        <f t="shared" si="3"/>
        <v>1.0256410256410255</v>
      </c>
      <c r="AB27" s="1535">
        <f t="shared" si="4"/>
        <v>1.0256410256410255</v>
      </c>
      <c r="AC27" s="1535">
        <f t="shared" si="5"/>
        <v>1.0416666666666667</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44"/>
      <c r="M28" s="2938"/>
      <c r="N28" s="2938"/>
      <c r="O28" s="2938"/>
      <c r="P28" s="3533"/>
      <c r="Q28" s="1534" t="str">
        <f t="shared" si="11"/>
        <v>公共部分装修</v>
      </c>
      <c r="R28" s="713" t="s">
        <v>17</v>
      </c>
      <c r="S28" s="714">
        <f t="shared" si="12"/>
        <v>100</v>
      </c>
      <c r="T28" s="713" t="s">
        <v>17</v>
      </c>
      <c r="U28" s="714">
        <f t="shared" si="13"/>
        <v>100</v>
      </c>
      <c r="V28" s="713" t="s">
        <v>17</v>
      </c>
      <c r="W28" s="714">
        <f t="shared" si="14"/>
        <v>100</v>
      </c>
      <c r="X28" s="1537"/>
      <c r="Y28" s="3533"/>
      <c r="Z28" s="1538" t="str">
        <f t="shared" si="15"/>
        <v>公共部分装修</v>
      </c>
      <c r="AA28" s="1535">
        <f t="shared" si="3"/>
        <v>1</v>
      </c>
      <c r="AB28" s="1535">
        <f t="shared" si="4"/>
        <v>1</v>
      </c>
      <c r="AC28" s="1535">
        <f t="shared" si="5"/>
        <v>1</v>
      </c>
    </row>
    <row r="29" spans="1:29" ht="15">
      <c r="A29" s="611"/>
      <c r="B29" s="609" t="s">
        <v>2535</v>
      </c>
      <c r="C29" s="432">
        <v>1</v>
      </c>
      <c r="D29" s="393">
        <v>100</v>
      </c>
      <c r="E29" s="432">
        <v>1</v>
      </c>
      <c r="F29" s="419">
        <f>LOOKUP(E29,86:86,87:87)-LOOKUP(C29,86:86,87:87)+100</f>
        <v>100</v>
      </c>
      <c r="G29" s="432">
        <v>1</v>
      </c>
      <c r="H29" s="419">
        <f>LOOKUP(G29,86:86,87:87)-LOOKUP(C29,86:86,87:87)+100</f>
        <v>100</v>
      </c>
      <c r="I29" s="432">
        <v>1</v>
      </c>
      <c r="J29" s="393">
        <f>LOOKUP(I29,86:86,87:87)-LOOKUP(C29,86:86,87:87)+100</f>
        <v>100</v>
      </c>
      <c r="K29" s="568">
        <v>2</v>
      </c>
      <c r="L29" s="2944"/>
      <c r="M29" s="2938"/>
      <c r="N29" s="2938"/>
      <c r="O29" s="2938"/>
      <c r="P29" s="3533"/>
      <c r="Q29" s="1534" t="str">
        <f t="shared" si="11"/>
        <v>成新率</v>
      </c>
      <c r="R29" s="713" t="s">
        <v>17</v>
      </c>
      <c r="S29" s="714">
        <f t="shared" si="12"/>
        <v>100</v>
      </c>
      <c r="T29" s="713" t="s">
        <v>17</v>
      </c>
      <c r="U29" s="714">
        <f t="shared" si="13"/>
        <v>100</v>
      </c>
      <c r="V29" s="713" t="s">
        <v>17</v>
      </c>
      <c r="W29" s="714">
        <f t="shared" si="14"/>
        <v>100</v>
      </c>
      <c r="X29" s="1537"/>
      <c r="Y29" s="3533"/>
      <c r="Z29" s="1538" t="str">
        <f t="shared" si="15"/>
        <v>成新率</v>
      </c>
      <c r="AA29" s="1535">
        <f t="shared" si="3"/>
        <v>1</v>
      </c>
      <c r="AB29" s="1535">
        <f t="shared" si="4"/>
        <v>1</v>
      </c>
      <c r="AC29" s="1535">
        <f t="shared" si="5"/>
        <v>1</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v>2</v>
      </c>
      <c r="L30" s="2944"/>
      <c r="M30" s="2938"/>
      <c r="N30" s="2938"/>
      <c r="O30" s="2938"/>
      <c r="P30" s="3533"/>
      <c r="Q30" s="1534" t="str">
        <f t="shared" si="11"/>
        <v>物业等级</v>
      </c>
      <c r="R30" s="713" t="s">
        <v>17</v>
      </c>
      <c r="S30" s="714">
        <f t="shared" si="12"/>
        <v>100</v>
      </c>
      <c r="T30" s="713" t="s">
        <v>17</v>
      </c>
      <c r="U30" s="714">
        <f t="shared" si="13"/>
        <v>100</v>
      </c>
      <c r="V30" s="713" t="s">
        <v>17</v>
      </c>
      <c r="W30" s="714">
        <f t="shared" si="14"/>
        <v>100</v>
      </c>
      <c r="X30" s="1537"/>
      <c r="Y30" s="3533"/>
      <c r="Z30" s="1538" t="str">
        <f t="shared" si="15"/>
        <v>物业等级</v>
      </c>
      <c r="AA30" s="1535">
        <f t="shared" si="3"/>
        <v>1</v>
      </c>
      <c r="AB30" s="1535">
        <f t="shared" si="4"/>
        <v>1</v>
      </c>
      <c r="AC30" s="1535">
        <f t="shared" si="5"/>
        <v>1</v>
      </c>
    </row>
    <row r="31" spans="1:29" s="112" customFormat="1" ht="15">
      <c r="A31" s="613"/>
      <c r="B31" s="609" t="s">
        <v>2537</v>
      </c>
      <c r="C31" s="427"/>
      <c r="D31" s="131">
        <v>100</v>
      </c>
      <c r="E31" s="427"/>
      <c r="F31" s="419">
        <f>LOOKUP(E31,91:91,92:92)-LOOKUP(C31,91:91,92:92)+100</f>
        <v>100</v>
      </c>
      <c r="G31" s="427"/>
      <c r="H31" s="393">
        <f>LOOKUP(G31,91:91,92:92)-LOOKUP(C31,91:91,92:92)+100</f>
        <v>100</v>
      </c>
      <c r="I31" s="427"/>
      <c r="J31" s="393">
        <f>LOOKUP(I31,91:91,92:92)-LOOKUP(C31,91:91,92:92)+100</f>
        <v>100</v>
      </c>
      <c r="K31" s="568"/>
      <c r="L31" s="2939"/>
      <c r="M31" s="2940"/>
      <c r="N31" s="2940"/>
      <c r="O31" s="2940"/>
      <c r="P31" s="3533"/>
      <c r="Q31" s="1525" t="str">
        <f t="shared" si="11"/>
        <v>停车位面积</v>
      </c>
      <c r="R31" s="709" t="s">
        <v>17</v>
      </c>
      <c r="S31" s="710">
        <f t="shared" si="12"/>
        <v>100</v>
      </c>
      <c r="T31" s="709" t="s">
        <v>17</v>
      </c>
      <c r="U31" s="710">
        <f t="shared" si="13"/>
        <v>100</v>
      </c>
      <c r="V31" s="709" t="s">
        <v>17</v>
      </c>
      <c r="W31" s="710">
        <f t="shared" si="14"/>
        <v>100</v>
      </c>
      <c r="X31" s="711"/>
      <c r="Y31" s="3533"/>
      <c r="Z31" s="54" t="str">
        <f t="shared" si="15"/>
        <v>停车位面积</v>
      </c>
      <c r="AA31" s="712">
        <f t="shared" si="3"/>
        <v>1</v>
      </c>
      <c r="AB31" s="712">
        <f t="shared" si="4"/>
        <v>1</v>
      </c>
      <c r="AC31" s="712">
        <f t="shared" si="5"/>
        <v>1</v>
      </c>
    </row>
    <row r="32" spans="1:29" ht="15">
      <c r="A32" s="611"/>
      <c r="B32" s="609" t="s">
        <v>2538</v>
      </c>
      <c r="C32" s="418" t="s">
        <v>4385</v>
      </c>
      <c r="D32" s="393">
        <v>100</v>
      </c>
      <c r="E32" s="418" t="s">
        <v>4385</v>
      </c>
      <c r="F32" s="419">
        <f>SUMIF(93:93,E32,94:94)-SUMIF(93:93,C32,94:94)+100</f>
        <v>100</v>
      </c>
      <c r="G32" s="418" t="s">
        <v>4385</v>
      </c>
      <c r="H32" s="393">
        <f>SUMIF(93:93,G32,94:94)-SUMIF(93:93,C32,94:94)+100</f>
        <v>100</v>
      </c>
      <c r="I32" s="418" t="s">
        <v>4385</v>
      </c>
      <c r="J32" s="393">
        <f>SUMIF(93:93,I32,94:94)-SUMIF(93:93,C32,94:94)+100</f>
        <v>100</v>
      </c>
      <c r="K32" s="568"/>
      <c r="L32" s="2944"/>
      <c r="M32" s="2938"/>
      <c r="N32" s="2938"/>
      <c r="O32" s="2938"/>
      <c r="P32" s="3533" t="s">
        <v>2385</v>
      </c>
      <c r="Q32" s="1534" t="str">
        <f t="shared" si="11"/>
        <v>车位类型</v>
      </c>
      <c r="R32" s="713" t="s">
        <v>17</v>
      </c>
      <c r="S32" s="714">
        <f t="shared" si="12"/>
        <v>100</v>
      </c>
      <c r="T32" s="713" t="s">
        <v>17</v>
      </c>
      <c r="U32" s="714">
        <f t="shared" si="13"/>
        <v>100</v>
      </c>
      <c r="V32" s="713" t="s">
        <v>17</v>
      </c>
      <c r="W32" s="714">
        <f t="shared" si="14"/>
        <v>100</v>
      </c>
      <c r="X32" s="1537"/>
      <c r="Y32" s="3533" t="s">
        <v>2385</v>
      </c>
      <c r="Z32" s="1538" t="str">
        <f t="shared" si="15"/>
        <v>车位类型</v>
      </c>
      <c r="AA32" s="1535">
        <f t="shared" si="3"/>
        <v>1</v>
      </c>
      <c r="AB32" s="1535">
        <f t="shared" si="4"/>
        <v>1</v>
      </c>
      <c r="AC32" s="1535">
        <f t="shared" si="5"/>
        <v>1</v>
      </c>
    </row>
    <row r="33" spans="1:29" ht="15">
      <c r="A33" s="611"/>
      <c r="B33" s="609" t="s">
        <v>2539</v>
      </c>
      <c r="C33" s="418" t="s">
        <v>4179</v>
      </c>
      <c r="D33" s="393">
        <v>100</v>
      </c>
      <c r="E33" s="418" t="s">
        <v>4179</v>
      </c>
      <c r="F33" s="419">
        <f>SUMIF(95:95,E33,96:96)-SUMIF(95:95,C33,96:96)+100</f>
        <v>100</v>
      </c>
      <c r="G33" s="418" t="s">
        <v>4388</v>
      </c>
      <c r="H33" s="393">
        <f>SUMIF(95:95,G33,96:96)-SUMIF(95:95,C33,96:96)+100</f>
        <v>95</v>
      </c>
      <c r="I33" s="418" t="s">
        <v>4388</v>
      </c>
      <c r="J33" s="393">
        <f>SUMIF(95:95,I33,96:96)-SUMIF(95:95,C33,96:96)+100</f>
        <v>95</v>
      </c>
      <c r="K33" s="568">
        <v>5</v>
      </c>
      <c r="L33" s="2944"/>
      <c r="M33" s="2938"/>
      <c r="N33" s="2938"/>
      <c r="O33" s="2938"/>
      <c r="P33" s="3533"/>
      <c r="Q33" s="1534" t="str">
        <f t="shared" si="11"/>
        <v>是否直接入户</v>
      </c>
      <c r="R33" s="713" t="s">
        <v>17</v>
      </c>
      <c r="S33" s="714">
        <f t="shared" si="12"/>
        <v>100</v>
      </c>
      <c r="T33" s="713" t="s">
        <v>17</v>
      </c>
      <c r="U33" s="714">
        <f t="shared" si="13"/>
        <v>95</v>
      </c>
      <c r="V33" s="713" t="s">
        <v>17</v>
      </c>
      <c r="W33" s="714">
        <f t="shared" si="14"/>
        <v>95</v>
      </c>
      <c r="X33" s="1537"/>
      <c r="Y33" s="3533"/>
      <c r="Z33" s="1538" t="str">
        <f t="shared" si="15"/>
        <v>是否直接入户</v>
      </c>
      <c r="AA33" s="1535">
        <f t="shared" si="3"/>
        <v>1</v>
      </c>
      <c r="AB33" s="1535">
        <f t="shared" si="4"/>
        <v>1.0526315789473684</v>
      </c>
      <c r="AC33" s="1535">
        <f t="shared" si="5"/>
        <v>1.0526315789473684</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4"/>
      <c r="M34" s="2938"/>
      <c r="N34" s="2938"/>
      <c r="O34" s="2938"/>
      <c r="P34" s="3533"/>
      <c r="Q34" s="1534">
        <f t="shared" si="11"/>
        <v>111</v>
      </c>
      <c r="R34" s="713" t="s">
        <v>17</v>
      </c>
      <c r="S34" s="714">
        <f t="shared" si="12"/>
        <v>100</v>
      </c>
      <c r="T34" s="713" t="s">
        <v>17</v>
      </c>
      <c r="U34" s="714">
        <f t="shared" si="13"/>
        <v>100</v>
      </c>
      <c r="V34" s="713" t="s">
        <v>17</v>
      </c>
      <c r="W34" s="714">
        <f t="shared" si="14"/>
        <v>100</v>
      </c>
      <c r="X34" s="1537"/>
      <c r="Y34" s="3533"/>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3"/>
      <c r="M35" s="2945"/>
      <c r="N35" s="2945"/>
      <c r="O35" s="2945"/>
      <c r="P35" s="3533"/>
      <c r="Q35" s="715">
        <f t="shared" si="11"/>
        <v>111</v>
      </c>
      <c r="R35" s="716" t="s">
        <v>17</v>
      </c>
      <c r="S35" s="717">
        <f t="shared" si="12"/>
        <v>100</v>
      </c>
      <c r="T35" s="716" t="s">
        <v>17</v>
      </c>
      <c r="U35" s="717">
        <f t="shared" si="13"/>
        <v>100</v>
      </c>
      <c r="V35" s="716" t="s">
        <v>17</v>
      </c>
      <c r="W35" s="717">
        <f t="shared" si="14"/>
        <v>100</v>
      </c>
      <c r="X35" s="718"/>
      <c r="Y35" s="3533"/>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4"/>
      <c r="M36" s="2938"/>
      <c r="N36" s="2938"/>
      <c r="O36" s="2938"/>
      <c r="P36" s="3533"/>
      <c r="Q36" s="1534">
        <f t="shared" si="11"/>
        <v>111</v>
      </c>
      <c r="R36" s="713" t="s">
        <v>17</v>
      </c>
      <c r="S36" s="714">
        <f t="shared" si="12"/>
        <v>100</v>
      </c>
      <c r="T36" s="713" t="s">
        <v>17</v>
      </c>
      <c r="U36" s="714">
        <f t="shared" si="13"/>
        <v>100</v>
      </c>
      <c r="V36" s="713" t="s">
        <v>17</v>
      </c>
      <c r="W36" s="714">
        <f t="shared" si="14"/>
        <v>100</v>
      </c>
      <c r="X36" s="1537"/>
      <c r="Y36" s="3533"/>
      <c r="Z36" s="1538">
        <f t="shared" si="15"/>
        <v>111</v>
      </c>
      <c r="AA36" s="1535">
        <f t="shared" si="3"/>
        <v>1</v>
      </c>
      <c r="AB36" s="1535">
        <f t="shared" si="4"/>
        <v>1</v>
      </c>
      <c r="AC36" s="1535">
        <f t="shared" si="5"/>
        <v>1</v>
      </c>
    </row>
    <row r="37" spans="1:29" ht="15">
      <c r="A37" s="437" t="s">
        <v>2540</v>
      </c>
      <c r="B37" s="2156" t="s">
        <v>2541</v>
      </c>
      <c r="C37" s="1315" t="s">
        <v>1</v>
      </c>
      <c r="D37" s="1316"/>
      <c r="E37" s="1317">
        <f>车库案例!C3*10000</f>
        <v>368300</v>
      </c>
      <c r="F37" s="1318"/>
      <c r="G37" s="1319">
        <f>车库案例!C6*10000</f>
        <v>399000</v>
      </c>
      <c r="H37" s="1320"/>
      <c r="I37" s="1317">
        <f>车库案例!C12*10000</f>
        <v>335400</v>
      </c>
      <c r="J37" s="1320"/>
      <c r="K37" s="575"/>
      <c r="L37" s="2946"/>
      <c r="M37" s="2947"/>
      <c r="N37" s="2938"/>
      <c r="O37" s="2947"/>
      <c r="P37" s="3515" t="str">
        <f>A37</f>
        <v>成交单价</v>
      </c>
      <c r="Q37" s="3515"/>
      <c r="R37" s="3550">
        <f>E37</f>
        <v>368300</v>
      </c>
      <c r="S37" s="3550"/>
      <c r="T37" s="3550">
        <f>G37</f>
        <v>399000</v>
      </c>
      <c r="U37" s="3550"/>
      <c r="V37" s="3550">
        <f>I37</f>
        <v>335400</v>
      </c>
      <c r="W37" s="3550"/>
      <c r="X37" s="698"/>
      <c r="Y37" s="720"/>
      <c r="Z37" s="698"/>
      <c r="AA37" s="698"/>
      <c r="AB37" s="698"/>
      <c r="AC37" s="698"/>
    </row>
    <row r="38" spans="1:29" ht="15.75" thickBot="1">
      <c r="A38" s="444" t="s">
        <v>2542</v>
      </c>
      <c r="B38" s="445" t="str">
        <f>B37</f>
        <v>元/车位</v>
      </c>
      <c r="C38" s="1321">
        <f>R39</f>
        <v>384404</v>
      </c>
      <c r="D38" s="2535" t="s">
        <v>2880</v>
      </c>
      <c r="E38" s="1322">
        <f>R38</f>
        <v>370337</v>
      </c>
      <c r="F38" s="2536"/>
      <c r="G38" s="1321">
        <f>T38</f>
        <v>422323</v>
      </c>
      <c r="H38" s="2536"/>
      <c r="I38" s="1322">
        <f>V38</f>
        <v>360552</v>
      </c>
      <c r="J38" s="2536"/>
      <c r="K38" s="2538">
        <f>F38+H38+J38</f>
        <v>0</v>
      </c>
      <c r="L38" s="2946"/>
      <c r="M38" s="2947"/>
      <c r="N38" s="2947"/>
      <c r="O38" s="2947"/>
      <c r="P38" s="3515" t="str">
        <f>A38</f>
        <v>比较价值（元/平方米）</v>
      </c>
      <c r="Q38" s="3515"/>
      <c r="R38" s="3550">
        <f>IF(F1="售价",ROUND(PRODUCT(R37,AA7:AA36),0),ROUND(PRODUCT(R37,AA7:AA36),1))</f>
        <v>370337</v>
      </c>
      <c r="S38" s="3550"/>
      <c r="T38" s="3550">
        <f>IF(F1="售价",ROUND(PRODUCT(T37,AB7:AB36),0),ROUND(PRODUCT(T37,AB7:AB36),1))</f>
        <v>422323</v>
      </c>
      <c r="U38" s="3550"/>
      <c r="V38" s="3550">
        <f>IF(F1="售价",ROUND(PRODUCT(V37,AC7:AC36),0),ROUND(PRODUCT(V37,AC7:AC36),1))</f>
        <v>360552</v>
      </c>
      <c r="W38" s="3550"/>
      <c r="X38" s="698"/>
      <c r="Y38" s="698"/>
      <c r="Z38" s="698"/>
      <c r="AA38" s="698"/>
      <c r="AB38" s="698"/>
      <c r="AC38" s="698"/>
    </row>
    <row r="39" spans="1:29" ht="15.75" thickBot="1">
      <c r="A39" s="448" t="s">
        <v>2543</v>
      </c>
      <c r="B39" s="449"/>
      <c r="C39" s="1324">
        <f>R39</f>
        <v>384404</v>
      </c>
      <c r="D39" s="1324"/>
      <c r="E39" s="1324"/>
      <c r="F39" s="1324"/>
      <c r="G39" s="1324"/>
      <c r="H39" s="1324"/>
      <c r="I39" s="1324"/>
      <c r="J39" s="1324"/>
      <c r="K39" s="576"/>
      <c r="L39" s="2946"/>
      <c r="M39" s="2947"/>
      <c r="N39" s="2947"/>
      <c r="O39" s="2947"/>
      <c r="P39" s="3535" t="str">
        <f>A39</f>
        <v>估价对象XX用房的比较价值（楼面单价，元/平方米）</v>
      </c>
      <c r="Q39" s="3536"/>
      <c r="R39" s="3573">
        <f>IF(F1="售价",ROUND(IF(D38="简单平均",AVERAGE(R38:W38),R38*F38+T38*H38+V38*J38),0),ROUND(IF(D38="简单平均",AVERAGE(R38:V38),R38*F38+T38*H38+V38*J38),1))</f>
        <v>384404</v>
      </c>
      <c r="S39" s="3573"/>
      <c r="T39" s="3573"/>
      <c r="U39" s="3573"/>
      <c r="V39" s="3573"/>
      <c r="W39" s="3573"/>
      <c r="X39" s="698"/>
      <c r="Y39" s="698"/>
      <c r="Z39" s="698"/>
      <c r="AA39" s="698"/>
      <c r="AB39" s="698"/>
      <c r="AC39" s="698"/>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f>384404*224/10223.36</f>
        <v>8422.5241016652053</v>
      </c>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3" t="s">
        <v>2544</v>
      </c>
      <c r="D42" s="454"/>
      <c r="E42" s="455">
        <f>IF(E37&lt;E38,E38/E37-1,E37/E38-1)</f>
        <v>5.5308172685311074E-3</v>
      </c>
      <c r="F42" s="456" t="str">
        <f>IF(OR(E42&gt;=0.3,E42&lt;=-0.3),"超过30%","")</f>
        <v/>
      </c>
      <c r="G42" s="455">
        <f>IF(G37&lt;G38,G38/G37-1,G37/G38-1)</f>
        <v>5.8453634085213091E-2</v>
      </c>
      <c r="H42" s="456" t="str">
        <f>IF(OR(G42&gt;=0.3,G42&lt;=-0.3),"超过30%","")</f>
        <v/>
      </c>
      <c r="I42" s="455">
        <f>IF(I37&lt;I38,I38/I37-1,I37/I38-1)</f>
        <v>7.4991055456171685E-2</v>
      </c>
      <c r="J42" s="456" t="str">
        <f>IF(OR(I42&gt;=0.3,I42&lt;=-0.3),"超过30%","")</f>
        <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3" t="s">
        <v>2545</v>
      </c>
      <c r="D43" s="457"/>
      <c r="E43" s="455">
        <f>IF(E38&lt;G38,G38/E38-1,E38/G38-1)</f>
        <v>0.14037484777378451</v>
      </c>
      <c r="F43" s="456" t="str">
        <f>IF(OR(E43&gt;=0.2,E43&lt;=-0.2),"超过20%","")</f>
        <v/>
      </c>
      <c r="G43" s="455">
        <f>IF(G38&lt;I38,I38/G38-1,G38/I38-1)</f>
        <v>0.17132341520779248</v>
      </c>
      <c r="H43" s="456" t="str">
        <f>IF(OR(G43&gt;=0.2,G43&lt;=-0.2),"超过20%","")</f>
        <v/>
      </c>
      <c r="I43" s="455">
        <f>IF(I38&lt;E38,E38/I38-1,I38/E38-1)</f>
        <v>2.7138942510372965E-2</v>
      </c>
      <c r="J43" s="456" t="str">
        <f>IF(OR(I43&gt;=0.2,I43&lt;=-0.2),"超过20%","")</f>
        <v/>
      </c>
      <c r="K43" s="2952"/>
      <c r="L43" s="2948"/>
      <c r="M43" s="2947"/>
      <c r="N43" s="2947"/>
      <c r="O43" s="2947"/>
      <c r="P43" s="2978"/>
      <c r="Q43" s="2947"/>
      <c r="R43" s="2947"/>
      <c r="S43" s="2947"/>
      <c r="T43" s="2947"/>
      <c r="U43" s="2947"/>
      <c r="V43" s="2947"/>
      <c r="W43" s="2947"/>
      <c r="X43" s="2947"/>
      <c r="Y43" s="2947"/>
      <c r="Z43" s="2947"/>
      <c r="AA43" s="2947"/>
      <c r="AB43" s="2947"/>
      <c r="AC43" s="2947"/>
    </row>
    <row r="44" spans="1:29" s="458" customFormat="1" ht="13.5" customHeight="1">
      <c r="A44" s="2950"/>
      <c r="B44" s="2950"/>
      <c r="C44" s="453" t="s">
        <v>2546</v>
      </c>
      <c r="D44" s="457"/>
      <c r="E44" s="455">
        <f>IF(E37&lt;G37,G37/E37-1,E37/G37-1)</f>
        <v>8.3355959815367919E-2</v>
      </c>
      <c r="F44" s="456" t="str">
        <f>IF(OR(E44&gt;=0.3,E44&lt;=-0.3),"超过30%","")</f>
        <v/>
      </c>
      <c r="G44" s="455">
        <f>IF(G37&lt;I37,I37/G37-1,G37/I37-1)</f>
        <v>0.18962432915921279</v>
      </c>
      <c r="H44" s="456" t="str">
        <f>IF(OR(G44&gt;=0.3,G44&lt;=-0.3),"超过30%","")</f>
        <v/>
      </c>
      <c r="I44" s="455">
        <f>IF(I37&lt;E37,E37/I37-1,I37/E37-1)</f>
        <v>9.8091830649970291E-2</v>
      </c>
      <c r="J44" s="456" t="str">
        <f>IF(OR(I44&gt;=0.3,I44&lt;=-0.3),"超过30%","")</f>
        <v/>
      </c>
      <c r="K44" s="2955"/>
      <c r="L44" s="2949"/>
      <c r="M44" s="2950"/>
      <c r="N44" s="2950"/>
      <c r="O44" s="2950"/>
      <c r="P44" s="2979"/>
      <c r="Q44" s="2950"/>
      <c r="R44" s="2950"/>
      <c r="S44" s="2950"/>
      <c r="T44" s="2950"/>
      <c r="U44" s="2950"/>
      <c r="V44" s="2950"/>
      <c r="W44" s="2950"/>
      <c r="X44" s="2950"/>
      <c r="Y44" s="2950"/>
      <c r="Z44" s="2950"/>
      <c r="AA44" s="2950"/>
      <c r="AB44" s="2950"/>
      <c r="AC44" s="2950"/>
    </row>
    <row r="45" spans="1:29" s="458"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7" t="s">
        <v>2547</v>
      </c>
      <c r="B47" s="1057"/>
      <c r="C47" s="1070"/>
      <c r="D47" s="1070"/>
      <c r="E47" s="1070"/>
      <c r="F47" s="1328"/>
      <c r="G47" s="1328"/>
      <c r="H47" s="1070"/>
      <c r="I47" s="1070"/>
      <c r="J47" s="1070"/>
      <c r="K47" s="1071"/>
      <c r="L47" s="1072"/>
      <c r="M47" s="1070"/>
      <c r="N47" s="2991"/>
      <c r="O47" s="2991"/>
      <c r="P47" s="2980"/>
      <c r="Q47" s="2961"/>
      <c r="R47" s="2947"/>
      <c r="S47" s="2947"/>
      <c r="T47" s="2947"/>
      <c r="U47" s="2947"/>
      <c r="V47" s="2947"/>
      <c r="W47" s="2947"/>
      <c r="X47" s="2947"/>
      <c r="Y47" s="2947"/>
      <c r="Z47" s="2947"/>
      <c r="AA47" s="2947"/>
      <c r="AB47" s="2947"/>
      <c r="AC47" s="2947"/>
    </row>
    <row r="48" spans="1:29" s="464" customFormat="1" ht="15">
      <c r="A48" s="461" t="s">
        <v>2548</v>
      </c>
      <c r="B48" s="462"/>
      <c r="C48" s="1344" t="str">
        <f>YEAR(C7)&amp;"-"&amp;MONTH(C7)</f>
        <v>2021-10</v>
      </c>
      <c r="D48" s="1345">
        <f>EDATE(C48,-1)</f>
        <v>44440</v>
      </c>
      <c r="E48" s="1345">
        <f t="shared" ref="E48:O48" si="16">EDATE(D48,-1)</f>
        <v>44409</v>
      </c>
      <c r="F48" s="1345">
        <f t="shared" si="16"/>
        <v>44378</v>
      </c>
      <c r="G48" s="1345">
        <f t="shared" si="16"/>
        <v>44348</v>
      </c>
      <c r="H48" s="1345">
        <f t="shared" si="16"/>
        <v>44317</v>
      </c>
      <c r="I48" s="1345">
        <f t="shared" si="16"/>
        <v>44287</v>
      </c>
      <c r="J48" s="1345">
        <f t="shared" si="16"/>
        <v>44256</v>
      </c>
      <c r="K48" s="1345">
        <f t="shared" si="16"/>
        <v>44228</v>
      </c>
      <c r="L48" s="1345">
        <f t="shared" si="16"/>
        <v>44197</v>
      </c>
      <c r="M48" s="1345">
        <f t="shared" si="16"/>
        <v>44166</v>
      </c>
      <c r="N48" s="1345">
        <f t="shared" si="16"/>
        <v>44136</v>
      </c>
      <c r="O48" s="1345">
        <f t="shared" si="16"/>
        <v>44105</v>
      </c>
      <c r="P48" s="2981"/>
      <c r="Q48" s="2963"/>
      <c r="R48" s="2963"/>
      <c r="S48" s="2963"/>
      <c r="T48" s="2963"/>
      <c r="U48" s="2963"/>
      <c r="V48" s="2963"/>
      <c r="W48" s="2963"/>
      <c r="X48" s="2963"/>
      <c r="Y48" s="2963"/>
      <c r="Z48" s="2963"/>
      <c r="AA48" s="2963"/>
      <c r="AB48" s="2963"/>
      <c r="AC48" s="2963"/>
    </row>
    <row r="49" spans="1:29" s="112" customFormat="1" ht="15">
      <c r="A49" s="465"/>
      <c r="B49" s="466"/>
      <c r="C49" s="1338">
        <v>100</v>
      </c>
      <c r="D49" s="468"/>
      <c r="E49" s="468"/>
      <c r="F49" s="468"/>
      <c r="G49" s="468"/>
      <c r="H49" s="468"/>
      <c r="I49" s="468"/>
      <c r="J49" s="468"/>
      <c r="K49" s="468"/>
      <c r="L49" s="468"/>
      <c r="M49" s="469"/>
      <c r="N49" s="468"/>
      <c r="O49" s="469"/>
      <c r="P49" s="2982"/>
      <c r="Q49" s="2882"/>
      <c r="R49" s="2882"/>
      <c r="S49" s="2882"/>
      <c r="T49" s="2882"/>
      <c r="U49" s="2882"/>
      <c r="V49" s="2882"/>
      <c r="W49" s="2882"/>
      <c r="X49" s="2882"/>
      <c r="Y49" s="2882"/>
      <c r="Z49" s="2882"/>
      <c r="AA49" s="2882"/>
      <c r="AB49" s="2882"/>
      <c r="AC49" s="2882"/>
    </row>
    <row r="50" spans="1:29" s="112" customFormat="1" ht="15.75" thickBot="1">
      <c r="A50" s="471" t="s">
        <v>2405</v>
      </c>
      <c r="B50" s="472"/>
      <c r="C50" s="473"/>
      <c r="D50" s="474"/>
      <c r="E50" s="474"/>
      <c r="F50" s="474"/>
      <c r="G50" s="474"/>
      <c r="H50" s="474"/>
      <c r="I50" s="474"/>
      <c r="J50" s="474"/>
      <c r="K50" s="474"/>
      <c r="L50" s="474"/>
      <c r="M50" s="475"/>
      <c r="N50" s="474"/>
      <c r="O50" s="475"/>
      <c r="P50" s="2982"/>
      <c r="Q50" s="2961"/>
      <c r="R50" s="2882"/>
      <c r="S50" s="2882"/>
      <c r="T50" s="2882"/>
      <c r="U50" s="2882"/>
      <c r="V50" s="2882"/>
      <c r="W50" s="2882"/>
      <c r="X50" s="2882"/>
      <c r="Y50" s="2882"/>
      <c r="Z50" s="2882"/>
      <c r="AA50" s="2882"/>
      <c r="AB50" s="2882"/>
      <c r="AC50" s="2882"/>
    </row>
    <row r="51" spans="1:29" s="112" customFormat="1" ht="15">
      <c r="A51" s="477" t="s">
        <v>2370</v>
      </c>
      <c r="B51" s="466"/>
      <c r="C51" s="478" t="s">
        <v>2472</v>
      </c>
      <c r="D51" s="479"/>
      <c r="E51" s="479"/>
      <c r="F51" s="479"/>
      <c r="G51" s="479"/>
      <c r="H51" s="479"/>
      <c r="I51" s="479"/>
      <c r="J51" s="479"/>
      <c r="K51" s="479"/>
      <c r="L51" s="480"/>
      <c r="M51" s="481"/>
      <c r="N51" s="2974"/>
      <c r="O51" s="2974"/>
      <c r="P51" s="2983"/>
      <c r="Q51" s="2961"/>
      <c r="R51" s="2882"/>
      <c r="S51" s="2882"/>
      <c r="T51" s="2882"/>
      <c r="U51" s="2882"/>
      <c r="V51" s="2882"/>
      <c r="W51" s="2882"/>
      <c r="X51" s="2882"/>
      <c r="Y51" s="2882"/>
      <c r="Z51" s="2882"/>
      <c r="AA51" s="2882"/>
      <c r="AB51" s="2882"/>
      <c r="AC51" s="2882"/>
    </row>
    <row r="52" spans="1:29" s="112" customFormat="1" ht="15.75" thickBot="1">
      <c r="A52" s="477"/>
      <c r="B52" s="466"/>
      <c r="C52" s="594">
        <v>100</v>
      </c>
      <c r="D52" s="468"/>
      <c r="E52" s="468"/>
      <c r="F52" s="468"/>
      <c r="G52" s="468"/>
      <c r="H52" s="468"/>
      <c r="I52" s="468"/>
      <c r="J52" s="468"/>
      <c r="K52" s="468"/>
      <c r="L52" s="468"/>
      <c r="M52" s="470"/>
      <c r="N52" s="2974"/>
      <c r="O52" s="2974"/>
      <c r="P52" s="2982"/>
      <c r="Q52" s="2961"/>
      <c r="R52" s="2882"/>
      <c r="S52" s="2882"/>
      <c r="T52" s="2882"/>
      <c r="U52" s="2882"/>
      <c r="V52" s="2882"/>
      <c r="W52" s="2882"/>
      <c r="X52" s="2882"/>
      <c r="Y52" s="2882"/>
      <c r="Z52" s="2882"/>
      <c r="AA52" s="2882"/>
      <c r="AB52" s="2882"/>
      <c r="AC52" s="2882"/>
    </row>
    <row r="53" spans="1:29">
      <c r="A53" s="483" t="s">
        <v>2408</v>
      </c>
      <c r="B53" s="484" t="s">
        <v>2374</v>
      </c>
      <c r="C53" s="485" t="str">
        <f>C9</f>
        <v>地下车库</v>
      </c>
      <c r="D53" s="486"/>
      <c r="E53" s="486"/>
      <c r="F53" s="486"/>
      <c r="G53" s="486"/>
      <c r="H53" s="486"/>
      <c r="I53" s="486"/>
      <c r="J53" s="486"/>
      <c r="K53" s="487"/>
      <c r="L53" s="488"/>
      <c r="M53" s="489"/>
      <c r="N53" s="2975"/>
      <c r="O53" s="2975"/>
      <c r="P53" s="2984"/>
      <c r="Q53" s="2961"/>
      <c r="R53" s="2947"/>
      <c r="S53" s="2947"/>
      <c r="T53" s="2947"/>
      <c r="U53" s="2947"/>
      <c r="V53" s="2947"/>
      <c r="W53" s="2947"/>
      <c r="X53" s="2947"/>
      <c r="Y53" s="2947"/>
      <c r="Z53" s="2947"/>
      <c r="AA53" s="2947"/>
      <c r="AB53" s="2947"/>
      <c r="AC53" s="2947"/>
    </row>
    <row r="54" spans="1:29" ht="15.75" thickBot="1">
      <c r="A54" s="490"/>
      <c r="B54" s="491"/>
      <c r="C54" s="492">
        <v>100</v>
      </c>
      <c r="D54" s="492"/>
      <c r="E54" s="492"/>
      <c r="F54" s="492"/>
      <c r="G54" s="492"/>
      <c r="H54" s="492"/>
      <c r="I54" s="492"/>
      <c r="J54" s="492"/>
      <c r="K54" s="492"/>
      <c r="L54" s="492"/>
      <c r="M54" s="493"/>
      <c r="N54" s="2976"/>
      <c r="O54" s="2976"/>
      <c r="P54" s="2984"/>
      <c r="Q54" s="2961"/>
      <c r="R54" s="2947"/>
      <c r="S54" s="2947"/>
      <c r="T54" s="2947"/>
      <c r="U54" s="2947"/>
      <c r="V54" s="2947"/>
      <c r="W54" s="2947"/>
      <c r="X54" s="2947"/>
      <c r="Y54" s="2947"/>
      <c r="Z54" s="2947"/>
      <c r="AA54" s="2947"/>
      <c r="AB54" s="2947"/>
      <c r="AC54" s="2947"/>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75"/>
      <c r="O55" s="2975"/>
      <c r="P55" s="2984"/>
      <c r="Q55" s="2961"/>
      <c r="R55" s="2947"/>
      <c r="S55" s="2947"/>
      <c r="T55" s="2947"/>
      <c r="U55" s="2947"/>
      <c r="V55" s="2947"/>
      <c r="W55" s="2947"/>
      <c r="X55" s="2947"/>
      <c r="Y55" s="2947"/>
      <c r="Z55" s="2947"/>
      <c r="AA55" s="2947"/>
      <c r="AB55" s="2947"/>
      <c r="AC55" s="2947"/>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76"/>
      <c r="O56" s="2976"/>
      <c r="P56" s="2984"/>
      <c r="Q56" s="2961"/>
      <c r="R56" s="2947"/>
      <c r="S56" s="2947"/>
      <c r="T56" s="2947"/>
      <c r="U56" s="2947"/>
      <c r="V56" s="2947"/>
      <c r="W56" s="2947"/>
      <c r="X56" s="2947"/>
      <c r="Y56" s="2947"/>
      <c r="Z56" s="2947"/>
      <c r="AA56" s="2947"/>
      <c r="AB56" s="2947"/>
      <c r="AC56" s="2947"/>
    </row>
    <row r="57" spans="1:29" ht="15.75" thickTop="1">
      <c r="A57" s="490"/>
      <c r="B57" s="615">
        <f>B11</f>
        <v>111</v>
      </c>
      <c r="C57" s="505"/>
      <c r="D57" s="505"/>
      <c r="E57" s="505"/>
      <c r="F57" s="505"/>
      <c r="G57" s="505"/>
      <c r="H57" s="505"/>
      <c r="I57" s="505"/>
      <c r="J57" s="505"/>
      <c r="K57" s="506"/>
      <c r="L57" s="507"/>
      <c r="M57" s="508"/>
      <c r="N57" s="2975"/>
      <c r="O57" s="2975"/>
      <c r="P57" s="2984"/>
      <c r="Q57" s="2961"/>
      <c r="R57" s="2947"/>
      <c r="S57" s="2947"/>
      <c r="T57" s="2947"/>
      <c r="U57" s="2947"/>
      <c r="V57" s="2947"/>
      <c r="W57" s="2947"/>
      <c r="X57" s="2947"/>
      <c r="Y57" s="2947"/>
      <c r="Z57" s="2947"/>
      <c r="AA57" s="2947"/>
      <c r="AB57" s="2947"/>
      <c r="AC57" s="2947"/>
    </row>
    <row r="58" spans="1:29" ht="15.75" thickBot="1">
      <c r="A58" s="490"/>
      <c r="B58" s="491"/>
      <c r="C58" s="516"/>
      <c r="D58" s="492"/>
      <c r="E58" s="492"/>
      <c r="F58" s="492"/>
      <c r="G58" s="492"/>
      <c r="H58" s="492"/>
      <c r="I58" s="492"/>
      <c r="J58" s="492"/>
      <c r="K58" s="492"/>
      <c r="L58" s="492"/>
      <c r="M58" s="493"/>
      <c r="N58" s="2976"/>
      <c r="O58" s="2976"/>
      <c r="P58" s="2984"/>
      <c r="Q58" s="2961"/>
      <c r="R58" s="2947"/>
      <c r="S58" s="2947"/>
      <c r="T58" s="2947"/>
      <c r="U58" s="2947"/>
      <c r="V58" s="2947"/>
      <c r="W58" s="2947"/>
      <c r="X58" s="2947"/>
      <c r="Y58" s="2947"/>
      <c r="Z58" s="2947"/>
      <c r="AA58" s="2947"/>
      <c r="AB58" s="2947"/>
      <c r="AC58" s="2947"/>
    </row>
    <row r="59" spans="1:29" s="429" customFormat="1" ht="15.75" thickTop="1">
      <c r="A59" s="509"/>
      <c r="B59" s="494">
        <f>B12</f>
        <v>111</v>
      </c>
      <c r="C59" s="505"/>
      <c r="D59" s="505"/>
      <c r="E59" s="505"/>
      <c r="F59" s="505"/>
      <c r="G59" s="510"/>
      <c r="H59" s="511"/>
      <c r="I59" s="511"/>
      <c r="J59" s="511"/>
      <c r="K59" s="511"/>
      <c r="L59" s="512"/>
      <c r="M59" s="513"/>
      <c r="N59" s="2977"/>
      <c r="O59" s="2977"/>
      <c r="P59" s="2985"/>
      <c r="Q59" s="2968"/>
      <c r="R59" s="2969"/>
      <c r="S59" s="2969"/>
      <c r="T59" s="2969"/>
      <c r="U59" s="2969"/>
      <c r="V59" s="2969"/>
      <c r="W59" s="2969"/>
      <c r="X59" s="2969"/>
      <c r="Y59" s="2969"/>
      <c r="Z59" s="2969"/>
      <c r="AA59" s="2969"/>
      <c r="AB59" s="2969"/>
      <c r="AC59" s="2969"/>
    </row>
    <row r="60" spans="1:29" s="429" customFormat="1" ht="15.75" thickBot="1">
      <c r="A60" s="509"/>
      <c r="B60" s="499"/>
      <c r="C60" s="516"/>
      <c r="D60" s="492"/>
      <c r="E60" s="492"/>
      <c r="F60" s="492"/>
      <c r="G60" s="492"/>
      <c r="H60" s="492"/>
      <c r="I60" s="492"/>
      <c r="J60" s="492"/>
      <c r="K60" s="492"/>
      <c r="L60" s="492"/>
      <c r="M60" s="493"/>
      <c r="N60" s="2976"/>
      <c r="O60" s="2976"/>
      <c r="P60" s="2985"/>
      <c r="Q60" s="2968"/>
      <c r="R60" s="2969"/>
      <c r="S60" s="2969"/>
      <c r="T60" s="2969"/>
      <c r="U60" s="2969"/>
      <c r="V60" s="2969"/>
      <c r="W60" s="2969"/>
      <c r="X60" s="2969"/>
      <c r="Y60" s="2969"/>
      <c r="Z60" s="2969"/>
      <c r="AA60" s="2969"/>
      <c r="AB60" s="2969"/>
      <c r="AC60" s="2969"/>
    </row>
    <row r="61" spans="1:29" s="429" customFormat="1" ht="15.75" thickTop="1">
      <c r="A61" s="509"/>
      <c r="B61" s="494">
        <f>B13</f>
        <v>111</v>
      </c>
      <c r="C61" s="510"/>
      <c r="D61" s="510"/>
      <c r="E61" s="510"/>
      <c r="F61" s="510"/>
      <c r="G61" s="510"/>
      <c r="H61" s="511"/>
      <c r="I61" s="511"/>
      <c r="J61" s="511"/>
      <c r="K61" s="511"/>
      <c r="L61" s="512"/>
      <c r="M61" s="513"/>
      <c r="N61" s="2977"/>
      <c r="O61" s="2977"/>
      <c r="P61" s="2986"/>
      <c r="Q61" s="2971"/>
      <c r="R61" s="2969"/>
      <c r="S61" s="2969"/>
      <c r="T61" s="2969"/>
      <c r="U61" s="2969"/>
      <c r="V61" s="2969"/>
      <c r="W61" s="2969"/>
      <c r="X61" s="2969"/>
      <c r="Y61" s="2969"/>
      <c r="Z61" s="2969"/>
      <c r="AA61" s="2969"/>
      <c r="AB61" s="2969"/>
      <c r="AC61" s="2969"/>
    </row>
    <row r="62" spans="1:29" s="429" customFormat="1" ht="15.75" thickBot="1">
      <c r="A62" s="509"/>
      <c r="B62" s="499"/>
      <c r="C62" s="516"/>
      <c r="D62" s="516"/>
      <c r="E62" s="516"/>
      <c r="F62" s="516"/>
      <c r="G62" s="516"/>
      <c r="H62" s="518"/>
      <c r="I62" s="518"/>
      <c r="J62" s="518"/>
      <c r="K62" s="518"/>
      <c r="L62" s="518"/>
      <c r="M62" s="519"/>
      <c r="N62" s="2977"/>
      <c r="O62" s="2977"/>
      <c r="P62" s="2985"/>
      <c r="Q62" s="2968"/>
      <c r="R62" s="2969"/>
      <c r="S62" s="2969"/>
      <c r="T62" s="2969"/>
      <c r="U62" s="2969"/>
      <c r="V62" s="2969"/>
      <c r="W62" s="2969"/>
      <c r="X62" s="2969"/>
      <c r="Y62" s="2969"/>
      <c r="Z62" s="2969"/>
      <c r="AA62" s="2969"/>
      <c r="AB62" s="2969"/>
      <c r="AC62" s="2969"/>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75"/>
      <c r="O63" s="2975"/>
      <c r="P63" s="2988"/>
      <c r="Q63" s="2961"/>
      <c r="R63" s="2947"/>
      <c r="S63" s="2947"/>
      <c r="T63" s="2947"/>
      <c r="U63" s="2947"/>
      <c r="V63" s="2947"/>
      <c r="W63" s="2947"/>
      <c r="X63" s="2947"/>
      <c r="Y63" s="2947"/>
      <c r="Z63" s="2947"/>
      <c r="AA63" s="2947"/>
      <c r="AB63" s="2947"/>
      <c r="AC63" s="2947"/>
    </row>
    <row r="64" spans="1:29" ht="15.75" thickBot="1">
      <c r="A64" s="490"/>
      <c r="B64" s="499"/>
      <c r="C64" s="500">
        <v>100</v>
      </c>
      <c r="D64" s="500">
        <f>C64-$K14</f>
        <v>95</v>
      </c>
      <c r="E64" s="500">
        <f>D64-$K14</f>
        <v>90</v>
      </c>
      <c r="F64" s="500">
        <f>E64-$K14</f>
        <v>85</v>
      </c>
      <c r="G64" s="500">
        <f>F64-$K14</f>
        <v>80</v>
      </c>
      <c r="H64" s="500"/>
      <c r="I64" s="500"/>
      <c r="J64" s="500"/>
      <c r="K64" s="500"/>
      <c r="L64" s="500"/>
      <c r="M64" s="501"/>
      <c r="N64" s="2976"/>
      <c r="O64" s="2976"/>
      <c r="P64" s="2984"/>
      <c r="Q64" s="2961"/>
      <c r="R64" s="2947"/>
      <c r="S64" s="2947"/>
      <c r="T64" s="2947"/>
      <c r="U64" s="2947"/>
      <c r="V64" s="2947"/>
      <c r="W64" s="2947"/>
      <c r="X64" s="2947"/>
      <c r="Y64" s="2947"/>
      <c r="Z64" s="2947"/>
      <c r="AA64" s="2947"/>
      <c r="AB64" s="2947"/>
      <c r="AC64" s="2947"/>
    </row>
    <row r="65" spans="1:29" ht="15.75" thickTop="1">
      <c r="A65" s="490"/>
      <c r="B65" s="494" t="s">
        <v>2423</v>
      </c>
      <c r="C65" s="534" t="s">
        <v>2417</v>
      </c>
      <c r="D65" s="534" t="s">
        <v>2418</v>
      </c>
      <c r="E65" s="534" t="s">
        <v>2419</v>
      </c>
      <c r="F65" s="534" t="s">
        <v>2420</v>
      </c>
      <c r="G65" s="534" t="s">
        <v>2421</v>
      </c>
      <c r="H65" s="495"/>
      <c r="I65" s="495"/>
      <c r="J65" s="495"/>
      <c r="K65" s="496"/>
      <c r="L65" s="497"/>
      <c r="M65" s="498"/>
      <c r="N65" s="2975"/>
      <c r="O65" s="2975"/>
      <c r="P65" s="2984"/>
      <c r="Q65" s="2961"/>
      <c r="R65" s="2947"/>
      <c r="S65" s="2947"/>
      <c r="T65" s="2947"/>
      <c r="U65" s="2947"/>
      <c r="V65" s="2947"/>
      <c r="W65" s="2947"/>
      <c r="X65" s="2947"/>
      <c r="Y65" s="2947"/>
      <c r="Z65" s="2947"/>
      <c r="AA65" s="2947"/>
      <c r="AB65" s="2947"/>
      <c r="AC65" s="2947"/>
    </row>
    <row r="66" spans="1:29" ht="15.75" thickBot="1">
      <c r="A66" s="490"/>
      <c r="B66" s="499"/>
      <c r="C66" s="500">
        <v>100</v>
      </c>
      <c r="D66" s="500">
        <f>C66-$K16</f>
        <v>98</v>
      </c>
      <c r="E66" s="500">
        <f>D66-$K16</f>
        <v>96</v>
      </c>
      <c r="F66" s="500">
        <f>E66-$K16</f>
        <v>94</v>
      </c>
      <c r="G66" s="500">
        <f>F66-$K16</f>
        <v>92</v>
      </c>
      <c r="H66" s="500"/>
      <c r="I66" s="500"/>
      <c r="J66" s="500"/>
      <c r="K66" s="500"/>
      <c r="L66" s="500"/>
      <c r="M66" s="501"/>
      <c r="N66" s="2976"/>
      <c r="O66" s="2976"/>
      <c r="P66" s="2984"/>
      <c r="Q66" s="2961"/>
      <c r="R66" s="2947"/>
      <c r="S66" s="2947"/>
      <c r="T66" s="2947"/>
      <c r="U66" s="2947"/>
      <c r="V66" s="2947"/>
      <c r="W66" s="2947"/>
      <c r="X66" s="2947"/>
      <c r="Y66" s="2947"/>
      <c r="Z66" s="2947"/>
      <c r="AA66" s="2947"/>
      <c r="AB66" s="2947"/>
      <c r="AC66" s="2947"/>
    </row>
    <row r="67" spans="1:29" ht="15.75" thickTop="1">
      <c r="A67" s="490"/>
      <c r="B67" s="502" t="s">
        <v>2509</v>
      </c>
      <c r="C67" s="615" t="s">
        <v>2495</v>
      </c>
      <c r="D67" s="615" t="s">
        <v>2496</v>
      </c>
      <c r="E67" s="615" t="s">
        <v>2497</v>
      </c>
      <c r="F67" s="615" t="s">
        <v>2498</v>
      </c>
      <c r="G67" s="615" t="s">
        <v>2499</v>
      </c>
      <c r="H67" s="495"/>
      <c r="I67" s="495"/>
      <c r="J67" s="495"/>
      <c r="K67" s="495"/>
      <c r="L67" s="495"/>
      <c r="M67" s="1290"/>
      <c r="N67" s="2976"/>
      <c r="O67" s="2976"/>
      <c r="P67" s="2984"/>
      <c r="Q67" s="2961"/>
      <c r="R67" s="2947"/>
      <c r="S67" s="2947"/>
      <c r="T67" s="2947"/>
      <c r="U67" s="2947"/>
      <c r="V67" s="2947"/>
      <c r="W67" s="2947"/>
      <c r="X67" s="2947"/>
      <c r="Y67" s="2947"/>
      <c r="Z67" s="2947"/>
      <c r="AA67" s="2947"/>
      <c r="AB67" s="2947"/>
      <c r="AC67" s="2947"/>
    </row>
    <row r="68" spans="1:29" ht="15.75" thickBot="1">
      <c r="A68" s="490"/>
      <c r="B68" s="502"/>
      <c r="C68" s="500">
        <v>100</v>
      </c>
      <c r="D68" s="500">
        <f>C68-$K18</f>
        <v>98</v>
      </c>
      <c r="E68" s="500">
        <f>D68-$K18</f>
        <v>96</v>
      </c>
      <c r="F68" s="500">
        <f>E68-$K18</f>
        <v>94</v>
      </c>
      <c r="G68" s="500">
        <f>F68-$K18</f>
        <v>92</v>
      </c>
      <c r="H68" s="615"/>
      <c r="I68" s="615"/>
      <c r="J68" s="615"/>
      <c r="K68" s="615"/>
      <c r="L68" s="615"/>
      <c r="M68" s="408"/>
      <c r="N68" s="2976"/>
      <c r="O68" s="2976"/>
      <c r="P68" s="2984"/>
      <c r="Q68" s="2961"/>
      <c r="R68" s="2947"/>
      <c r="S68" s="2947"/>
      <c r="T68" s="2947"/>
      <c r="U68" s="2947"/>
      <c r="V68" s="2947"/>
      <c r="W68" s="2947"/>
      <c r="X68" s="2947"/>
      <c r="Y68" s="2947"/>
      <c r="Z68" s="2947"/>
      <c r="AA68" s="2947"/>
      <c r="AB68" s="2947"/>
      <c r="AC68" s="2947"/>
    </row>
    <row r="69" spans="1:29" ht="15.75" thickTop="1">
      <c r="A69" s="490"/>
      <c r="B69" s="494" t="s">
        <v>2429</v>
      </c>
      <c r="C69" s="534" t="s">
        <v>2417</v>
      </c>
      <c r="D69" s="534" t="s">
        <v>2418</v>
      </c>
      <c r="E69" s="534" t="s">
        <v>2419</v>
      </c>
      <c r="F69" s="534" t="s">
        <v>2420</v>
      </c>
      <c r="G69" s="534" t="s">
        <v>2421</v>
      </c>
      <c r="H69" s="495"/>
      <c r="I69" s="495"/>
      <c r="J69" s="495"/>
      <c r="K69" s="496"/>
      <c r="L69" s="497"/>
      <c r="M69" s="498"/>
      <c r="N69" s="2975"/>
      <c r="O69" s="2975"/>
      <c r="P69" s="2984"/>
      <c r="Q69" s="2961"/>
      <c r="R69" s="2947"/>
      <c r="S69" s="2947"/>
      <c r="T69" s="2947"/>
      <c r="U69" s="2947"/>
      <c r="V69" s="2947"/>
      <c r="W69" s="2947"/>
      <c r="X69" s="2947"/>
      <c r="Y69" s="2947"/>
      <c r="Z69" s="2947"/>
      <c r="AA69" s="2947"/>
      <c r="AB69" s="2947"/>
      <c r="AC69" s="2947"/>
    </row>
    <row r="70" spans="1:29" ht="15.75" thickBot="1">
      <c r="A70" s="490"/>
      <c r="B70" s="499"/>
      <c r="C70" s="500">
        <v>100</v>
      </c>
      <c r="D70" s="500">
        <f>C70-$K20</f>
        <v>98</v>
      </c>
      <c r="E70" s="500">
        <f>D70-$K20</f>
        <v>96</v>
      </c>
      <c r="F70" s="500">
        <f>E70-$K20</f>
        <v>94</v>
      </c>
      <c r="G70" s="500">
        <f>F70-$K20</f>
        <v>92</v>
      </c>
      <c r="H70" s="500"/>
      <c r="I70" s="500"/>
      <c r="J70" s="500"/>
      <c r="K70" s="500"/>
      <c r="L70" s="500"/>
      <c r="M70" s="501"/>
      <c r="N70" s="2976"/>
      <c r="O70" s="2976"/>
      <c r="P70" s="2984"/>
      <c r="Q70" s="2961"/>
      <c r="R70" s="2947"/>
      <c r="S70" s="2947"/>
      <c r="T70" s="2947"/>
      <c r="U70" s="2947"/>
      <c r="V70" s="2947"/>
      <c r="W70" s="2947"/>
      <c r="X70" s="2947"/>
      <c r="Y70" s="2947"/>
      <c r="Z70" s="2947"/>
      <c r="AA70" s="2947"/>
      <c r="AB70" s="2947"/>
      <c r="AC70" s="2947"/>
    </row>
    <row r="71" spans="1:29" ht="15.75" thickTop="1">
      <c r="A71" s="490"/>
      <c r="B71" s="494" t="s">
        <v>2549</v>
      </c>
      <c r="C71" s="510"/>
      <c r="D71" s="510"/>
      <c r="E71" s="510"/>
      <c r="F71" s="510"/>
      <c r="G71" s="510"/>
      <c r="H71" s="539"/>
      <c r="I71" s="539"/>
      <c r="J71" s="539"/>
      <c r="K71" s="540"/>
      <c r="L71" s="541"/>
      <c r="M71" s="542"/>
      <c r="N71" s="2975"/>
      <c r="O71" s="2975"/>
      <c r="P71" s="2984"/>
      <c r="Q71" s="2961"/>
      <c r="R71" s="2947"/>
      <c r="S71" s="2947"/>
      <c r="T71" s="2947"/>
      <c r="U71" s="2947"/>
      <c r="V71" s="2947"/>
      <c r="W71" s="2947"/>
      <c r="X71" s="2947"/>
      <c r="Y71" s="2947"/>
      <c r="Z71" s="2947"/>
      <c r="AA71" s="2947"/>
      <c r="AB71" s="2947"/>
      <c r="AC71" s="294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6"/>
      <c r="O72" s="2976"/>
      <c r="P72" s="2984"/>
      <c r="Q72" s="2961"/>
      <c r="R72" s="2947"/>
      <c r="S72" s="2947"/>
      <c r="T72" s="2947"/>
      <c r="U72" s="2947"/>
      <c r="V72" s="2947"/>
      <c r="W72" s="2947"/>
      <c r="X72" s="2947"/>
      <c r="Y72" s="2947"/>
      <c r="Z72" s="2947"/>
      <c r="AA72" s="2947"/>
      <c r="AB72" s="2947"/>
      <c r="AC72" s="2947"/>
    </row>
    <row r="73" spans="1:29" s="112" customFormat="1" ht="15.75" thickTop="1">
      <c r="A73" s="535"/>
      <c r="B73" s="494">
        <f>B23</f>
        <v>111</v>
      </c>
      <c r="C73" s="505"/>
      <c r="D73" s="505"/>
      <c r="E73" s="505"/>
      <c r="F73" s="505"/>
      <c r="G73" s="510"/>
      <c r="H73" s="510"/>
      <c r="I73" s="510"/>
      <c r="J73" s="510"/>
      <c r="K73" s="510"/>
      <c r="L73" s="536"/>
      <c r="M73" s="537"/>
      <c r="N73" s="2974"/>
      <c r="O73" s="2974"/>
      <c r="P73" s="2984"/>
      <c r="Q73" s="2961"/>
      <c r="R73" s="2882"/>
      <c r="S73" s="2882"/>
      <c r="T73" s="2882"/>
      <c r="U73" s="2882"/>
      <c r="V73" s="2882"/>
      <c r="W73" s="2882"/>
      <c r="X73" s="2882"/>
      <c r="Y73" s="2882"/>
      <c r="Z73" s="2882"/>
      <c r="AA73" s="2882"/>
      <c r="AB73" s="2882"/>
      <c r="AC73" s="2882"/>
    </row>
    <row r="74" spans="1:29" s="112" customFormat="1" ht="15.75" thickBot="1">
      <c r="A74" s="535"/>
      <c r="B74" s="499"/>
      <c r="C74" s="516"/>
      <c r="D74" s="492"/>
      <c r="E74" s="492"/>
      <c r="F74" s="492"/>
      <c r="G74" s="492"/>
      <c r="H74" s="492"/>
      <c r="I74" s="492"/>
      <c r="J74" s="492"/>
      <c r="K74" s="492"/>
      <c r="L74" s="492"/>
      <c r="M74" s="493"/>
      <c r="N74" s="2976"/>
      <c r="O74" s="2976"/>
      <c r="P74" s="2984"/>
      <c r="Q74" s="2961"/>
      <c r="R74" s="2882"/>
      <c r="S74" s="2882"/>
      <c r="T74" s="2882"/>
      <c r="U74" s="2882"/>
      <c r="V74" s="2882"/>
      <c r="W74" s="2882"/>
      <c r="X74" s="2882"/>
      <c r="Y74" s="2882"/>
      <c r="Z74" s="2882"/>
      <c r="AA74" s="2882"/>
      <c r="AB74" s="2882"/>
      <c r="AC74" s="2882"/>
    </row>
    <row r="75" spans="1:29" s="112" customFormat="1" ht="15.75" thickTop="1">
      <c r="A75" s="535"/>
      <c r="B75" s="494">
        <f>B24</f>
        <v>111</v>
      </c>
      <c r="C75" s="505"/>
      <c r="D75" s="505"/>
      <c r="E75" s="505"/>
      <c r="F75" s="505"/>
      <c r="G75" s="510"/>
      <c r="H75" s="510"/>
      <c r="I75" s="510"/>
      <c r="J75" s="510"/>
      <c r="K75" s="510"/>
      <c r="L75" s="510"/>
      <c r="M75" s="537"/>
      <c r="N75" s="2974"/>
      <c r="O75" s="2974"/>
      <c r="P75" s="2984"/>
      <c r="Q75" s="2961"/>
      <c r="R75" s="2882"/>
      <c r="S75" s="2882"/>
      <c r="T75" s="2882"/>
      <c r="U75" s="2882"/>
      <c r="V75" s="2882"/>
      <c r="W75" s="2882"/>
      <c r="X75" s="2882"/>
      <c r="Y75" s="2882"/>
      <c r="Z75" s="2882"/>
      <c r="AA75" s="2882"/>
      <c r="AB75" s="2882"/>
      <c r="AC75" s="2882"/>
    </row>
    <row r="76" spans="1:29" s="112" customFormat="1" ht="15.75" thickBot="1">
      <c r="A76" s="535"/>
      <c r="B76" s="499"/>
      <c r="C76" s="516"/>
      <c r="D76" s="492"/>
      <c r="E76" s="492"/>
      <c r="F76" s="492"/>
      <c r="G76" s="492"/>
      <c r="H76" s="492"/>
      <c r="I76" s="492"/>
      <c r="J76" s="492"/>
      <c r="K76" s="492"/>
      <c r="L76" s="492"/>
      <c r="M76" s="493"/>
      <c r="N76" s="2976"/>
      <c r="O76" s="2976"/>
      <c r="P76" s="2984"/>
      <c r="Q76" s="2961"/>
      <c r="R76" s="2882"/>
      <c r="S76" s="2882"/>
      <c r="T76" s="2882"/>
      <c r="U76" s="2882"/>
      <c r="V76" s="2882"/>
      <c r="W76" s="2882"/>
      <c r="X76" s="2882"/>
      <c r="Y76" s="2882"/>
      <c r="Z76" s="2882"/>
      <c r="AA76" s="2882"/>
      <c r="AB76" s="2882"/>
      <c r="AC76" s="2882"/>
    </row>
    <row r="77" spans="1:29" s="429" customFormat="1" ht="15.75" thickTop="1">
      <c r="A77" s="509"/>
      <c r="B77" s="494">
        <f>B25</f>
        <v>111</v>
      </c>
      <c r="C77" s="510"/>
      <c r="D77" s="510"/>
      <c r="E77" s="510"/>
      <c r="F77" s="510"/>
      <c r="G77" s="510"/>
      <c r="H77" s="511"/>
      <c r="I77" s="511"/>
      <c r="J77" s="511"/>
      <c r="K77" s="511"/>
      <c r="L77" s="512"/>
      <c r="M77" s="513"/>
      <c r="N77" s="2977"/>
      <c r="O77" s="2977"/>
      <c r="P77" s="2985"/>
      <c r="Q77" s="2968"/>
      <c r="R77" s="2969"/>
      <c r="S77" s="2969"/>
      <c r="T77" s="2969"/>
      <c r="U77" s="2969"/>
      <c r="V77" s="2969"/>
      <c r="W77" s="2969"/>
      <c r="X77" s="2969"/>
      <c r="Y77" s="2969"/>
      <c r="Z77" s="2969"/>
      <c r="AA77" s="2969"/>
      <c r="AB77" s="2969"/>
      <c r="AC77" s="2969"/>
    </row>
    <row r="78" spans="1:29" s="429" customFormat="1" ht="15.75" thickBot="1">
      <c r="A78" s="509"/>
      <c r="B78" s="499"/>
      <c r="C78" s="516"/>
      <c r="D78" s="516"/>
      <c r="E78" s="516"/>
      <c r="F78" s="516"/>
      <c r="G78" s="492"/>
      <c r="H78" s="492"/>
      <c r="I78" s="492"/>
      <c r="J78" s="492"/>
      <c r="K78" s="492"/>
      <c r="L78" s="492"/>
      <c r="M78" s="493"/>
      <c r="N78" s="2977"/>
      <c r="O78" s="2977"/>
      <c r="P78" s="2985"/>
      <c r="Q78" s="2968"/>
      <c r="R78" s="2969"/>
      <c r="S78" s="2969"/>
      <c r="T78" s="2969"/>
      <c r="U78" s="2969"/>
      <c r="V78" s="2969"/>
      <c r="W78" s="2969"/>
      <c r="X78" s="2969"/>
      <c r="Y78" s="2969"/>
      <c r="Z78" s="2969"/>
      <c r="AA78" s="2969"/>
      <c r="AB78" s="2969"/>
      <c r="AC78" s="2969"/>
    </row>
    <row r="79" spans="1:29" ht="27.75" thickTop="1">
      <c r="A79" s="483" t="s">
        <v>2383</v>
      </c>
      <c r="B79" s="484" t="s">
        <v>2550</v>
      </c>
      <c r="C79" s="485" t="str">
        <f>C26</f>
        <v>住宅</v>
      </c>
      <c r="D79" s="486"/>
      <c r="E79" s="486"/>
      <c r="F79" s="486"/>
      <c r="G79" s="486"/>
      <c r="H79" s="486"/>
      <c r="I79" s="486"/>
      <c r="J79" s="486"/>
      <c r="K79" s="487"/>
      <c r="L79" s="488"/>
      <c r="M79" s="489"/>
      <c r="N79" s="2975"/>
      <c r="O79" s="2975"/>
      <c r="P79" s="2984"/>
      <c r="Q79" s="2961"/>
      <c r="R79" s="2947"/>
      <c r="S79" s="2947"/>
      <c r="T79" s="2947"/>
      <c r="U79" s="2947"/>
      <c r="V79" s="2947"/>
      <c r="W79" s="2947"/>
      <c r="X79" s="2947"/>
      <c r="Y79" s="2947"/>
      <c r="Z79" s="2947"/>
      <c r="AA79" s="2947"/>
      <c r="AB79" s="2947"/>
      <c r="AC79" s="2947"/>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76"/>
      <c r="O80" s="2976"/>
      <c r="P80" s="2984"/>
      <c r="Q80" s="2961"/>
      <c r="R80" s="2947"/>
      <c r="S80" s="2947"/>
      <c r="T80" s="2947"/>
      <c r="U80" s="2947"/>
      <c r="V80" s="2947"/>
      <c r="W80" s="2947"/>
      <c r="X80" s="2947"/>
      <c r="Y80" s="2947"/>
      <c r="Z80" s="2947"/>
      <c r="AA80" s="2947"/>
      <c r="AB80" s="2947"/>
      <c r="AC80" s="2947"/>
    </row>
    <row r="81" spans="1:29" ht="15.75" thickTop="1">
      <c r="A81" s="490"/>
      <c r="B81" s="494" t="s">
        <v>2551</v>
      </c>
      <c r="C81" s="616" t="s">
        <v>4390</v>
      </c>
      <c r="D81" s="616" t="s">
        <v>4406</v>
      </c>
      <c r="E81" s="616" t="s">
        <v>4405</v>
      </c>
      <c r="F81" s="616" t="s">
        <v>4395</v>
      </c>
      <c r="G81" s="616" t="s">
        <v>4396</v>
      </c>
      <c r="H81" s="616" t="s">
        <v>4393</v>
      </c>
      <c r="I81" s="616" t="s">
        <v>4397</v>
      </c>
      <c r="J81" s="616" t="s">
        <v>4398</v>
      </c>
      <c r="K81" s="617" t="s">
        <v>4391</v>
      </c>
      <c r="L81" s="618"/>
      <c r="M81" s="619"/>
      <c r="N81" s="2974"/>
      <c r="O81" s="2974"/>
      <c r="P81" s="2984"/>
      <c r="Q81" s="2961"/>
      <c r="R81" s="2947"/>
      <c r="S81" s="2947"/>
      <c r="T81" s="2947"/>
      <c r="U81" s="2947"/>
      <c r="V81" s="2947"/>
      <c r="W81" s="2947"/>
      <c r="X81" s="2947"/>
      <c r="Y81" s="2947"/>
      <c r="Z81" s="2947"/>
      <c r="AA81" s="2947"/>
      <c r="AB81" s="2947"/>
      <c r="AC81" s="2947"/>
    </row>
    <row r="82" spans="1:29" s="429" customFormat="1" ht="15.75" thickBot="1">
      <c r="A82" s="509"/>
      <c r="B82" s="499"/>
      <c r="C82" s="516">
        <v>100</v>
      </c>
      <c r="D82" s="492">
        <v>99.5</v>
      </c>
      <c r="E82" s="492">
        <v>99</v>
      </c>
      <c r="F82" s="492">
        <v>98.5</v>
      </c>
      <c r="G82" s="492">
        <v>98</v>
      </c>
      <c r="H82" s="492">
        <v>97.5</v>
      </c>
      <c r="I82" s="492">
        <v>97</v>
      </c>
      <c r="J82" s="492">
        <v>96.5</v>
      </c>
      <c r="K82" s="492">
        <v>96</v>
      </c>
      <c r="L82" s="492"/>
      <c r="M82" s="493"/>
      <c r="N82" s="2976"/>
      <c r="O82" s="2976"/>
      <c r="P82" s="2985"/>
      <c r="Q82" s="2968"/>
      <c r="R82" s="2969"/>
      <c r="S82" s="2969"/>
      <c r="T82" s="2969"/>
      <c r="U82" s="2969"/>
      <c r="V82" s="2969"/>
      <c r="W82" s="2969"/>
      <c r="X82" s="2969"/>
      <c r="Y82" s="2969"/>
      <c r="Z82" s="2969"/>
      <c r="AA82" s="2969"/>
      <c r="AB82" s="2969"/>
      <c r="AC82" s="2969"/>
    </row>
    <row r="83" spans="1:29" ht="15" thickTop="1">
      <c r="A83" s="555"/>
      <c r="B83" s="494" t="s">
        <v>2436</v>
      </c>
      <c r="C83" s="3140" t="s">
        <v>4400</v>
      </c>
      <c r="D83" s="3140" t="s">
        <v>4401</v>
      </c>
      <c r="E83" s="3139" t="s">
        <v>4402</v>
      </c>
      <c r="F83" s="3139" t="s">
        <v>4404</v>
      </c>
      <c r="G83" s="539"/>
      <c r="H83" s="539"/>
      <c r="I83" s="539"/>
      <c r="J83" s="539"/>
      <c r="K83" s="540"/>
      <c r="L83" s="541"/>
      <c r="M83" s="542"/>
      <c r="N83" s="2975"/>
      <c r="O83" s="2975"/>
      <c r="P83" s="2984"/>
      <c r="Q83" s="2961"/>
      <c r="R83" s="2947"/>
      <c r="S83" s="2947"/>
      <c r="T83" s="2947"/>
      <c r="U83" s="2947"/>
      <c r="V83" s="2947"/>
      <c r="W83" s="2947"/>
      <c r="X83" s="2947"/>
      <c r="Y83" s="2947"/>
      <c r="Z83" s="2947"/>
      <c r="AA83" s="2947"/>
      <c r="AB83" s="2947"/>
      <c r="AC83" s="294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5"/>
      <c r="O85" s="2975"/>
      <c r="P85" s="2984"/>
      <c r="Q85" s="2961"/>
      <c r="R85" s="2947"/>
      <c r="S85" s="2947"/>
      <c r="T85" s="2947"/>
      <c r="U85" s="2947"/>
      <c r="V85" s="2947"/>
      <c r="W85" s="2947"/>
      <c r="X85" s="2947"/>
      <c r="Y85" s="2947"/>
      <c r="Z85" s="2947"/>
      <c r="AA85" s="2947"/>
      <c r="AB85" s="2947"/>
      <c r="AC85" s="2947"/>
    </row>
    <row r="86" spans="1:29">
      <c r="A86" s="555"/>
      <c r="B86" s="502"/>
      <c r="C86" s="559">
        <v>0.5</v>
      </c>
      <c r="D86" s="559">
        <v>0.6</v>
      </c>
      <c r="E86" s="559">
        <v>0.7</v>
      </c>
      <c r="F86" s="559">
        <v>0.8</v>
      </c>
      <c r="G86" s="559">
        <v>0.9</v>
      </c>
      <c r="H86" s="559">
        <v>1.0001</v>
      </c>
      <c r="I86" s="578"/>
      <c r="J86" s="578"/>
      <c r="K86" s="579"/>
      <c r="L86" s="580"/>
      <c r="M86" s="581"/>
      <c r="N86" s="2975"/>
      <c r="O86" s="2975"/>
      <c r="P86" s="2984"/>
      <c r="Q86" s="2961"/>
      <c r="R86" s="2947"/>
      <c r="S86" s="2947"/>
      <c r="T86" s="2947"/>
      <c r="U86" s="2947"/>
      <c r="V86" s="2947"/>
      <c r="W86" s="2947"/>
      <c r="X86" s="2947"/>
      <c r="Y86" s="2947"/>
      <c r="Z86" s="2947"/>
      <c r="AA86" s="2947"/>
      <c r="AB86" s="2947"/>
      <c r="AC86" s="2947"/>
    </row>
    <row r="87" spans="1:29" ht="15.75" thickBot="1">
      <c r="A87" s="490"/>
      <c r="B87" s="499"/>
      <c r="C87" s="538">
        <v>100</v>
      </c>
      <c r="D87" s="500">
        <f>C87+$K$29</f>
        <v>102</v>
      </c>
      <c r="E87" s="500">
        <f t="shared" ref="E87:M87" si="19">D87+$K$29</f>
        <v>104</v>
      </c>
      <c r="F87" s="500">
        <f t="shared" si="19"/>
        <v>106</v>
      </c>
      <c r="G87" s="500">
        <f t="shared" si="19"/>
        <v>108</v>
      </c>
      <c r="H87" s="500">
        <f t="shared" si="19"/>
        <v>110</v>
      </c>
      <c r="I87" s="500">
        <f t="shared" si="19"/>
        <v>112</v>
      </c>
      <c r="J87" s="500">
        <f t="shared" si="19"/>
        <v>114</v>
      </c>
      <c r="K87" s="500">
        <f t="shared" si="19"/>
        <v>116</v>
      </c>
      <c r="L87" s="500">
        <f t="shared" si="19"/>
        <v>118</v>
      </c>
      <c r="M87" s="500">
        <f t="shared" si="19"/>
        <v>120</v>
      </c>
      <c r="N87" s="2976"/>
      <c r="O87" s="2976"/>
      <c r="P87" s="2984"/>
      <c r="Q87" s="2961"/>
      <c r="R87" s="2947"/>
      <c r="S87" s="2947"/>
      <c r="T87" s="2947"/>
      <c r="U87" s="2947"/>
      <c r="V87" s="2947"/>
      <c r="W87" s="2947"/>
      <c r="X87" s="2947"/>
      <c r="Y87" s="2947"/>
      <c r="Z87" s="2947"/>
      <c r="AA87" s="2947"/>
      <c r="AB87" s="2947"/>
      <c r="AC87" s="2947"/>
    </row>
    <row r="88" spans="1:29" ht="15" thickTop="1">
      <c r="A88" s="555"/>
      <c r="B88" s="502" t="s">
        <v>2553</v>
      </c>
      <c r="C88" s="3141" t="s">
        <v>4382</v>
      </c>
      <c r="D88" s="3141" t="s">
        <v>4383</v>
      </c>
      <c r="E88" s="486"/>
      <c r="F88" s="486"/>
      <c r="G88" s="486"/>
      <c r="H88" s="486"/>
      <c r="I88" s="486"/>
      <c r="J88" s="486"/>
      <c r="K88" s="487"/>
      <c r="L88" s="488"/>
      <c r="M88" s="489"/>
      <c r="N88" s="2975"/>
      <c r="O88" s="2975"/>
      <c r="P88" s="2984"/>
      <c r="Q88" s="2961"/>
      <c r="R88" s="2947"/>
      <c r="S88" s="2947"/>
      <c r="T88" s="2947"/>
      <c r="U88" s="2947"/>
      <c r="V88" s="2947"/>
      <c r="W88" s="2947"/>
      <c r="X88" s="2947"/>
      <c r="Y88" s="2947"/>
      <c r="Z88" s="2947"/>
      <c r="AA88" s="2947"/>
      <c r="AB88" s="2947"/>
      <c r="AC88" s="2947"/>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76"/>
      <c r="O89" s="2976"/>
      <c r="P89" s="2984"/>
      <c r="Q89" s="2961"/>
      <c r="R89" s="2947"/>
      <c r="S89" s="2947"/>
      <c r="T89" s="2947"/>
      <c r="U89" s="2947"/>
      <c r="V89" s="2947"/>
      <c r="W89" s="2947"/>
      <c r="X89" s="2947"/>
      <c r="Y89" s="2947"/>
      <c r="Z89" s="2947"/>
      <c r="AA89" s="2947"/>
      <c r="AB89" s="2947"/>
      <c r="AC89" s="2947"/>
    </row>
    <row r="90" spans="1:29" s="429" customFormat="1" ht="15" thickTop="1">
      <c r="A90" s="549"/>
      <c r="B90" s="494" t="s">
        <v>2554</v>
      </c>
      <c r="C90" s="534" t="str">
        <f>C91&amp;"(含)"&amp;"-"&amp;D91</f>
        <v>0(含)-30</v>
      </c>
      <c r="D90" s="534" t="str">
        <f t="shared" ref="D90:L90" si="21">D91&amp;"(含)"&amp;"-"&amp;E91</f>
        <v>30(含)-50</v>
      </c>
      <c r="E90" s="534" t="str">
        <f t="shared" si="21"/>
        <v>50(含)-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7"/>
      <c r="O90" s="2977"/>
      <c r="P90" s="2985"/>
      <c r="Q90" s="2968"/>
      <c r="R90" s="2969"/>
      <c r="S90" s="2969"/>
      <c r="T90" s="2969"/>
      <c r="U90" s="2969"/>
      <c r="V90" s="2969"/>
      <c r="W90" s="2969"/>
      <c r="X90" s="2969"/>
      <c r="Y90" s="2969"/>
      <c r="Z90" s="2969"/>
      <c r="AA90" s="2969"/>
      <c r="AB90" s="2969"/>
      <c r="AC90" s="2969"/>
    </row>
    <row r="91" spans="1:29" s="429" customFormat="1">
      <c r="A91" s="549"/>
      <c r="B91" s="502"/>
      <c r="C91" s="551">
        <v>0</v>
      </c>
      <c r="D91" s="551">
        <v>30</v>
      </c>
      <c r="E91" s="551">
        <v>50</v>
      </c>
      <c r="F91" s="551"/>
      <c r="G91" s="551"/>
      <c r="H91" s="551"/>
      <c r="I91" s="551"/>
      <c r="J91" s="552"/>
      <c r="K91" s="552"/>
      <c r="L91" s="553"/>
      <c r="M91" s="554"/>
      <c r="N91" s="2977"/>
      <c r="O91" s="2977"/>
      <c r="P91" s="2985"/>
      <c r="Q91" s="2968"/>
      <c r="R91" s="2969"/>
      <c r="S91" s="2969"/>
      <c r="T91" s="2969"/>
      <c r="U91" s="2969"/>
      <c r="V91" s="2969"/>
      <c r="W91" s="2969"/>
      <c r="X91" s="2969"/>
      <c r="Y91" s="2969"/>
      <c r="Z91" s="2969"/>
      <c r="AA91" s="2969"/>
      <c r="AB91" s="2969"/>
      <c r="AC91" s="2969"/>
    </row>
    <row r="92" spans="1:29" s="429" customFormat="1" ht="15.75" thickBot="1">
      <c r="A92" s="509"/>
      <c r="B92" s="499"/>
      <c r="C92" s="516"/>
      <c r="D92" s="492"/>
      <c r="E92" s="492"/>
      <c r="F92" s="492"/>
      <c r="G92" s="492"/>
      <c r="H92" s="492"/>
      <c r="I92" s="492"/>
      <c r="J92" s="492"/>
      <c r="K92" s="492"/>
      <c r="L92" s="492"/>
      <c r="M92" s="493"/>
      <c r="N92" s="2977"/>
      <c r="O92" s="2977"/>
      <c r="P92" s="2985"/>
      <c r="Q92" s="2968"/>
      <c r="R92" s="2969"/>
      <c r="S92" s="2969"/>
      <c r="T92" s="2969"/>
      <c r="U92" s="2969"/>
      <c r="V92" s="2969"/>
      <c r="W92" s="2969"/>
      <c r="X92" s="2969"/>
      <c r="Y92" s="2969"/>
      <c r="Z92" s="2969"/>
      <c r="AA92" s="2969"/>
      <c r="AB92" s="2969"/>
      <c r="AC92" s="2969"/>
    </row>
    <row r="93" spans="1:29" ht="15" thickTop="1">
      <c r="A93" s="555"/>
      <c r="B93" s="494" t="s">
        <v>2555</v>
      </c>
      <c r="C93" s="3140" t="s">
        <v>4384</v>
      </c>
      <c r="D93" s="3140" t="s">
        <v>4386</v>
      </c>
      <c r="E93" s="539"/>
      <c r="F93" s="539"/>
      <c r="G93" s="539"/>
      <c r="H93" s="539"/>
      <c r="I93" s="539"/>
      <c r="J93" s="539"/>
      <c r="K93" s="540"/>
      <c r="L93" s="541"/>
      <c r="M93" s="542"/>
      <c r="N93" s="2975"/>
      <c r="O93" s="2975"/>
      <c r="P93" s="2984"/>
      <c r="Q93" s="2961"/>
      <c r="R93" s="2947"/>
      <c r="S93" s="2947"/>
      <c r="T93" s="2947"/>
      <c r="U93" s="2947"/>
      <c r="V93" s="2947"/>
      <c r="W93" s="2947"/>
      <c r="X93" s="2947"/>
      <c r="Y93" s="2947"/>
      <c r="Z93" s="2947"/>
      <c r="AA93" s="2947"/>
      <c r="AB93" s="2947"/>
      <c r="AC93" s="294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5"/>
      <c r="B95" s="494" t="s">
        <v>2556</v>
      </c>
      <c r="C95" s="3141" t="s">
        <v>4387</v>
      </c>
      <c r="D95" s="3141" t="s">
        <v>4389</v>
      </c>
      <c r="E95" s="486"/>
      <c r="F95" s="486"/>
      <c r="G95" s="486"/>
      <c r="H95" s="486"/>
      <c r="I95" s="486"/>
      <c r="J95" s="486"/>
      <c r="K95" s="487"/>
      <c r="L95" s="488"/>
      <c r="M95" s="489"/>
      <c r="N95" s="2975"/>
      <c r="O95" s="2975"/>
      <c r="P95" s="2984"/>
      <c r="Q95" s="2961"/>
      <c r="R95" s="2947"/>
      <c r="S95" s="2947"/>
      <c r="T95" s="2947"/>
      <c r="U95" s="2947"/>
      <c r="V95" s="2947"/>
      <c r="W95" s="2947"/>
      <c r="X95" s="2947"/>
      <c r="Y95" s="2947"/>
      <c r="Z95" s="2947"/>
      <c r="AA95" s="2947"/>
      <c r="AB95" s="2947"/>
      <c r="AC95" s="2947"/>
    </row>
    <row r="96" spans="1:29" ht="15.75" thickBot="1">
      <c r="A96" s="490"/>
      <c r="B96" s="499"/>
      <c r="C96" s="500">
        <v>100</v>
      </c>
      <c r="D96" s="500">
        <f>C96-$K33</f>
        <v>95</v>
      </c>
      <c r="E96" s="500">
        <f>D96-$K33</f>
        <v>90</v>
      </c>
      <c r="F96" s="500">
        <f>E96-$K33</f>
        <v>85</v>
      </c>
      <c r="G96" s="500">
        <f>F96-$K33</f>
        <v>80</v>
      </c>
      <c r="H96" s="500"/>
      <c r="I96" s="500"/>
      <c r="J96" s="500"/>
      <c r="K96" s="500"/>
      <c r="L96" s="500"/>
      <c r="M96" s="501"/>
      <c r="N96" s="2976"/>
      <c r="O96" s="2976"/>
      <c r="P96" s="2984"/>
      <c r="Q96" s="2961"/>
      <c r="R96" s="2947"/>
      <c r="S96" s="2947"/>
      <c r="T96" s="2947"/>
      <c r="U96" s="2947"/>
      <c r="V96" s="2947"/>
      <c r="W96" s="2947"/>
      <c r="X96" s="2947"/>
      <c r="Y96" s="2947"/>
      <c r="Z96" s="2947"/>
      <c r="AA96" s="2947"/>
      <c r="AB96" s="2947"/>
      <c r="AC96" s="2947"/>
    </row>
    <row r="97" spans="1:29" ht="15" thickTop="1">
      <c r="A97" s="555"/>
      <c r="B97" s="591">
        <f>B34</f>
        <v>111</v>
      </c>
      <c r="C97" s="505"/>
      <c r="D97" s="505"/>
      <c r="E97" s="505"/>
      <c r="F97" s="505"/>
      <c r="G97" s="510"/>
      <c r="H97" s="511"/>
      <c r="I97" s="511"/>
      <c r="J97" s="511"/>
      <c r="K97" s="511"/>
      <c r="L97" s="512"/>
      <c r="M97" s="513"/>
      <c r="N97" s="2976"/>
      <c r="O97" s="2976"/>
      <c r="P97" s="2989"/>
      <c r="Q97" s="2990"/>
      <c r="R97" s="2947"/>
      <c r="S97" s="2947"/>
      <c r="T97" s="2947"/>
      <c r="U97" s="2947"/>
      <c r="V97" s="2947"/>
      <c r="W97" s="2947"/>
      <c r="X97" s="2947"/>
      <c r="Y97" s="2947"/>
      <c r="Z97" s="2947"/>
      <c r="AA97" s="2947"/>
      <c r="AB97" s="2947"/>
      <c r="AC97" s="2947"/>
    </row>
    <row r="98" spans="1:29" ht="15.75" thickBot="1">
      <c r="A98" s="490"/>
      <c r="B98" s="499"/>
      <c r="C98" s="516"/>
      <c r="D98" s="492"/>
      <c r="E98" s="492"/>
      <c r="F98" s="492"/>
      <c r="G98" s="516"/>
      <c r="H98" s="518"/>
      <c r="I98" s="518"/>
      <c r="J98" s="518"/>
      <c r="K98" s="518"/>
      <c r="L98" s="518"/>
      <c r="M98" s="519"/>
      <c r="N98" s="2976"/>
      <c r="O98" s="2976"/>
      <c r="P98" s="2984"/>
      <c r="Q98" s="2961"/>
      <c r="R98" s="2947"/>
      <c r="S98" s="2947"/>
      <c r="T98" s="2947"/>
      <c r="U98" s="2947"/>
      <c r="V98" s="2947"/>
      <c r="W98" s="2947"/>
      <c r="X98" s="2947"/>
      <c r="Y98" s="2947"/>
      <c r="Z98" s="2947"/>
      <c r="AA98" s="2947"/>
      <c r="AB98" s="2947"/>
      <c r="AC98" s="2947"/>
    </row>
    <row r="99" spans="1:29" s="429" customFormat="1" ht="15" thickTop="1">
      <c r="A99" s="549"/>
      <c r="B99" s="494">
        <f>B35</f>
        <v>111</v>
      </c>
      <c r="C99" s="505"/>
      <c r="D99" s="505"/>
      <c r="E99" s="505"/>
      <c r="F99" s="505"/>
      <c r="G99" s="510"/>
      <c r="H99" s="511"/>
      <c r="I99" s="511"/>
      <c r="J99" s="511"/>
      <c r="K99" s="511"/>
      <c r="L99" s="512"/>
      <c r="M99" s="513"/>
      <c r="N99" s="2977"/>
      <c r="O99" s="2977"/>
      <c r="P99" s="2985"/>
      <c r="Q99" s="2968"/>
      <c r="R99" s="2969"/>
      <c r="S99" s="2969"/>
      <c r="T99" s="2969"/>
      <c r="U99" s="2969"/>
      <c r="V99" s="2969"/>
      <c r="W99" s="2969"/>
      <c r="X99" s="2969"/>
      <c r="Y99" s="2969"/>
      <c r="Z99" s="2969"/>
      <c r="AA99" s="2969"/>
      <c r="AB99" s="2969"/>
      <c r="AC99" s="2969"/>
    </row>
    <row r="100" spans="1:29" s="429" customFormat="1" ht="15.75" thickBot="1">
      <c r="A100" s="509"/>
      <c r="B100" s="491"/>
      <c r="C100" s="516"/>
      <c r="D100" s="492"/>
      <c r="E100" s="492"/>
      <c r="F100" s="492"/>
      <c r="G100" s="516"/>
      <c r="H100" s="518"/>
      <c r="I100" s="518"/>
      <c r="J100" s="518"/>
      <c r="K100" s="518"/>
      <c r="L100" s="518"/>
      <c r="M100" s="519"/>
      <c r="N100" s="2977"/>
      <c r="O100" s="2977"/>
      <c r="P100" s="2985"/>
      <c r="Q100" s="2968"/>
      <c r="R100" s="2969"/>
      <c r="S100" s="2969"/>
      <c r="T100" s="2969"/>
      <c r="U100" s="2969"/>
      <c r="V100" s="2969"/>
      <c r="W100" s="2969"/>
      <c r="X100" s="2969"/>
      <c r="Y100" s="2969"/>
      <c r="Z100" s="2969"/>
      <c r="AA100" s="2969"/>
      <c r="AB100" s="2969"/>
      <c r="AC100" s="2969"/>
    </row>
    <row r="101" spans="1:29" ht="15" thickTop="1">
      <c r="A101" s="555"/>
      <c r="B101" s="494">
        <f>B36</f>
        <v>111</v>
      </c>
      <c r="C101" s="510"/>
      <c r="D101" s="510"/>
      <c r="E101" s="510"/>
      <c r="F101" s="510"/>
      <c r="G101" s="510"/>
      <c r="H101" s="511"/>
      <c r="I101" s="511"/>
      <c r="J101" s="511"/>
      <c r="K101" s="511"/>
      <c r="L101" s="512"/>
      <c r="M101" s="513"/>
      <c r="N101" s="2975"/>
      <c r="O101" s="2975"/>
      <c r="P101" s="2984"/>
      <c r="Q101" s="2961"/>
      <c r="R101" s="2947"/>
      <c r="S101" s="2947"/>
      <c r="T101" s="2947"/>
      <c r="U101" s="2947"/>
      <c r="V101" s="2947"/>
      <c r="W101" s="2947"/>
      <c r="X101" s="2947"/>
      <c r="Y101" s="2947"/>
      <c r="Z101" s="2947"/>
      <c r="AA101" s="2947"/>
      <c r="AB101" s="2947"/>
      <c r="AC101" s="2947"/>
    </row>
    <row r="102" spans="1:29" ht="15.75" thickBot="1">
      <c r="A102" s="490"/>
      <c r="B102" s="499"/>
      <c r="C102" s="516"/>
      <c r="D102" s="516"/>
      <c r="E102" s="516"/>
      <c r="F102" s="516"/>
      <c r="G102" s="516"/>
      <c r="H102" s="518"/>
      <c r="I102" s="518"/>
      <c r="J102" s="518"/>
      <c r="K102" s="518"/>
      <c r="L102" s="518"/>
      <c r="M102" s="519"/>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E17 I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 type="list" allowBlank="1" showInputMessage="1" showErrorMessage="1" sqref="D38"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5"/>
  <sheetViews>
    <sheetView workbookViewId="0">
      <selection activeCell="I15" sqref="I15"/>
    </sheetView>
  </sheetViews>
  <sheetFormatPr defaultColWidth="9" defaultRowHeight="14.25"/>
  <cols>
    <col min="1" max="1" width="13.75" style="3144" customWidth="1"/>
    <col min="2" max="2" width="8.625" style="3144" customWidth="1"/>
    <col min="3" max="3" width="8.125" style="3144" customWidth="1"/>
    <col min="4" max="4" width="10" style="3144" customWidth="1"/>
    <col min="5" max="16384" width="9" style="3144"/>
  </cols>
  <sheetData>
    <row r="1" spans="1:4">
      <c r="A1" s="3574" t="s">
        <v>4442</v>
      </c>
      <c r="B1" s="3143" t="s">
        <v>4352</v>
      </c>
      <c r="C1" s="3158">
        <v>37</v>
      </c>
      <c r="D1" s="3143" t="s">
        <v>4353</v>
      </c>
    </row>
    <row r="2" spans="1:4">
      <c r="A2" s="3574"/>
      <c r="B2" s="3143" t="s">
        <v>4354</v>
      </c>
      <c r="C2" s="3143">
        <v>9948</v>
      </c>
      <c r="D2" s="3143" t="s">
        <v>4355</v>
      </c>
    </row>
    <row r="3" spans="1:4">
      <c r="A3" s="3574"/>
      <c r="B3" s="3143" t="s">
        <v>4356</v>
      </c>
      <c r="C3" s="3143">
        <v>36.83</v>
      </c>
      <c r="D3" s="3143" t="s">
        <v>4357</v>
      </c>
    </row>
    <row r="4" spans="1:4">
      <c r="A4" s="3575" t="s">
        <v>4440</v>
      </c>
      <c r="B4" s="3145" t="s">
        <v>4352</v>
      </c>
      <c r="C4" s="3158">
        <v>38</v>
      </c>
      <c r="D4" s="3145" t="s">
        <v>4353</v>
      </c>
    </row>
    <row r="5" spans="1:4">
      <c r="A5" s="3575"/>
      <c r="B5" s="3145" t="s">
        <v>4354</v>
      </c>
      <c r="C5" s="3145">
        <v>10406</v>
      </c>
      <c r="D5" s="3145" t="s">
        <v>4355</v>
      </c>
    </row>
    <row r="6" spans="1:4">
      <c r="A6" s="3575"/>
      <c r="B6" s="3145" t="s">
        <v>4356</v>
      </c>
      <c r="C6" s="3145">
        <v>39.9</v>
      </c>
      <c r="D6" s="3145" t="s">
        <v>4357</v>
      </c>
    </row>
    <row r="7" spans="1:4">
      <c r="A7" s="3576" t="s">
        <v>4358</v>
      </c>
      <c r="B7" s="3146" t="s">
        <v>4352</v>
      </c>
      <c r="C7" s="3146">
        <v>18</v>
      </c>
      <c r="D7" s="3146" t="s">
        <v>4353</v>
      </c>
    </row>
    <row r="8" spans="1:4">
      <c r="A8" s="3576"/>
      <c r="B8" s="3146" t="s">
        <v>4354</v>
      </c>
      <c r="C8" s="3146">
        <v>18744</v>
      </c>
      <c r="D8" s="3146" t="s">
        <v>4355</v>
      </c>
    </row>
    <row r="9" spans="1:4">
      <c r="A9" s="3576"/>
      <c r="B9" s="3146" t="s">
        <v>4356</v>
      </c>
      <c r="C9" s="3146">
        <v>33.89</v>
      </c>
      <c r="D9" s="3146" t="s">
        <v>4359</v>
      </c>
    </row>
    <row r="10" spans="1:4">
      <c r="A10" s="3577" t="s">
        <v>4360</v>
      </c>
      <c r="B10" s="3147" t="s">
        <v>4352</v>
      </c>
      <c r="C10" s="3158">
        <v>31</v>
      </c>
      <c r="D10" s="3147" t="s">
        <v>4353</v>
      </c>
    </row>
    <row r="11" spans="1:4">
      <c r="A11" s="3577"/>
      <c r="B11" s="3147" t="s">
        <v>4354</v>
      </c>
      <c r="C11" s="3147">
        <v>10876</v>
      </c>
      <c r="D11" s="3147" t="s">
        <v>4355</v>
      </c>
    </row>
    <row r="12" spans="1:4">
      <c r="A12" s="3577"/>
      <c r="B12" s="3147" t="s">
        <v>4356</v>
      </c>
      <c r="C12" s="3147">
        <v>33.54</v>
      </c>
      <c r="D12" s="3147" t="s">
        <v>4359</v>
      </c>
    </row>
    <row r="13" spans="1:4">
      <c r="A13" s="3578" t="s">
        <v>4361</v>
      </c>
      <c r="B13" s="3148" t="s">
        <v>4352</v>
      </c>
      <c r="C13" s="3148">
        <v>15</v>
      </c>
      <c r="D13" s="3148" t="s">
        <v>4353</v>
      </c>
    </row>
    <row r="14" spans="1:4">
      <c r="A14" s="3578"/>
      <c r="B14" s="3148" t="s">
        <v>4354</v>
      </c>
      <c r="C14" s="3148">
        <v>24014</v>
      </c>
      <c r="D14" s="3148" t="s">
        <v>4355</v>
      </c>
    </row>
    <row r="15" spans="1:4">
      <c r="A15" s="3578"/>
      <c r="B15" s="3148" t="s">
        <v>4356</v>
      </c>
      <c r="C15" s="3148">
        <v>35.590000000000003</v>
      </c>
      <c r="D15" s="3148" t="s">
        <v>4359</v>
      </c>
    </row>
  </sheetData>
  <mergeCells count="5">
    <mergeCell ref="A1:A3"/>
    <mergeCell ref="A4:A6"/>
    <mergeCell ref="A7:A9"/>
    <mergeCell ref="A10:A12"/>
    <mergeCell ref="A13:A15"/>
  </mergeCells>
  <phoneticPr fontId="14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t="e">
        <f>F61</f>
        <v>#DIV/0!</v>
      </c>
      <c r="C2" s="1038"/>
      <c r="D2" s="1038"/>
      <c r="E2" s="1038"/>
      <c r="F2" s="1039"/>
      <c r="G2" s="1038"/>
      <c r="H2" s="1038"/>
      <c r="I2" s="1038"/>
      <c r="J2" s="1038"/>
      <c r="K2" s="1040"/>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2149</v>
      </c>
      <c r="B3" s="565" t="e">
        <f>ROUND(IF(D3="",B2*10000/'数据-汇总表'!E3,B2*10000/D3),0)</f>
        <v>#DIV/0!</v>
      </c>
      <c r="C3" s="208" t="s">
        <v>2566</v>
      </c>
      <c r="D3" s="1353"/>
      <c r="E3" s="1038"/>
      <c r="F3" s="1039"/>
      <c r="G3" s="1038"/>
      <c r="H3" s="1038"/>
      <c r="I3" s="1038"/>
      <c r="J3" s="1038"/>
      <c r="K3" s="1040"/>
      <c r="L3" s="2956"/>
      <c r="M3" s="2957"/>
      <c r="N3" s="2957"/>
      <c r="O3" s="2957"/>
      <c r="P3" s="707"/>
      <c r="Q3" s="707"/>
      <c r="R3" s="707"/>
      <c r="S3" s="707"/>
      <c r="T3" s="707"/>
      <c r="U3" s="707"/>
      <c r="V3" s="707"/>
      <c r="W3" s="707"/>
      <c r="X3" s="707"/>
      <c r="Y3" s="707"/>
      <c r="Z3" s="707"/>
      <c r="AA3" s="707"/>
      <c r="AB3" s="724"/>
      <c r="AC3" s="721"/>
    </row>
    <row r="4" spans="1:29" ht="15">
      <c r="A4" s="360" t="s">
        <v>2465</v>
      </c>
      <c r="B4" s="361"/>
      <c r="C4" s="3516" t="s">
        <v>2466</v>
      </c>
      <c r="D4" s="3517"/>
      <c r="E4" s="3518" t="s">
        <v>2467</v>
      </c>
      <c r="F4" s="3519"/>
      <c r="G4" s="3516" t="s">
        <v>2468</v>
      </c>
      <c r="H4" s="3517"/>
      <c r="I4" s="3516" t="s">
        <v>2469</v>
      </c>
      <c r="J4" s="3517"/>
      <c r="K4" s="566" t="s">
        <v>2470</v>
      </c>
      <c r="L4" s="2937"/>
      <c r="M4" s="2938"/>
      <c r="N4" s="2938"/>
      <c r="O4" s="2938"/>
      <c r="P4" s="3520" t="s">
        <v>2471</v>
      </c>
      <c r="Q4" s="3521"/>
      <c r="R4" s="3503" t="s">
        <v>2467</v>
      </c>
      <c r="S4" s="3504"/>
      <c r="T4" s="3503" t="s">
        <v>2468</v>
      </c>
      <c r="U4" s="3504"/>
      <c r="V4" s="3528" t="s">
        <v>2469</v>
      </c>
      <c r="W4" s="3528"/>
      <c r="X4" s="1537"/>
      <c r="Y4" s="3503" t="s">
        <v>2471</v>
      </c>
      <c r="Z4" s="3504"/>
      <c r="AA4" s="3498" t="s">
        <v>2467</v>
      </c>
      <c r="AB4" s="3499" t="s">
        <v>2468</v>
      </c>
      <c r="AC4" s="3498" t="s">
        <v>2469</v>
      </c>
    </row>
    <row r="5" spans="1:29" ht="15">
      <c r="A5" s="363"/>
      <c r="B5" s="364"/>
      <c r="C5" s="3543" t="s">
        <v>2362</v>
      </c>
      <c r="D5" s="3544"/>
      <c r="E5" s="3557" t="s">
        <v>2363</v>
      </c>
      <c r="F5" s="3542"/>
      <c r="G5" s="3543" t="s">
        <v>2364</v>
      </c>
      <c r="H5" s="3544"/>
      <c r="I5" s="3543" t="s">
        <v>2365</v>
      </c>
      <c r="J5" s="3544"/>
      <c r="K5" s="566"/>
      <c r="L5" s="2937"/>
      <c r="M5" s="2938"/>
      <c r="N5" s="2938"/>
      <c r="O5" s="2938"/>
      <c r="P5" s="3522"/>
      <c r="Q5" s="3523"/>
      <c r="R5" s="3505"/>
      <c r="S5" s="3506"/>
      <c r="T5" s="3505"/>
      <c r="U5" s="3506"/>
      <c r="V5" s="3528"/>
      <c r="W5" s="3528"/>
      <c r="X5" s="1537"/>
      <c r="Y5" s="3505"/>
      <c r="Z5" s="3506"/>
      <c r="AA5" s="3499"/>
      <c r="AB5" s="3499"/>
      <c r="AC5" s="3499"/>
    </row>
    <row r="6" spans="1:29" ht="15.75" thickBot="1">
      <c r="A6" s="365"/>
      <c r="B6" s="366"/>
      <c r="C6" s="3511" t="s">
        <v>2617</v>
      </c>
      <c r="D6" s="3512"/>
      <c r="E6" s="3513" t="s">
        <v>2617</v>
      </c>
      <c r="F6" s="3514"/>
      <c r="G6" s="3511" t="s">
        <v>2617</v>
      </c>
      <c r="H6" s="3512"/>
      <c r="I6" s="3511" t="s">
        <v>2617</v>
      </c>
      <c r="J6" s="3512"/>
      <c r="K6" s="566" t="s">
        <v>2367</v>
      </c>
      <c r="L6" s="2937"/>
      <c r="M6" s="2938"/>
      <c r="N6" s="2938"/>
      <c r="O6" s="2938"/>
      <c r="P6" s="3524"/>
      <c r="Q6" s="3525"/>
      <c r="R6" s="3505"/>
      <c r="S6" s="3506"/>
      <c r="T6" s="3526"/>
      <c r="U6" s="3527"/>
      <c r="V6" s="3528"/>
      <c r="W6" s="3528"/>
      <c r="X6" s="1537"/>
      <c r="Y6" s="3526"/>
      <c r="Z6" s="3527"/>
      <c r="AA6" s="3500"/>
      <c r="AB6" s="3500"/>
      <c r="AC6" s="3500"/>
    </row>
    <row r="7" spans="1:29" s="112" customFormat="1" ht="15.75" thickBot="1">
      <c r="A7" s="367" t="s">
        <v>2368</v>
      </c>
      <c r="B7" s="368"/>
      <c r="C7" s="369">
        <f>'数据-取费表'!B2</f>
        <v>44495</v>
      </c>
      <c r="D7" s="370">
        <v>100</v>
      </c>
      <c r="E7" s="371"/>
      <c r="F7" s="372">
        <f>SUMIF(65:65,YEAR(E7)&amp;"-"&amp;INT((MONTH(E7)+2)/3),66:66)</f>
        <v>0</v>
      </c>
      <c r="G7" s="2157"/>
      <c r="H7" s="370">
        <f>SUMIF(65:65,YEAR(G7)&amp;"-"&amp;INT((MONTH(G7)+2)/3),66:66)</f>
        <v>0</v>
      </c>
      <c r="I7" s="2157"/>
      <c r="J7" s="370">
        <f>SUMIF(65:65,YEAR(I7)&amp;"-"&amp;INT((MONTH(I7)+2)/3),66:66)</f>
        <v>0</v>
      </c>
      <c r="K7" s="567"/>
      <c r="L7" s="2939"/>
      <c r="M7" s="2940"/>
      <c r="N7" s="2940"/>
      <c r="O7" s="2940"/>
      <c r="P7" s="3501" t="s">
        <v>2369</v>
      </c>
      <c r="Q7" s="3529"/>
      <c r="R7" s="709" t="s">
        <v>17</v>
      </c>
      <c r="S7" s="710">
        <f t="shared" ref="S7:S15" si="0">F7</f>
        <v>0</v>
      </c>
      <c r="T7" s="709" t="s">
        <v>17</v>
      </c>
      <c r="U7" s="710">
        <f t="shared" ref="U7:U15" si="1">H7</f>
        <v>0</v>
      </c>
      <c r="V7" s="709" t="s">
        <v>17</v>
      </c>
      <c r="W7" s="710">
        <f t="shared" ref="W7:W15" si="2">J7</f>
        <v>0</v>
      </c>
      <c r="X7" s="711"/>
      <c r="Y7" s="3501" t="s">
        <v>2369</v>
      </c>
      <c r="Z7" s="3502"/>
      <c r="AA7" s="712" t="e">
        <f>D7/F7</f>
        <v>#DIV/0!</v>
      </c>
      <c r="AB7" s="712" t="e">
        <f>D7/H7</f>
        <v>#DIV/0!</v>
      </c>
      <c r="AC7" s="712" t="e">
        <f>D7/J7</f>
        <v>#DIV/0!</v>
      </c>
    </row>
    <row r="8" spans="1:29" s="112" customFormat="1" ht="15.75" thickBot="1">
      <c r="A8" s="367" t="s">
        <v>2370</v>
      </c>
      <c r="B8" s="368"/>
      <c r="C8" s="373" t="s">
        <v>2371</v>
      </c>
      <c r="D8" s="370">
        <v>100</v>
      </c>
      <c r="E8" s="373"/>
      <c r="F8" s="372">
        <f>SUMIF(68:68,E8,69:69)-SUMIF(68:68,C8,69:69)+100</f>
        <v>0</v>
      </c>
      <c r="G8" s="373"/>
      <c r="H8" s="370">
        <f>SUMIF(68:68,G8,69:69)-SUMIF(68:68,C8,69:69)+100</f>
        <v>0</v>
      </c>
      <c r="I8" s="373"/>
      <c r="J8" s="370">
        <f>SUMIF(68:68,I8,69:69)-SUMIF(68:68,C8,69:69)+100</f>
        <v>0</v>
      </c>
      <c r="K8" s="567"/>
      <c r="L8" s="2939"/>
      <c r="M8" s="2940"/>
      <c r="N8" s="2940"/>
      <c r="O8" s="2940"/>
      <c r="P8" s="3501" t="s">
        <v>2372</v>
      </c>
      <c r="Q8" s="3502"/>
      <c r="R8" s="709" t="s">
        <v>17</v>
      </c>
      <c r="S8" s="710">
        <f t="shared" si="0"/>
        <v>0</v>
      </c>
      <c r="T8" s="709" t="s">
        <v>17</v>
      </c>
      <c r="U8" s="710">
        <f t="shared" si="1"/>
        <v>0</v>
      </c>
      <c r="V8" s="709" t="s">
        <v>17</v>
      </c>
      <c r="W8" s="710">
        <f t="shared" si="2"/>
        <v>0</v>
      </c>
      <c r="X8" s="711"/>
      <c r="Y8" s="3501" t="s">
        <v>2372</v>
      </c>
      <c r="Z8" s="3502"/>
      <c r="AA8" s="712" t="e">
        <f t="shared" ref="AA8:AA40" si="3">D8/F8</f>
        <v>#DIV/0!</v>
      </c>
      <c r="AB8" s="712" t="e">
        <f t="shared" ref="AB8:AB40" si="4">D8/H8</f>
        <v>#DIV/0!</v>
      </c>
      <c r="AC8" s="712" t="e">
        <f t="shared" ref="AC8:AC40" si="5">D8/J8</f>
        <v>#DIV/0!</v>
      </c>
    </row>
    <row r="9" spans="1:29" s="112" customFormat="1">
      <c r="A9" s="374" t="s">
        <v>2373</v>
      </c>
      <c r="B9" s="66" t="s">
        <v>2374</v>
      </c>
      <c r="C9" s="2160"/>
      <c r="D9" s="130">
        <v>100</v>
      </c>
      <c r="E9" s="2160"/>
      <c r="F9" s="130">
        <f>SUMIF(70:70,E9,71:71)-SUMIF(70:70,C9,71:71)+100</f>
        <v>100</v>
      </c>
      <c r="G9" s="2160"/>
      <c r="H9" s="130">
        <f>SUMIF(70:70,G9,71:71)-SUMIF(70:70,C9,71:71)+100</f>
        <v>100</v>
      </c>
      <c r="I9" s="2160"/>
      <c r="J9" s="130">
        <f>SUMIF(70:70,I9,71:71)-SUMIF(70:70,C9,71:71)+100</f>
        <v>100</v>
      </c>
      <c r="K9" s="567"/>
      <c r="L9" s="2939"/>
      <c r="M9" s="2940"/>
      <c r="N9" s="2940"/>
      <c r="O9" s="2994"/>
      <c r="P9" s="3515" t="s">
        <v>2375</v>
      </c>
      <c r="Q9" s="1525" t="str">
        <f t="shared" ref="Q9:Q15" si="6">B9</f>
        <v>用途</v>
      </c>
      <c r="R9" s="709" t="s">
        <v>17</v>
      </c>
      <c r="S9" s="710">
        <f t="shared" si="0"/>
        <v>100</v>
      </c>
      <c r="T9" s="709" t="s">
        <v>17</v>
      </c>
      <c r="U9" s="710">
        <f t="shared" si="1"/>
        <v>100</v>
      </c>
      <c r="V9" s="709" t="s">
        <v>17</v>
      </c>
      <c r="W9" s="710">
        <f t="shared" si="2"/>
        <v>100</v>
      </c>
      <c r="X9" s="711"/>
      <c r="Y9" s="3443" t="s">
        <v>2376</v>
      </c>
      <c r="Z9" s="54" t="str">
        <f t="shared" ref="Z9:Z15" si="7">Q9</f>
        <v>用途</v>
      </c>
      <c r="AA9" s="712">
        <f t="shared" si="3"/>
        <v>1</v>
      </c>
      <c r="AB9" s="712">
        <f t="shared" si="4"/>
        <v>1</v>
      </c>
      <c r="AC9" s="712">
        <f t="shared" si="5"/>
        <v>1</v>
      </c>
    </row>
    <row r="10" spans="1:29" s="385" customFormat="1" ht="27">
      <c r="A10" s="379"/>
      <c r="B10" s="380" t="s">
        <v>2377</v>
      </c>
      <c r="C10" s="390"/>
      <c r="D10" s="131">
        <v>100</v>
      </c>
      <c r="E10" s="390"/>
      <c r="F10" s="131">
        <f>ROUND(100/'数据-取费表'!G16,0)</f>
        <v>102</v>
      </c>
      <c r="G10" s="390"/>
      <c r="H10" s="131">
        <f>ROUND(100/'数据-取费表'!G16,0)</f>
        <v>102</v>
      </c>
      <c r="I10" s="390"/>
      <c r="J10" s="131">
        <f>ROUND(100/'数据-取费表'!G16,0)</f>
        <v>102</v>
      </c>
      <c r="K10" s="627"/>
      <c r="L10" s="2941"/>
      <c r="M10" s="2942"/>
      <c r="N10" s="2942"/>
      <c r="O10" s="2995"/>
      <c r="P10" s="3515"/>
      <c r="Q10" s="1525" t="str">
        <f t="shared" si="6"/>
        <v>土地使用年限（年）</v>
      </c>
      <c r="R10" s="709" t="s">
        <v>17</v>
      </c>
      <c r="S10" s="710">
        <f t="shared" si="0"/>
        <v>102</v>
      </c>
      <c r="T10" s="709" t="s">
        <v>17</v>
      </c>
      <c r="U10" s="710">
        <f t="shared" si="1"/>
        <v>102</v>
      </c>
      <c r="V10" s="709" t="s">
        <v>17</v>
      </c>
      <c r="W10" s="710">
        <f t="shared" si="2"/>
        <v>102</v>
      </c>
      <c r="X10" s="711"/>
      <c r="Y10" s="3443"/>
      <c r="Z10" s="54" t="str">
        <f t="shared" si="7"/>
        <v>土地使用年限（年）</v>
      </c>
      <c r="AA10" s="712">
        <f t="shared" si="3"/>
        <v>0.98039215686274506</v>
      </c>
      <c r="AB10" s="712">
        <f t="shared" si="4"/>
        <v>0.98039215686274506</v>
      </c>
      <c r="AC10" s="712">
        <f t="shared" si="5"/>
        <v>0.98039215686274506</v>
      </c>
    </row>
    <row r="11" spans="1:29" ht="15">
      <c r="A11" s="386"/>
      <c r="B11" s="380" t="s">
        <v>2378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3"/>
      <c r="M11" s="2938"/>
      <c r="N11" s="2938"/>
      <c r="O11" s="2996"/>
      <c r="P11" s="3515"/>
      <c r="Q11" s="1525" t="str">
        <f t="shared" si="6"/>
        <v>容积率</v>
      </c>
      <c r="R11" s="709" t="s">
        <v>17</v>
      </c>
      <c r="S11" s="710" t="e">
        <f t="shared" si="0"/>
        <v>#N/A</v>
      </c>
      <c r="T11" s="709" t="s">
        <v>17</v>
      </c>
      <c r="U11" s="710" t="e">
        <f t="shared" si="1"/>
        <v>#N/A</v>
      </c>
      <c r="V11" s="709" t="s">
        <v>17</v>
      </c>
      <c r="W11" s="710" t="e">
        <f t="shared" si="2"/>
        <v>#N/A</v>
      </c>
      <c r="X11" s="711"/>
      <c r="Y11" s="3443"/>
      <c r="Z11" s="54" t="str">
        <f t="shared" si="7"/>
        <v>容积率</v>
      </c>
      <c r="AA11" s="712" t="e">
        <f t="shared" si="3"/>
        <v>#N/A</v>
      </c>
      <c r="AB11" s="712" t="e">
        <f t="shared" si="4"/>
        <v>#N/A</v>
      </c>
      <c r="AC11" s="712" t="e">
        <f t="shared" si="5"/>
        <v>#N/A</v>
      </c>
    </row>
    <row r="12" spans="1:29" s="112" customFormat="1" ht="15">
      <c r="A12" s="389"/>
      <c r="B12" s="2076">
        <v>111</v>
      </c>
      <c r="C12" s="390"/>
      <c r="D12" s="391">
        <v>100</v>
      </c>
      <c r="E12" s="505"/>
      <c r="F12" s="131">
        <f>SUMIF(77:77,E12,78:78)-SUMIF(77:77,C12,78:78)+100</f>
        <v>100</v>
      </c>
      <c r="G12" s="629"/>
      <c r="H12" s="131">
        <f>SUMIF(77:77,G12,78:78)-SUMIF(77:77,C12,78:78)+100</f>
        <v>100</v>
      </c>
      <c r="I12" s="505"/>
      <c r="J12" s="131">
        <f>SUMIF(77:77,I12,78:78)-SUMIF(77:77,C12,78:78)+100</f>
        <v>100</v>
      </c>
      <c r="K12" s="627"/>
      <c r="L12" s="2939"/>
      <c r="M12" s="2940"/>
      <c r="N12" s="2940"/>
      <c r="O12" s="2994"/>
      <c r="P12" s="3515"/>
      <c r="Q12" s="1525">
        <f t="shared" si="6"/>
        <v>111</v>
      </c>
      <c r="R12" s="709" t="s">
        <v>17</v>
      </c>
      <c r="S12" s="710">
        <f t="shared" si="0"/>
        <v>100</v>
      </c>
      <c r="T12" s="709" t="s">
        <v>17</v>
      </c>
      <c r="U12" s="710">
        <f t="shared" si="1"/>
        <v>100</v>
      </c>
      <c r="V12" s="709" t="s">
        <v>17</v>
      </c>
      <c r="W12" s="710">
        <f t="shared" si="2"/>
        <v>100</v>
      </c>
      <c r="X12" s="711"/>
      <c r="Y12" s="3443"/>
      <c r="Z12" s="54">
        <f t="shared" si="7"/>
        <v>111</v>
      </c>
      <c r="AA12" s="712">
        <f>D12/F12</f>
        <v>1</v>
      </c>
      <c r="AB12" s="712">
        <f>D12/H12</f>
        <v>1</v>
      </c>
      <c r="AC12" s="712">
        <f>D12/J12</f>
        <v>1</v>
      </c>
    </row>
    <row r="13" spans="1:29" ht="15">
      <c r="A13" s="386"/>
      <c r="B13" s="2076">
        <v>111</v>
      </c>
      <c r="C13" s="392"/>
      <c r="D13" s="393">
        <v>100</v>
      </c>
      <c r="E13" s="505"/>
      <c r="F13" s="131">
        <f>SUMIF(79:79,E13,80:80)-SUMIF(79:79,C13,80:80)+100</f>
        <v>100</v>
      </c>
      <c r="G13" s="629"/>
      <c r="H13" s="393">
        <f>SUMIF(79:79,G13,80:80)-SUMIF(79:79,C13,80:80)+100</f>
        <v>100</v>
      </c>
      <c r="I13" s="505"/>
      <c r="J13" s="393">
        <f>SUMIF(79:79,I13,80:80)-SUMIF(79:79,C13,80:80)+100</f>
        <v>100</v>
      </c>
      <c r="K13" s="627"/>
      <c r="L13" s="2944"/>
      <c r="M13" s="2938"/>
      <c r="N13" s="2938"/>
      <c r="O13" s="2996"/>
      <c r="P13" s="3515"/>
      <c r="Q13" s="1525">
        <f t="shared" si="6"/>
        <v>111</v>
      </c>
      <c r="R13" s="709" t="s">
        <v>17</v>
      </c>
      <c r="S13" s="710">
        <f t="shared" si="0"/>
        <v>100</v>
      </c>
      <c r="T13" s="709" t="s">
        <v>17</v>
      </c>
      <c r="U13" s="710">
        <f t="shared" si="1"/>
        <v>100</v>
      </c>
      <c r="V13" s="709" t="s">
        <v>17</v>
      </c>
      <c r="W13" s="710">
        <f t="shared" si="2"/>
        <v>100</v>
      </c>
      <c r="X13" s="711"/>
      <c r="Y13" s="3443"/>
      <c r="Z13" s="54">
        <f t="shared" si="7"/>
        <v>111</v>
      </c>
      <c r="AA13" s="712">
        <f t="shared" si="3"/>
        <v>1</v>
      </c>
      <c r="AB13" s="712">
        <f t="shared" si="4"/>
        <v>1</v>
      </c>
      <c r="AC13" s="712">
        <f t="shared" si="5"/>
        <v>1</v>
      </c>
    </row>
    <row r="14" spans="1:29" ht="15.75" thickBot="1">
      <c r="A14" s="394"/>
      <c r="B14" s="2078">
        <v>111</v>
      </c>
      <c r="C14" s="395"/>
      <c r="D14" s="396">
        <v>100</v>
      </c>
      <c r="E14" s="505"/>
      <c r="F14" s="396">
        <f>SUMIF(81:81,E14,82:82)-SUMIF(81:81,C14,82:82)+100</f>
        <v>100</v>
      </c>
      <c r="G14" s="629"/>
      <c r="H14" s="396">
        <f>SUMIF(81:81,G14,82:82)-SUMIF(81:81,C14,82:82)+100</f>
        <v>100</v>
      </c>
      <c r="I14" s="505"/>
      <c r="J14" s="396">
        <f>SUMIF(81:81,I14,82:82)-SUMIF(81:81,C14,82:82)+100</f>
        <v>100</v>
      </c>
      <c r="K14" s="627"/>
      <c r="L14" s="2944"/>
      <c r="M14" s="2938"/>
      <c r="N14" s="2938"/>
      <c r="O14" s="2996"/>
      <c r="P14" s="3515"/>
      <c r="Q14" s="1525">
        <f t="shared" si="6"/>
        <v>111</v>
      </c>
      <c r="R14" s="709" t="s">
        <v>17</v>
      </c>
      <c r="S14" s="710">
        <f t="shared" si="0"/>
        <v>100</v>
      </c>
      <c r="T14" s="709" t="s">
        <v>17</v>
      </c>
      <c r="U14" s="710">
        <f t="shared" si="1"/>
        <v>100</v>
      </c>
      <c r="V14" s="709" t="s">
        <v>17</v>
      </c>
      <c r="W14" s="710">
        <f t="shared" si="2"/>
        <v>100</v>
      </c>
      <c r="X14" s="711"/>
      <c r="Y14" s="3443"/>
      <c r="Z14" s="54">
        <f t="shared" si="7"/>
        <v>111</v>
      </c>
      <c r="AA14" s="712">
        <f t="shared" si="3"/>
        <v>1</v>
      </c>
      <c r="AB14" s="712">
        <f t="shared" si="4"/>
        <v>1</v>
      </c>
      <c r="AC14" s="712">
        <f t="shared" si="5"/>
        <v>1</v>
      </c>
    </row>
    <row r="15" spans="1:29" ht="57">
      <c r="A15" s="398" t="s">
        <v>2379</v>
      </c>
      <c r="B15" s="584" t="s">
        <v>2618</v>
      </c>
      <c r="C15" s="215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4"/>
      <c r="M15" s="2938"/>
      <c r="N15" s="2938"/>
      <c r="O15" s="2996"/>
      <c r="P15" s="3530" t="s">
        <v>2380</v>
      </c>
      <c r="Q15" s="1534" t="str">
        <f t="shared" si="6"/>
        <v>产业集聚程度</v>
      </c>
      <c r="R15" s="713" t="s">
        <v>17</v>
      </c>
      <c r="S15" s="714">
        <f t="shared" si="0"/>
        <v>100</v>
      </c>
      <c r="T15" s="713" t="s">
        <v>17</v>
      </c>
      <c r="U15" s="714">
        <f t="shared" si="1"/>
        <v>100</v>
      </c>
      <c r="V15" s="713" t="s">
        <v>17</v>
      </c>
      <c r="W15" s="714">
        <f t="shared" si="2"/>
        <v>100</v>
      </c>
      <c r="X15" s="1537"/>
      <c r="Y15" s="3530" t="s">
        <v>2380</v>
      </c>
      <c r="Z15" s="1538" t="str">
        <f t="shared" si="7"/>
        <v>产业集聚程度</v>
      </c>
      <c r="AA15" s="1535">
        <f t="shared" si="3"/>
        <v>1</v>
      </c>
      <c r="AB15" s="1535">
        <f t="shared" si="4"/>
        <v>1</v>
      </c>
      <c r="AC15" s="1535">
        <f t="shared" si="5"/>
        <v>1</v>
      </c>
    </row>
    <row r="16" spans="1:29" ht="15">
      <c r="A16" s="386"/>
      <c r="B16" s="585"/>
      <c r="C16" s="405"/>
      <c r="D16" s="406"/>
      <c r="E16" s="2087"/>
      <c r="F16" s="406"/>
      <c r="G16" s="2087"/>
      <c r="H16" s="408"/>
      <c r="I16" s="2087"/>
      <c r="J16" s="406"/>
      <c r="K16" s="627"/>
      <c r="L16" s="2944"/>
      <c r="M16" s="2938"/>
      <c r="N16" s="2938"/>
      <c r="O16" s="2996"/>
      <c r="P16" s="3531"/>
      <c r="Q16" s="1534"/>
      <c r="R16" s="713"/>
      <c r="S16" s="714"/>
      <c r="T16" s="713"/>
      <c r="U16" s="714"/>
      <c r="V16" s="713"/>
      <c r="W16" s="714"/>
      <c r="X16" s="1537"/>
      <c r="Y16" s="3531"/>
      <c r="Z16" s="1538"/>
      <c r="AA16" s="1535">
        <v>1</v>
      </c>
      <c r="AB16" s="1535">
        <v>1</v>
      </c>
      <c r="AC16" s="1535">
        <v>1</v>
      </c>
    </row>
    <row r="17" spans="1:29" ht="85.5">
      <c r="A17" s="386"/>
      <c r="B17" s="586" t="s">
        <v>2529</v>
      </c>
      <c r="C17" s="208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4"/>
      <c r="M17" s="2938"/>
      <c r="N17" s="2938"/>
      <c r="O17" s="2996"/>
      <c r="P17" s="3531"/>
      <c r="Q17" s="1534" t="str">
        <f>B17</f>
        <v>交通便捷度</v>
      </c>
      <c r="R17" s="713" t="s">
        <v>17</v>
      </c>
      <c r="S17" s="714">
        <f>F17</f>
        <v>100</v>
      </c>
      <c r="T17" s="713" t="s">
        <v>17</v>
      </c>
      <c r="U17" s="714">
        <f>H17</f>
        <v>100</v>
      </c>
      <c r="V17" s="713" t="s">
        <v>17</v>
      </c>
      <c r="W17" s="714">
        <f>J17</f>
        <v>100</v>
      </c>
      <c r="X17" s="1537"/>
      <c r="Y17" s="3531"/>
      <c r="Z17" s="1538" t="str">
        <f>Q17</f>
        <v>交通便捷度</v>
      </c>
      <c r="AA17" s="1535">
        <f t="shared" si="3"/>
        <v>1</v>
      </c>
      <c r="AB17" s="1535">
        <f t="shared" si="4"/>
        <v>1</v>
      </c>
      <c r="AC17" s="1535">
        <f t="shared" si="5"/>
        <v>1</v>
      </c>
    </row>
    <row r="18" spans="1:29" ht="15">
      <c r="A18" s="386"/>
      <c r="B18" s="587"/>
      <c r="C18" s="405"/>
      <c r="D18" s="406"/>
      <c r="E18" s="2081"/>
      <c r="F18" s="406"/>
      <c r="G18" s="2081"/>
      <c r="H18" s="406"/>
      <c r="I18" s="2080"/>
      <c r="J18" s="406"/>
      <c r="K18" s="627"/>
      <c r="L18" s="2944"/>
      <c r="M18" s="2938"/>
      <c r="N18" s="2938"/>
      <c r="O18" s="2996"/>
      <c r="P18" s="3531"/>
      <c r="Q18" s="1534"/>
      <c r="R18" s="713"/>
      <c r="S18" s="714"/>
      <c r="T18" s="713"/>
      <c r="U18" s="714"/>
      <c r="V18" s="713"/>
      <c r="W18" s="714"/>
      <c r="X18" s="1537"/>
      <c r="Y18" s="3531"/>
      <c r="Z18" s="1538"/>
      <c r="AA18" s="1535">
        <v>1</v>
      </c>
      <c r="AB18" s="1535">
        <v>1</v>
      </c>
      <c r="AC18" s="1535">
        <v>1</v>
      </c>
    </row>
    <row r="19" spans="1:29" ht="15">
      <c r="A19" s="386"/>
      <c r="B19" s="586" t="s">
        <v>2568</v>
      </c>
      <c r="C19" s="208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4"/>
      <c r="M19" s="2938"/>
      <c r="N19" s="2938"/>
      <c r="O19" s="2996"/>
      <c r="P19" s="3531"/>
      <c r="Q19" s="1534" t="str">
        <f t="shared" ref="Q19:Q33" si="8">B19</f>
        <v>区域土地利用方向</v>
      </c>
      <c r="R19" s="713" t="s">
        <v>17</v>
      </c>
      <c r="S19" s="714">
        <f>F19</f>
        <v>100</v>
      </c>
      <c r="T19" s="713" t="s">
        <v>17</v>
      </c>
      <c r="U19" s="714">
        <f>H19</f>
        <v>100</v>
      </c>
      <c r="V19" s="713" t="s">
        <v>17</v>
      </c>
      <c r="W19" s="714">
        <f>J19</f>
        <v>100</v>
      </c>
      <c r="X19" s="1537"/>
      <c r="Y19" s="3531"/>
      <c r="Z19" s="1538" t="str">
        <f>Q19</f>
        <v>区域土地利用方向</v>
      </c>
      <c r="AA19" s="1535">
        <f t="shared" si="3"/>
        <v>1</v>
      </c>
      <c r="AB19" s="1535">
        <f t="shared" si="4"/>
        <v>1</v>
      </c>
      <c r="AC19" s="1535">
        <f t="shared" si="5"/>
        <v>1</v>
      </c>
    </row>
    <row r="20" spans="1:29" ht="15">
      <c r="A20" s="363"/>
      <c r="B20" s="587"/>
      <c r="C20" s="405"/>
      <c r="D20" s="406"/>
      <c r="E20" s="2081"/>
      <c r="F20" s="406"/>
      <c r="G20" s="2081"/>
      <c r="H20" s="406"/>
      <c r="I20" s="2081"/>
      <c r="J20" s="406"/>
      <c r="K20" s="750"/>
      <c r="L20" s="2944"/>
      <c r="M20" s="2938"/>
      <c r="N20" s="2938"/>
      <c r="O20" s="2996"/>
      <c r="P20" s="3531"/>
      <c r="Q20" s="1534"/>
      <c r="R20" s="713"/>
      <c r="S20" s="714"/>
      <c r="T20" s="713"/>
      <c r="U20" s="714"/>
      <c r="V20" s="713"/>
      <c r="W20" s="714"/>
      <c r="X20" s="1537"/>
      <c r="Y20" s="3531"/>
      <c r="Z20" s="1538"/>
      <c r="AA20" s="1535"/>
      <c r="AB20" s="1535"/>
      <c r="AC20" s="1535"/>
    </row>
    <row r="21" spans="1:29" ht="71.25">
      <c r="A21" s="363"/>
      <c r="B21" s="586" t="s">
        <v>2619</v>
      </c>
      <c r="C21" s="208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4"/>
      <c r="M21" s="2938"/>
      <c r="N21" s="2938"/>
      <c r="O21" s="2996"/>
      <c r="P21" s="3531"/>
      <c r="Q21" s="1534" t="str">
        <f t="shared" si="8"/>
        <v>环境状况</v>
      </c>
      <c r="R21" s="713" t="s">
        <v>17</v>
      </c>
      <c r="S21" s="714">
        <f>F21</f>
        <v>100</v>
      </c>
      <c r="T21" s="713" t="s">
        <v>17</v>
      </c>
      <c r="U21" s="714">
        <f>H21</f>
        <v>100</v>
      </c>
      <c r="V21" s="713" t="s">
        <v>17</v>
      </c>
      <c r="W21" s="714">
        <f>J21</f>
        <v>100</v>
      </c>
      <c r="X21" s="1537"/>
      <c r="Y21" s="3531"/>
      <c r="Z21" s="1538" t="str">
        <f>Q21</f>
        <v>环境状况</v>
      </c>
      <c r="AA21" s="1535">
        <f t="shared" si="3"/>
        <v>1</v>
      </c>
      <c r="AB21" s="1535">
        <f t="shared" si="4"/>
        <v>1</v>
      </c>
      <c r="AC21" s="1535">
        <f t="shared" si="5"/>
        <v>1</v>
      </c>
    </row>
    <row r="22" spans="1:29" ht="15">
      <c r="A22" s="363"/>
      <c r="B22" s="587"/>
      <c r="C22" s="405"/>
      <c r="D22" s="406"/>
      <c r="E22" s="2087"/>
      <c r="F22" s="406"/>
      <c r="G22" s="2087"/>
      <c r="H22" s="406"/>
      <c r="I22" s="405"/>
      <c r="J22" s="406"/>
      <c r="K22" s="627"/>
      <c r="L22" s="2944"/>
      <c r="M22" s="2938"/>
      <c r="N22" s="2938"/>
      <c r="O22" s="2996"/>
      <c r="P22" s="3531"/>
      <c r="Q22" s="1534"/>
      <c r="R22" s="713"/>
      <c r="S22" s="714"/>
      <c r="T22" s="713"/>
      <c r="U22" s="714"/>
      <c r="V22" s="713"/>
      <c r="W22" s="714"/>
      <c r="X22" s="1537"/>
      <c r="Y22" s="3531"/>
      <c r="Z22" s="1538"/>
      <c r="AA22" s="1535">
        <v>1</v>
      </c>
      <c r="AB22" s="1535">
        <v>1</v>
      </c>
      <c r="AC22" s="1535">
        <v>1</v>
      </c>
    </row>
    <row r="23" spans="1:29" s="112" customFormat="1" ht="42.75">
      <c r="A23" s="604"/>
      <c r="B23" s="588" t="s">
        <v>2474</v>
      </c>
      <c r="C23" s="208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9"/>
      <c r="M23" s="2940"/>
      <c r="N23" s="2940"/>
      <c r="O23" s="2994"/>
      <c r="P23" s="3531"/>
      <c r="Q23" s="1525" t="str">
        <f t="shared" si="8"/>
        <v>公共配套设施</v>
      </c>
      <c r="R23" s="709" t="s">
        <v>17</v>
      </c>
      <c r="S23" s="710">
        <f>F23</f>
        <v>100</v>
      </c>
      <c r="T23" s="709" t="s">
        <v>17</v>
      </c>
      <c r="U23" s="710">
        <f>H23</f>
        <v>100</v>
      </c>
      <c r="V23" s="709" t="s">
        <v>17</v>
      </c>
      <c r="W23" s="710">
        <f>J23</f>
        <v>100</v>
      </c>
      <c r="X23" s="711"/>
      <c r="Y23" s="3531"/>
      <c r="Z23" s="54" t="str">
        <f>Q23</f>
        <v>公共配套设施</v>
      </c>
      <c r="AA23" s="1535">
        <f>D23/F23</f>
        <v>1</v>
      </c>
      <c r="AB23" s="1535">
        <f>D23/H23</f>
        <v>1</v>
      </c>
      <c r="AC23" s="1535">
        <f>D23/J23</f>
        <v>1</v>
      </c>
    </row>
    <row r="24" spans="1:29" s="112" customFormat="1" ht="15">
      <c r="A24" s="604"/>
      <c r="B24" s="587"/>
      <c r="C24" s="2161"/>
      <c r="D24" s="406"/>
      <c r="E24" s="2087"/>
      <c r="F24" s="406"/>
      <c r="G24" s="2087"/>
      <c r="H24" s="406"/>
      <c r="I24" s="405"/>
      <c r="J24" s="406"/>
      <c r="K24" s="627"/>
      <c r="L24" s="2939"/>
      <c r="M24" s="2940"/>
      <c r="N24" s="2940"/>
      <c r="O24" s="2994"/>
      <c r="P24" s="3531"/>
      <c r="Q24" s="1525"/>
      <c r="R24" s="709"/>
      <c r="S24" s="710"/>
      <c r="T24" s="709"/>
      <c r="U24" s="710"/>
      <c r="V24" s="709"/>
      <c r="W24" s="710"/>
      <c r="X24" s="711"/>
      <c r="Y24" s="3531"/>
      <c r="Z24" s="54"/>
      <c r="AA24" s="712">
        <v>1</v>
      </c>
      <c r="AB24" s="712">
        <v>1</v>
      </c>
      <c r="AC24" s="712">
        <v>1</v>
      </c>
    </row>
    <row r="25" spans="1:29" s="112" customFormat="1" ht="28.5">
      <c r="A25" s="604"/>
      <c r="B25" s="588" t="s">
        <v>2475</v>
      </c>
      <c r="C25" s="208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9"/>
      <c r="M25" s="2940"/>
      <c r="N25" s="2940"/>
      <c r="O25" s="2994"/>
      <c r="P25" s="3531"/>
      <c r="Q25" s="1525" t="str">
        <f t="shared" ref="Q25" si="9">B25</f>
        <v>基础设施水平</v>
      </c>
      <c r="R25" s="709" t="s">
        <v>17</v>
      </c>
      <c r="S25" s="710">
        <f>F25</f>
        <v>100</v>
      </c>
      <c r="T25" s="709" t="s">
        <v>17</v>
      </c>
      <c r="U25" s="710">
        <f>H25</f>
        <v>100</v>
      </c>
      <c r="V25" s="709" t="s">
        <v>17</v>
      </c>
      <c r="W25" s="710">
        <f>J25</f>
        <v>100</v>
      </c>
      <c r="X25" s="711"/>
      <c r="Y25" s="3531"/>
      <c r="Z25" s="54" t="str">
        <f>Q25</f>
        <v>基础设施水平</v>
      </c>
      <c r="AA25" s="1535">
        <f>D25/F25</f>
        <v>1</v>
      </c>
      <c r="AB25" s="1535">
        <f>D25/H25</f>
        <v>1</v>
      </c>
      <c r="AC25" s="1535">
        <f>D25/J25</f>
        <v>1</v>
      </c>
    </row>
    <row r="26" spans="1:29" s="112" customFormat="1" ht="15">
      <c r="A26" s="604"/>
      <c r="B26" s="587"/>
      <c r="C26" s="2161"/>
      <c r="D26" s="406"/>
      <c r="E26" s="2162"/>
      <c r="F26" s="406"/>
      <c r="G26" s="2162"/>
      <c r="H26" s="406"/>
      <c r="I26" s="2162"/>
      <c r="J26" s="406"/>
      <c r="K26" s="627"/>
      <c r="L26" s="2939"/>
      <c r="M26" s="2940"/>
      <c r="N26" s="2940"/>
      <c r="O26" s="2994"/>
      <c r="P26" s="3531"/>
      <c r="Q26" s="1525"/>
      <c r="R26" s="709"/>
      <c r="S26" s="710"/>
      <c r="T26" s="709"/>
      <c r="U26" s="710"/>
      <c r="V26" s="709"/>
      <c r="W26" s="710"/>
      <c r="X26" s="711"/>
      <c r="Y26" s="3531"/>
      <c r="Z26" s="54"/>
      <c r="AA26" s="712">
        <v>1</v>
      </c>
      <c r="AB26" s="712">
        <v>1</v>
      </c>
      <c r="AC26" s="712">
        <v>1</v>
      </c>
    </row>
    <row r="27" spans="1:29" ht="15">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44"/>
      <c r="M27" s="2938"/>
      <c r="N27" s="2938"/>
      <c r="O27" s="2996"/>
      <c r="P27" s="3531"/>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531"/>
      <c r="Z27" s="1538" t="str">
        <f t="shared" ref="Z27:Z40" si="13">Q27</f>
        <v>临街状况</v>
      </c>
      <c r="AA27" s="1535">
        <f t="shared" si="3"/>
        <v>1</v>
      </c>
      <c r="AB27" s="1535">
        <f t="shared" si="4"/>
        <v>1</v>
      </c>
      <c r="AC27" s="1535">
        <f t="shared" si="5"/>
        <v>1</v>
      </c>
    </row>
    <row r="28" spans="1:29" ht="27">
      <c r="A28" s="386"/>
      <c r="B28" s="588" t="s">
        <v>2511</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4"/>
      <c r="M28" s="2938"/>
      <c r="N28" s="2938"/>
      <c r="O28" s="2996"/>
      <c r="P28" s="3531"/>
      <c r="Q28" s="1534" t="str">
        <f t="shared" si="8"/>
        <v>毗邻道路的类型与等级</v>
      </c>
      <c r="R28" s="713" t="s">
        <v>17</v>
      </c>
      <c r="S28" s="714">
        <f t="shared" si="10"/>
        <v>100</v>
      </c>
      <c r="T28" s="713" t="s">
        <v>17</v>
      </c>
      <c r="U28" s="714">
        <f t="shared" si="11"/>
        <v>100</v>
      </c>
      <c r="V28" s="713" t="s">
        <v>17</v>
      </c>
      <c r="W28" s="714">
        <f t="shared" si="12"/>
        <v>100</v>
      </c>
      <c r="X28" s="1537"/>
      <c r="Y28" s="3531"/>
      <c r="Z28" s="1538" t="str">
        <f t="shared" si="13"/>
        <v>毗邻道路的类型与等级</v>
      </c>
      <c r="AA28" s="1535">
        <f t="shared" si="3"/>
        <v>1</v>
      </c>
      <c r="AB28" s="1535">
        <f t="shared" si="4"/>
        <v>1</v>
      </c>
      <c r="AC28" s="1535">
        <f t="shared" si="5"/>
        <v>1</v>
      </c>
    </row>
    <row r="29" spans="1:29" ht="15">
      <c r="A29" s="386"/>
      <c r="B29" s="587"/>
      <c r="C29" s="405"/>
      <c r="D29" s="406"/>
      <c r="E29" s="2087"/>
      <c r="F29" s="406"/>
      <c r="G29" s="2087"/>
      <c r="H29" s="406"/>
      <c r="I29" s="2087"/>
      <c r="J29" s="406"/>
      <c r="K29" s="569"/>
      <c r="L29" s="2944"/>
      <c r="M29" s="2938"/>
      <c r="N29" s="2938"/>
      <c r="O29" s="2996"/>
      <c r="P29" s="3531"/>
      <c r="Q29" s="1534"/>
      <c r="R29" s="713"/>
      <c r="S29" s="714"/>
      <c r="T29" s="713"/>
      <c r="U29" s="714"/>
      <c r="V29" s="713"/>
      <c r="W29" s="714"/>
      <c r="X29" s="1537"/>
      <c r="Y29" s="3531"/>
      <c r="Z29" s="1538"/>
      <c r="AA29" s="1535">
        <v>1</v>
      </c>
      <c r="AB29" s="1535">
        <v>1</v>
      </c>
      <c r="AC29" s="1535">
        <v>1</v>
      </c>
    </row>
    <row r="30" spans="1:29" ht="15">
      <c r="A30" s="386"/>
      <c r="B30" s="609" t="s">
        <v>2570</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4"/>
      <c r="M30" s="2938"/>
      <c r="N30" s="2938"/>
      <c r="O30" s="2996"/>
      <c r="P30" s="3531"/>
      <c r="Q30" s="1534" t="str">
        <f t="shared" si="8"/>
        <v>土地级别</v>
      </c>
      <c r="R30" s="713" t="s">
        <v>17</v>
      </c>
      <c r="S30" s="714">
        <f t="shared" si="10"/>
        <v>100</v>
      </c>
      <c r="T30" s="713" t="s">
        <v>17</v>
      </c>
      <c r="U30" s="714">
        <f t="shared" si="11"/>
        <v>100</v>
      </c>
      <c r="V30" s="713" t="s">
        <v>17</v>
      </c>
      <c r="W30" s="714">
        <f t="shared" si="12"/>
        <v>100</v>
      </c>
      <c r="X30" s="1537"/>
      <c r="Y30" s="3531"/>
      <c r="Z30" s="1538" t="str">
        <f t="shared" si="13"/>
        <v>土地级别</v>
      </c>
      <c r="AA30" s="1535">
        <f t="shared" si="3"/>
        <v>1</v>
      </c>
      <c r="AB30" s="1535">
        <f t="shared" si="4"/>
        <v>1</v>
      </c>
      <c r="AC30" s="1535">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4"/>
      <c r="M31" s="2938"/>
      <c r="N31" s="2938"/>
      <c r="O31" s="2996"/>
      <c r="P31" s="3531"/>
      <c r="Q31" s="1534">
        <f t="shared" si="8"/>
        <v>111</v>
      </c>
      <c r="R31" s="713" t="s">
        <v>17</v>
      </c>
      <c r="S31" s="714">
        <f t="shared" si="10"/>
        <v>100</v>
      </c>
      <c r="T31" s="713" t="s">
        <v>17</v>
      </c>
      <c r="U31" s="714">
        <f t="shared" si="11"/>
        <v>100</v>
      </c>
      <c r="V31" s="713" t="s">
        <v>17</v>
      </c>
      <c r="W31" s="714">
        <f t="shared" si="12"/>
        <v>100</v>
      </c>
      <c r="X31" s="1537"/>
      <c r="Y31" s="3531"/>
      <c r="Z31" s="1538">
        <f t="shared" si="13"/>
        <v>111</v>
      </c>
      <c r="AA31" s="1535">
        <f t="shared" si="3"/>
        <v>1</v>
      </c>
      <c r="AB31" s="1535">
        <f t="shared" si="4"/>
        <v>1</v>
      </c>
      <c r="AC31" s="1535">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4"/>
      <c r="M32" s="2938"/>
      <c r="N32" s="2938"/>
      <c r="O32" s="2996"/>
      <c r="P32" s="3532" t="s">
        <v>2385</v>
      </c>
      <c r="Q32" s="1534">
        <f t="shared" si="8"/>
        <v>111</v>
      </c>
      <c r="R32" s="713" t="s">
        <v>17</v>
      </c>
      <c r="S32" s="714">
        <f t="shared" si="10"/>
        <v>100</v>
      </c>
      <c r="T32" s="713" t="s">
        <v>17</v>
      </c>
      <c r="U32" s="714">
        <f t="shared" si="11"/>
        <v>100</v>
      </c>
      <c r="V32" s="713" t="s">
        <v>17</v>
      </c>
      <c r="W32" s="714">
        <f t="shared" si="12"/>
        <v>100</v>
      </c>
      <c r="X32" s="1537"/>
      <c r="Y32" s="3533" t="s">
        <v>2385</v>
      </c>
      <c r="Z32" s="1538">
        <f t="shared" si="13"/>
        <v>111</v>
      </c>
      <c r="AA32" s="1535">
        <f t="shared" si="3"/>
        <v>1</v>
      </c>
      <c r="AB32" s="1535">
        <f t="shared" si="4"/>
        <v>1</v>
      </c>
      <c r="AC32" s="1535">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3"/>
      <c r="M33" s="2945"/>
      <c r="N33" s="2945"/>
      <c r="O33" s="2997"/>
      <c r="P33" s="3533"/>
      <c r="Q33" s="1534">
        <f t="shared" si="8"/>
        <v>111</v>
      </c>
      <c r="R33" s="716" t="s">
        <v>17</v>
      </c>
      <c r="S33" s="717">
        <f t="shared" si="10"/>
        <v>100</v>
      </c>
      <c r="T33" s="716" t="s">
        <v>17</v>
      </c>
      <c r="U33" s="717">
        <f t="shared" si="11"/>
        <v>100</v>
      </c>
      <c r="V33" s="716" t="s">
        <v>17</v>
      </c>
      <c r="W33" s="717">
        <f t="shared" si="12"/>
        <v>100</v>
      </c>
      <c r="X33" s="718"/>
      <c r="Y33" s="3533"/>
      <c r="Z33" s="719">
        <f t="shared" si="13"/>
        <v>111</v>
      </c>
      <c r="AA33" s="1535">
        <f t="shared" si="3"/>
        <v>1</v>
      </c>
      <c r="AB33" s="1535">
        <f t="shared" si="4"/>
        <v>1</v>
      </c>
      <c r="AC33" s="1535">
        <f t="shared" si="5"/>
        <v>1</v>
      </c>
    </row>
    <row r="34" spans="1:31" ht="15">
      <c r="A34" s="398" t="s">
        <v>2383</v>
      </c>
      <c r="B34" s="414" t="s">
        <v>2571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4"/>
      <c r="M34" s="2938"/>
      <c r="N34" s="2938"/>
      <c r="O34" s="2996"/>
      <c r="P34" s="3533"/>
      <c r="Q34" s="1534" t="str">
        <f>B34</f>
        <v>宗地面积</v>
      </c>
      <c r="R34" s="713" t="s">
        <v>17</v>
      </c>
      <c r="S34" s="714" t="e">
        <f t="shared" si="10"/>
        <v>#N/A</v>
      </c>
      <c r="T34" s="713" t="s">
        <v>17</v>
      </c>
      <c r="U34" s="714" t="e">
        <f t="shared" si="11"/>
        <v>#N/A</v>
      </c>
      <c r="V34" s="713" t="s">
        <v>17</v>
      </c>
      <c r="W34" s="714" t="e">
        <f t="shared" si="12"/>
        <v>#N/A</v>
      </c>
      <c r="X34" s="1537"/>
      <c r="Y34" s="3533"/>
      <c r="Z34" s="1538" t="str">
        <f t="shared" si="13"/>
        <v>宗地面积</v>
      </c>
      <c r="AA34" s="1535" t="e">
        <f t="shared" si="3"/>
        <v>#N/A</v>
      </c>
      <c r="AB34" s="1535" t="e">
        <f t="shared" si="4"/>
        <v>#N/A</v>
      </c>
      <c r="AC34" s="1535" t="e">
        <f t="shared" si="5"/>
        <v>#N/A</v>
      </c>
    </row>
    <row r="35" spans="1:31" ht="15">
      <c r="A35" s="430"/>
      <c r="B35" s="380" t="s">
        <v>2572</v>
      </c>
      <c r="C35" s="2089"/>
      <c r="D35" s="393">
        <v>100</v>
      </c>
      <c r="E35" s="2089"/>
      <c r="F35" s="393">
        <f>SUMIF(110:110,E35,111:111)-SUMIF(110:110,C35,111:111)+100</f>
        <v>100</v>
      </c>
      <c r="G35" s="2089"/>
      <c r="H35" s="393">
        <f>SUMIF(110:110,G35,111:111)-SUMIF(110:110,C35,111:111)+100</f>
        <v>100</v>
      </c>
      <c r="I35" s="2089"/>
      <c r="J35" s="393">
        <f>SUMIF(110:110,I35,111:111)-SUMIF(110:110,C35,111:111)+100</f>
        <v>100</v>
      </c>
      <c r="K35" s="568"/>
      <c r="L35" s="2944"/>
      <c r="M35" s="2938"/>
      <c r="N35" s="2938"/>
      <c r="O35" s="2996"/>
      <c r="P35" s="3533"/>
      <c r="Q35" s="1534" t="str">
        <f t="shared" ref="Q35:Q40" si="14">B35</f>
        <v>宗地形状</v>
      </c>
      <c r="R35" s="713" t="s">
        <v>17</v>
      </c>
      <c r="S35" s="714">
        <f t="shared" si="10"/>
        <v>100</v>
      </c>
      <c r="T35" s="713" t="s">
        <v>17</v>
      </c>
      <c r="U35" s="714">
        <f t="shared" si="11"/>
        <v>100</v>
      </c>
      <c r="V35" s="713" t="s">
        <v>17</v>
      </c>
      <c r="W35" s="714">
        <f t="shared" si="12"/>
        <v>100</v>
      </c>
      <c r="X35" s="1537"/>
      <c r="Y35" s="3533"/>
      <c r="Z35" s="1538" t="str">
        <f t="shared" si="13"/>
        <v>宗地形状</v>
      </c>
      <c r="AA35" s="1535">
        <f t="shared" si="3"/>
        <v>1</v>
      </c>
      <c r="AB35" s="1535">
        <f t="shared" si="4"/>
        <v>1</v>
      </c>
      <c r="AC35" s="1535">
        <f t="shared" si="5"/>
        <v>1</v>
      </c>
    </row>
    <row r="36" spans="1:31" s="112" customFormat="1" ht="15">
      <c r="A36" s="431"/>
      <c r="B36" s="380" t="s">
        <v>2574</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39"/>
      <c r="M36" s="2940"/>
      <c r="N36" s="2940"/>
      <c r="O36" s="2994"/>
      <c r="P36" s="3533"/>
      <c r="Q36" s="1534" t="str">
        <f t="shared" si="14"/>
        <v>宗地开发程度</v>
      </c>
      <c r="R36" s="709" t="s">
        <v>17</v>
      </c>
      <c r="S36" s="710">
        <f t="shared" si="10"/>
        <v>100</v>
      </c>
      <c r="T36" s="709" t="s">
        <v>17</v>
      </c>
      <c r="U36" s="710">
        <f t="shared" si="11"/>
        <v>100</v>
      </c>
      <c r="V36" s="709" t="s">
        <v>17</v>
      </c>
      <c r="W36" s="710">
        <f t="shared" si="12"/>
        <v>100</v>
      </c>
      <c r="X36" s="711"/>
      <c r="Y36" s="3533"/>
      <c r="Z36" s="54" t="str">
        <f t="shared" si="13"/>
        <v>宗地开发程度</v>
      </c>
      <c r="AA36" s="712">
        <f t="shared" si="3"/>
        <v>1</v>
      </c>
      <c r="AB36" s="712">
        <f t="shared" si="4"/>
        <v>1</v>
      </c>
      <c r="AC36" s="712">
        <f t="shared" si="5"/>
        <v>1</v>
      </c>
    </row>
    <row r="37" spans="1:31" ht="15">
      <c r="A37" s="430"/>
      <c r="B37" s="380" t="s">
        <v>2575</v>
      </c>
      <c r="C37" s="2089"/>
      <c r="D37" s="393">
        <v>100</v>
      </c>
      <c r="E37" s="2089"/>
      <c r="F37" s="393">
        <f>SUMIF(114:114,E37,115:115)-SUMIF(114:114,C37,115:115)+100</f>
        <v>100</v>
      </c>
      <c r="G37" s="2089"/>
      <c r="H37" s="393">
        <f>SUMIF(114:114,G37,115:115)-SUMIF(114:114,C37,115:115)+100</f>
        <v>100</v>
      </c>
      <c r="I37" s="2089"/>
      <c r="J37" s="393">
        <f>SUMIF(114:114,I37,115:115)-SUMIF(114:114,C37,115:115)+100</f>
        <v>100</v>
      </c>
      <c r="K37" s="568"/>
      <c r="L37" s="2944"/>
      <c r="M37" s="2938"/>
      <c r="N37" s="2938"/>
      <c r="O37" s="2996"/>
      <c r="P37" s="3533" t="s">
        <v>2385</v>
      </c>
      <c r="Q37" s="1534" t="str">
        <f t="shared" si="14"/>
        <v>工程地质条件</v>
      </c>
      <c r="R37" s="713" t="s">
        <v>17</v>
      </c>
      <c r="S37" s="714">
        <f t="shared" si="10"/>
        <v>100</v>
      </c>
      <c r="T37" s="713" t="s">
        <v>17</v>
      </c>
      <c r="U37" s="714">
        <f t="shared" si="11"/>
        <v>100</v>
      </c>
      <c r="V37" s="713" t="s">
        <v>17</v>
      </c>
      <c r="W37" s="714">
        <f t="shared" si="12"/>
        <v>100</v>
      </c>
      <c r="X37" s="1537"/>
      <c r="Y37" s="3533" t="s">
        <v>2385</v>
      </c>
      <c r="Z37" s="1538" t="str">
        <f t="shared" si="13"/>
        <v>工程地质条件</v>
      </c>
      <c r="AA37" s="1535">
        <f t="shared" si="3"/>
        <v>1</v>
      </c>
      <c r="AB37" s="1535">
        <f t="shared" si="4"/>
        <v>1</v>
      </c>
      <c r="AC37" s="1535">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4"/>
      <c r="M38" s="2938"/>
      <c r="N38" s="2938"/>
      <c r="O38" s="2996"/>
      <c r="P38" s="3533"/>
      <c r="Q38" s="1534">
        <f t="shared" si="14"/>
        <v>111</v>
      </c>
      <c r="R38" s="713" t="s">
        <v>17</v>
      </c>
      <c r="S38" s="714">
        <f t="shared" si="10"/>
        <v>100</v>
      </c>
      <c r="T38" s="713" t="s">
        <v>17</v>
      </c>
      <c r="U38" s="714">
        <f t="shared" si="11"/>
        <v>100</v>
      </c>
      <c r="V38" s="713" t="s">
        <v>17</v>
      </c>
      <c r="W38" s="714">
        <f t="shared" si="12"/>
        <v>100</v>
      </c>
      <c r="X38" s="1537"/>
      <c r="Y38" s="3533"/>
      <c r="Z38" s="1538">
        <f t="shared" si="13"/>
        <v>111</v>
      </c>
      <c r="AA38" s="1535">
        <f t="shared" si="3"/>
        <v>1</v>
      </c>
      <c r="AB38" s="1535">
        <f t="shared" si="4"/>
        <v>1</v>
      </c>
      <c r="AC38" s="1535">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4"/>
      <c r="M39" s="2938"/>
      <c r="N39" s="2938"/>
      <c r="O39" s="2996"/>
      <c r="P39" s="3533"/>
      <c r="Q39" s="1534">
        <f t="shared" si="14"/>
        <v>111</v>
      </c>
      <c r="R39" s="713" t="s">
        <v>17</v>
      </c>
      <c r="S39" s="714">
        <f t="shared" si="10"/>
        <v>100</v>
      </c>
      <c r="T39" s="713" t="s">
        <v>17</v>
      </c>
      <c r="U39" s="714">
        <f t="shared" si="11"/>
        <v>100</v>
      </c>
      <c r="V39" s="713" t="s">
        <v>17</v>
      </c>
      <c r="W39" s="714">
        <f t="shared" si="12"/>
        <v>100</v>
      </c>
      <c r="X39" s="1537"/>
      <c r="Y39" s="3533"/>
      <c r="Z39" s="1538">
        <f t="shared" si="13"/>
        <v>111</v>
      </c>
      <c r="AA39" s="1535">
        <f t="shared" si="3"/>
        <v>1</v>
      </c>
      <c r="AB39" s="1535">
        <f t="shared" si="4"/>
        <v>1</v>
      </c>
      <c r="AC39" s="1535">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3"/>
      <c r="M40" s="2945"/>
      <c r="N40" s="2945"/>
      <c r="O40" s="2997"/>
      <c r="P40" s="3533"/>
      <c r="Q40" s="1534">
        <f t="shared" si="14"/>
        <v>111</v>
      </c>
      <c r="R40" s="716" t="s">
        <v>17</v>
      </c>
      <c r="S40" s="717">
        <f t="shared" si="10"/>
        <v>100</v>
      </c>
      <c r="T40" s="716" t="s">
        <v>17</v>
      </c>
      <c r="U40" s="717">
        <f t="shared" si="11"/>
        <v>100</v>
      </c>
      <c r="V40" s="716" t="s">
        <v>17</v>
      </c>
      <c r="W40" s="717">
        <f t="shared" si="12"/>
        <v>100</v>
      </c>
      <c r="X40" s="718"/>
      <c r="Y40" s="3533"/>
      <c r="Z40" s="719">
        <f t="shared" si="13"/>
        <v>111</v>
      </c>
      <c r="AA40" s="1535">
        <f t="shared" si="3"/>
        <v>1</v>
      </c>
      <c r="AB40" s="1535">
        <f t="shared" si="4"/>
        <v>1</v>
      </c>
      <c r="AC40" s="1535">
        <f t="shared" si="5"/>
        <v>1</v>
      </c>
    </row>
    <row r="41" spans="1:31" ht="15">
      <c r="A41" s="437" t="s">
        <v>2540</v>
      </c>
      <c r="B41" s="2165" t="s">
        <v>2620</v>
      </c>
      <c r="C41" s="637" t="s">
        <v>1</v>
      </c>
      <c r="D41" s="439"/>
      <c r="E41" s="440"/>
      <c r="F41" s="441"/>
      <c r="G41" s="442"/>
      <c r="H41" s="443"/>
      <c r="I41" s="440"/>
      <c r="J41" s="443"/>
      <c r="K41" s="722"/>
      <c r="L41" s="2946"/>
      <c r="M41" s="2938"/>
      <c r="N41" s="2938"/>
      <c r="O41" s="2947"/>
      <c r="P41" s="3515" t="str">
        <f>A41</f>
        <v>成交单价</v>
      </c>
      <c r="Q41" s="3515"/>
      <c r="R41" s="3528">
        <f>E41</f>
        <v>0</v>
      </c>
      <c r="S41" s="3528"/>
      <c r="T41" s="3528">
        <f>G41</f>
        <v>0</v>
      </c>
      <c r="U41" s="3528"/>
      <c r="V41" s="3528">
        <f>I41</f>
        <v>0</v>
      </c>
      <c r="W41" s="3528"/>
      <c r="X41" s="698"/>
      <c r="Y41" s="720"/>
      <c r="Z41" s="698"/>
      <c r="AA41" s="698"/>
      <c r="AB41" s="698"/>
      <c r="AC41" s="698"/>
    </row>
    <row r="42" spans="1:31" ht="15.75" thickBot="1">
      <c r="A42" s="444" t="s">
        <v>2489</v>
      </c>
      <c r="B42" s="638"/>
      <c r="C42" s="447" t="e">
        <f>R43</f>
        <v>#DIV/0!</v>
      </c>
      <c r="D42" s="2535" t="s">
        <v>2880</v>
      </c>
      <c r="E42" s="447" t="e">
        <f>R42</f>
        <v>#DIV/0!</v>
      </c>
      <c r="F42" s="2536"/>
      <c r="G42" s="446" t="e">
        <f>T42</f>
        <v>#DIV/0!</v>
      </c>
      <c r="H42" s="2536"/>
      <c r="I42" s="447" t="e">
        <f>V42</f>
        <v>#DIV/0!</v>
      </c>
      <c r="J42" s="2536"/>
      <c r="K42" s="2538">
        <f>F42+H42+J42</f>
        <v>0</v>
      </c>
      <c r="L42" s="2946"/>
      <c r="M42" s="2938"/>
      <c r="N42" s="2938"/>
      <c r="O42" s="2947"/>
      <c r="P42" s="3515" t="str">
        <f>A42</f>
        <v>比较价值（元/平方米）</v>
      </c>
      <c r="Q42" s="3515"/>
      <c r="R42" s="3534" t="e">
        <f>ROUND(PRODUCT(R41,AA7:AA40),0)</f>
        <v>#DIV/0!</v>
      </c>
      <c r="S42" s="3534"/>
      <c r="T42" s="3534" t="e">
        <f>ROUND(PRODUCT(T41,AB7:AB40),0)</f>
        <v>#DIV/0!</v>
      </c>
      <c r="U42" s="3534"/>
      <c r="V42" s="3534" t="e">
        <f>ROUND(PRODUCT(V41,AC7:AC40),0)</f>
        <v>#DIV/0!</v>
      </c>
      <c r="W42" s="3534"/>
      <c r="X42" s="698"/>
      <c r="Y42" s="698"/>
      <c r="Z42" s="698"/>
      <c r="AA42" s="698"/>
      <c r="AB42" s="698"/>
      <c r="AC42" s="698"/>
    </row>
    <row r="43" spans="1:31" ht="15.75" thickBot="1">
      <c r="A43" s="448" t="s">
        <v>2490</v>
      </c>
      <c r="B43" s="449"/>
      <c r="C43" s="450" t="e">
        <f>R43</f>
        <v>#DIV/0!</v>
      </c>
      <c r="D43" s="450"/>
      <c r="E43" s="450"/>
      <c r="F43" s="450"/>
      <c r="G43" s="450"/>
      <c r="H43" s="450"/>
      <c r="I43" s="450"/>
      <c r="J43" s="450"/>
      <c r="K43" s="723"/>
      <c r="L43" s="2946"/>
      <c r="M43" s="2938"/>
      <c r="N43" s="2938"/>
      <c r="O43" s="2947"/>
      <c r="P43" s="3535" t="str">
        <f>A43</f>
        <v>估价对象XX用房的比较价值（楼面单价，元/平方米）</v>
      </c>
      <c r="Q43" s="3536"/>
      <c r="R43" s="3537" t="e">
        <f>ROUND(IF(D42="简单平均",AVERAGE(R42:W42),R42*F42+T42*H42+V42*J42),0)</f>
        <v>#DIV/0!</v>
      </c>
      <c r="S43" s="3537"/>
      <c r="T43" s="3537"/>
      <c r="U43" s="3537"/>
      <c r="V43" s="3537"/>
      <c r="W43" s="3537"/>
      <c r="X43" s="698"/>
      <c r="Y43" s="698"/>
      <c r="Z43" s="698"/>
      <c r="AA43" s="698"/>
      <c r="AB43" s="698"/>
      <c r="AC43" s="698"/>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58" customFormat="1" ht="13.5" customHeight="1">
      <c r="A48" s="2950"/>
      <c r="B48" s="2950"/>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58" customFormat="1" ht="15" thickBot="1">
      <c r="A49" s="2950"/>
      <c r="B49" s="2953"/>
      <c r="C49" s="701"/>
      <c r="D49" s="699"/>
      <c r="E49" s="699"/>
      <c r="F49" s="699"/>
      <c r="G49" s="699"/>
      <c r="H49" s="699"/>
      <c r="I49" s="699"/>
      <c r="J49" s="699"/>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39" t="s">
        <v>2578</v>
      </c>
      <c r="B50" s="640" t="s">
        <v>2579</v>
      </c>
      <c r="C50" s="2166" t="s">
        <v>2580</v>
      </c>
      <c r="D50" s="2167" t="s">
        <v>2581</v>
      </c>
      <c r="E50" s="641" t="s">
        <v>2582</v>
      </c>
      <c r="F50" s="642" t="s">
        <v>2583</v>
      </c>
      <c r="G50" s="3516" t="s">
        <v>2584</v>
      </c>
      <c r="H50" s="3538"/>
      <c r="I50" s="1538" t="s">
        <v>2621</v>
      </c>
      <c r="J50" s="1538">
        <f>项目基本情况!F35</f>
        <v>0</v>
      </c>
      <c r="K50" s="2169" t="s">
        <v>2586</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7" customFormat="1">
      <c r="A51" s="643" t="s">
        <v>2587</v>
      </c>
      <c r="B51" s="644" t="e">
        <f>C43</f>
        <v>#DIV/0!</v>
      </c>
      <c r="C51" s="645">
        <v>1</v>
      </c>
      <c r="D51" s="1074">
        <v>1</v>
      </c>
      <c r="E51" s="645">
        <f>'数据-汇总表'!E8+'数据-汇总表'!E9</f>
        <v>15708.62</v>
      </c>
      <c r="F51" s="646" t="e">
        <f t="shared" ref="F51:F60" si="15">ROUND(B51*E51/10000,0)</f>
        <v>#DIV/0!</v>
      </c>
      <c r="G51" s="3539"/>
      <c r="H51" s="3515"/>
      <c r="I51" s="878">
        <v>1</v>
      </c>
      <c r="J51" s="878">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7" customFormat="1">
      <c r="A52" s="648" t="s">
        <v>2588</v>
      </c>
      <c r="B52" s="223" t="e">
        <f>ROUND($C$43*C52*D52,0)</f>
        <v>#DIV/0!</v>
      </c>
      <c r="C52" s="175">
        <f t="shared" ref="C52:C60" si="16">IF($C$50="北京市系数",I52,J52)</f>
        <v>0.6</v>
      </c>
      <c r="D52" s="1075">
        <v>0.25</v>
      </c>
      <c r="E52" s="649"/>
      <c r="F52" s="646" t="e">
        <f t="shared" si="15"/>
        <v>#DIV/0!</v>
      </c>
      <c r="G52" s="3540" t="s">
        <v>2589</v>
      </c>
      <c r="H52" s="1017" t="str">
        <f>项目基本情况!B37</f>
        <v>八级</v>
      </c>
      <c r="I52" s="878">
        <f>SUMIF(修正!A45:A56,H52,修正!B45:B56)</f>
        <v>0.6</v>
      </c>
      <c r="J52" s="879"/>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7" customFormat="1">
      <c r="A53" s="648" t="s">
        <v>2590</v>
      </c>
      <c r="B53" s="223" t="e">
        <f t="shared" ref="B53:B60" si="17">ROUND($C$43*C53*D53,0)</f>
        <v>#DIV/0!</v>
      </c>
      <c r="C53" s="175">
        <f t="shared" si="16"/>
        <v>0.3</v>
      </c>
      <c r="D53" s="1075">
        <v>0.25</v>
      </c>
      <c r="E53" s="649"/>
      <c r="F53" s="646" t="e">
        <f t="shared" si="15"/>
        <v>#DIV/0!</v>
      </c>
      <c r="G53" s="3540"/>
      <c r="H53" s="1017" t="str">
        <f>项目基本情况!B37</f>
        <v>八级</v>
      </c>
      <c r="I53" s="878">
        <f>SUMIF(修正!A45:A56,H53,修正!C45:C56)</f>
        <v>0.3</v>
      </c>
      <c r="J53" s="879"/>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7" customFormat="1">
      <c r="A54" s="648" t="s">
        <v>2591</v>
      </c>
      <c r="B54" s="223" t="e">
        <f t="shared" si="17"/>
        <v>#DIV/0!</v>
      </c>
      <c r="C54" s="175">
        <f t="shared" si="16"/>
        <v>0.2</v>
      </c>
      <c r="D54" s="1075">
        <v>0.25</v>
      </c>
      <c r="E54" s="649"/>
      <c r="F54" s="646" t="e">
        <f t="shared" si="15"/>
        <v>#DIV/0!</v>
      </c>
      <c r="G54" s="3540"/>
      <c r="H54" s="1017" t="str">
        <f>项目基本情况!B37</f>
        <v>八级</v>
      </c>
      <c r="I54" s="878">
        <f>SUMIF(修正!A45:A56,H54,修正!D45:D56)</f>
        <v>0.2</v>
      </c>
      <c r="J54" s="879"/>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7" customFormat="1">
      <c r="A55" s="648" t="s">
        <v>2592</v>
      </c>
      <c r="B55" s="223" t="e">
        <f t="shared" si="17"/>
        <v>#DIV/0!</v>
      </c>
      <c r="C55" s="175">
        <f t="shared" si="16"/>
        <v>0.2</v>
      </c>
      <c r="D55" s="1075">
        <v>0.25</v>
      </c>
      <c r="E55" s="649"/>
      <c r="F55" s="646" t="e">
        <f t="shared" si="15"/>
        <v>#DIV/0!</v>
      </c>
      <c r="G55" s="3540"/>
      <c r="H55" s="1017" t="str">
        <f>项目基本情况!B37</f>
        <v>八级</v>
      </c>
      <c r="I55" s="878">
        <f>SUMIF(修正!A45:A56,H55,修正!E45:E56)</f>
        <v>0.2</v>
      </c>
      <c r="J55" s="879"/>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7" customFormat="1">
      <c r="A56" s="648" t="s">
        <v>2593</v>
      </c>
      <c r="B56" s="223" t="e">
        <f t="shared" si="17"/>
        <v>#DIV/0!</v>
      </c>
      <c r="C56" s="175">
        <f t="shared" si="16"/>
        <v>0</v>
      </c>
      <c r="D56" s="1075">
        <v>0.25</v>
      </c>
      <c r="E56" s="222">
        <f>'数据-汇总表'!E11</f>
        <v>0</v>
      </c>
      <c r="F56" s="646" t="e">
        <f t="shared" si="15"/>
        <v>#DIV/0!</v>
      </c>
      <c r="G56" s="2170" t="s">
        <v>2594</v>
      </c>
      <c r="H56" s="1017">
        <f>项目基本情况!C37</f>
        <v>0</v>
      </c>
      <c r="I56" s="878">
        <f>SUMIF(修正!A45:A56,H56,修正!F45:F56)</f>
        <v>0</v>
      </c>
      <c r="J56" s="879"/>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7" customFormat="1">
      <c r="A57" s="648" t="s">
        <v>2595</v>
      </c>
      <c r="B57" s="223" t="e">
        <f t="shared" si="17"/>
        <v>#DIV/0!</v>
      </c>
      <c r="C57" s="175">
        <f t="shared" si="16"/>
        <v>0</v>
      </c>
      <c r="D57" s="1075">
        <v>0.25</v>
      </c>
      <c r="E57" s="222">
        <f>'数据-汇总表'!E12</f>
        <v>19826.719999999998</v>
      </c>
      <c r="F57" s="646" t="e">
        <f t="shared" si="15"/>
        <v>#DIV/0!</v>
      </c>
      <c r="G57" s="1022" t="s">
        <v>2596</v>
      </c>
      <c r="H57" s="1017">
        <f>IF(G57="商业",项目基本情况!B37,IF(G57="办公",项目基本情况!C37,IF(G57="住宅",项目基本情况!D37,项目基本情况!E37)))</f>
        <v>0</v>
      </c>
      <c r="I57" s="878">
        <f>SUMIF(修正!A45:A56,H57,修正!G45:G56)</f>
        <v>0</v>
      </c>
      <c r="J57" s="879"/>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7" customFormat="1">
      <c r="A58" s="648" t="s">
        <v>2597</v>
      </c>
      <c r="B58" s="223" t="e">
        <f t="shared" si="17"/>
        <v>#DIV/0!</v>
      </c>
      <c r="C58" s="175">
        <f t="shared" si="16"/>
        <v>0.15</v>
      </c>
      <c r="D58" s="1075">
        <v>0.25</v>
      </c>
      <c r="E58" s="222">
        <f>'数据-汇总表'!E13</f>
        <v>10771.04</v>
      </c>
      <c r="F58" s="646" t="e">
        <f t="shared" si="15"/>
        <v>#DIV/0!</v>
      </c>
      <c r="G58" s="1022" t="s">
        <v>2598</v>
      </c>
      <c r="H58" s="1017" t="str">
        <f>IF(G58="商业",项目基本情况!B37,IF(G58="办公",项目基本情况!C37,IF(G58="住宅",项目基本情况!D37,项目基本情况!E37)))</f>
        <v>八级</v>
      </c>
      <c r="I58" s="878">
        <f>SUMIF(修正!A45:A56,H58,修正!H45:H56)</f>
        <v>0.15</v>
      </c>
      <c r="J58" s="879"/>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7" customFormat="1">
      <c r="A59" s="648" t="s">
        <v>2599</v>
      </c>
      <c r="B59" s="223" t="e">
        <f t="shared" si="17"/>
        <v>#DIV/0!</v>
      </c>
      <c r="C59" s="175">
        <f t="shared" si="16"/>
        <v>0.15</v>
      </c>
      <c r="D59" s="1075">
        <v>0.25</v>
      </c>
      <c r="E59" s="222">
        <f>'数据-汇总表'!E14</f>
        <v>0</v>
      </c>
      <c r="F59" s="646" t="e">
        <f t="shared" si="15"/>
        <v>#DIV/0!</v>
      </c>
      <c r="G59" s="2170" t="s">
        <v>2589</v>
      </c>
      <c r="H59" s="1017" t="str">
        <f>项目基本情况!B37</f>
        <v>八级</v>
      </c>
      <c r="I59" s="878">
        <f>SUMIF(修正!A45:A56,H59,修正!H45:H56)</f>
        <v>0.15</v>
      </c>
      <c r="J59" s="879"/>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7" customFormat="1" ht="15" thickBot="1">
      <c r="A60" s="648" t="s">
        <v>2600</v>
      </c>
      <c r="B60" s="223" t="e">
        <f t="shared" si="17"/>
        <v>#DIV/0!</v>
      </c>
      <c r="C60" s="175">
        <f t="shared" si="16"/>
        <v>0</v>
      </c>
      <c r="D60" s="1075">
        <v>0.25</v>
      </c>
      <c r="E60" s="222">
        <f>'数据-汇总表'!E15</f>
        <v>0</v>
      </c>
      <c r="F60" s="646" t="e">
        <f t="shared" si="15"/>
        <v>#DIV/0!</v>
      </c>
      <c r="G60" s="2171" t="s">
        <v>2594</v>
      </c>
      <c r="H60" s="1027">
        <f>项目基本情况!C37</f>
        <v>0</v>
      </c>
      <c r="I60" s="878">
        <f>SUMIF(修正!A45:A56,H60,修正!H45:H56)</f>
        <v>0</v>
      </c>
      <c r="J60" s="879"/>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7" customFormat="1" ht="15" thickBot="1">
      <c r="A61" s="650" t="s">
        <v>2601</v>
      </c>
      <c r="B61" s="651" t="s">
        <v>28</v>
      </c>
      <c r="C61" s="651" t="s">
        <v>29</v>
      </c>
      <c r="D61" s="651" t="s">
        <v>997</v>
      </c>
      <c r="E61" s="651">
        <f>IF(B41="楼面地价",SUM(E51:E60),'数据-汇总表'!D3)</f>
        <v>23188.07</v>
      </c>
      <c r="F61" s="652" t="e">
        <f>IF(B41="楼面地价",SUM(F51:F60),ROUND(C43*E61/10000,0))</f>
        <v>#DIV/0!</v>
      </c>
      <c r="G61" s="1069"/>
      <c r="H61" s="1069"/>
      <c r="I61" s="1069"/>
      <c r="J61" s="1069"/>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7"/>
      <c r="B62" s="1059"/>
      <c r="C62" s="1061"/>
      <c r="D62" s="1057"/>
      <c r="E62" s="1057"/>
      <c r="F62" s="1057"/>
      <c r="G62" s="1057"/>
      <c r="H62" s="1057"/>
      <c r="I62" s="1057"/>
      <c r="J62" s="1057"/>
      <c r="K62" s="1018"/>
      <c r="L62" s="1019"/>
      <c r="M62" s="1057"/>
      <c r="N62" s="1057"/>
      <c r="O62" s="1057"/>
      <c r="P62" s="2947"/>
      <c r="Q62" s="2947"/>
      <c r="R62" s="2947"/>
      <c r="S62" s="2947"/>
      <c r="T62" s="2947"/>
      <c r="U62" s="2947"/>
      <c r="V62" s="2947"/>
      <c r="W62" s="2947"/>
      <c r="X62" s="2947"/>
      <c r="Y62" s="2947"/>
      <c r="Z62" s="2947"/>
      <c r="AA62" s="2947"/>
      <c r="AB62" s="2947"/>
      <c r="AC62" s="2947"/>
      <c r="AD62" s="2947"/>
      <c r="AE62" s="2947"/>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47"/>
      <c r="Q63" s="2947"/>
      <c r="R63" s="2947"/>
      <c r="S63" s="2947"/>
      <c r="T63" s="2947"/>
      <c r="U63" s="2947"/>
      <c r="V63" s="2947"/>
      <c r="W63" s="2947"/>
      <c r="X63" s="2947"/>
      <c r="Y63" s="2947"/>
      <c r="Z63" s="2947"/>
      <c r="AA63" s="2947"/>
      <c r="AB63" s="2947"/>
      <c r="AC63" s="2947"/>
      <c r="AD63" s="2947"/>
      <c r="AE63" s="2947"/>
    </row>
    <row r="64" spans="1:31" ht="21.75" thickBot="1">
      <c r="A64" s="702" t="s">
        <v>2494</v>
      </c>
      <c r="B64" s="698"/>
      <c r="C64" s="703"/>
      <c r="D64" s="703"/>
      <c r="E64" s="703"/>
      <c r="F64" s="704"/>
      <c r="G64" s="704"/>
      <c r="H64" s="703"/>
      <c r="I64" s="703"/>
      <c r="J64" s="703"/>
      <c r="K64" s="705"/>
      <c r="L64" s="706"/>
      <c r="M64" s="703"/>
      <c r="N64" s="703"/>
      <c r="O64" s="1070"/>
      <c r="P64" s="2991"/>
      <c r="Q64" s="2961"/>
      <c r="R64" s="2947"/>
      <c r="S64" s="2947"/>
      <c r="T64" s="2947"/>
      <c r="U64" s="2947"/>
      <c r="V64" s="2947"/>
      <c r="W64" s="2947"/>
      <c r="X64" s="2947"/>
      <c r="Y64" s="2947"/>
      <c r="Z64" s="2947"/>
      <c r="AA64" s="2947"/>
      <c r="AB64" s="2947"/>
      <c r="AC64" s="2947"/>
      <c r="AD64" s="2947"/>
      <c r="AE64" s="2947"/>
    </row>
    <row r="65" spans="1:31" s="464" customFormat="1" ht="15">
      <c r="A65" s="2172" t="s">
        <v>2602</v>
      </c>
      <c r="B65" s="1268"/>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2998"/>
      <c r="Q65" s="2963"/>
      <c r="R65" s="2963"/>
      <c r="S65" s="2963"/>
      <c r="T65" s="2963"/>
      <c r="U65" s="2963"/>
      <c r="V65" s="2963"/>
      <c r="W65" s="2963"/>
      <c r="X65" s="2963"/>
      <c r="Y65" s="2963"/>
      <c r="Z65" s="2963"/>
      <c r="AA65" s="2963"/>
      <c r="AB65" s="2963"/>
      <c r="AC65" s="2963"/>
      <c r="AD65" s="2963"/>
      <c r="AE65" s="2963"/>
    </row>
    <row r="66" spans="1:31" s="112" customFormat="1" ht="30.75" customHeight="1">
      <c r="A66" s="2177" t="s">
        <v>2622</v>
      </c>
      <c r="B66" s="293" t="str">
        <f>"北京市平均增长率"&amp;TEXT(基准地价修正!P24,"0.00%")</f>
        <v>北京市平均增长率0.00%</v>
      </c>
      <c r="C66" s="559">
        <v>100</v>
      </c>
      <c r="D66" s="551"/>
      <c r="E66" s="551"/>
      <c r="F66" s="551"/>
      <c r="G66" s="551"/>
      <c r="H66" s="551"/>
      <c r="I66" s="551"/>
      <c r="J66" s="551"/>
      <c r="K66" s="551"/>
      <c r="L66" s="551"/>
      <c r="M66" s="1339"/>
      <c r="N66" s="1339"/>
      <c r="O66" s="1340"/>
      <c r="P66" s="2961"/>
      <c r="Q66" s="2882"/>
      <c r="R66" s="2882"/>
      <c r="S66" s="2882"/>
      <c r="T66" s="2882"/>
      <c r="U66" s="2882"/>
      <c r="V66" s="2882"/>
      <c r="W66" s="2882"/>
      <c r="X66" s="2882"/>
      <c r="Y66" s="2882"/>
      <c r="Z66" s="2882"/>
      <c r="AA66" s="2882"/>
      <c r="AB66" s="2882"/>
      <c r="AC66" s="2882"/>
      <c r="AD66" s="2882"/>
      <c r="AE66" s="2882"/>
    </row>
    <row r="67" spans="1:31" s="112" customFormat="1" ht="15.75" thickBot="1">
      <c r="A67" s="471" t="s">
        <v>2405</v>
      </c>
      <c r="B67" s="472"/>
      <c r="C67" s="473"/>
      <c r="D67" s="474"/>
      <c r="E67" s="474"/>
      <c r="F67" s="474"/>
      <c r="G67" s="474"/>
      <c r="H67" s="474"/>
      <c r="I67" s="474"/>
      <c r="J67" s="474"/>
      <c r="K67" s="474"/>
      <c r="L67" s="474"/>
      <c r="M67" s="475"/>
      <c r="N67" s="475"/>
      <c r="O67" s="476"/>
      <c r="P67" s="2961"/>
      <c r="Q67" s="2961"/>
      <c r="R67" s="2882"/>
      <c r="S67" s="2882"/>
      <c r="T67" s="2882"/>
      <c r="U67" s="2882"/>
      <c r="V67" s="2882"/>
      <c r="W67" s="2882"/>
      <c r="X67" s="2882"/>
      <c r="Y67" s="2882"/>
      <c r="Z67" s="2882"/>
      <c r="AA67" s="2882"/>
      <c r="AB67" s="2882"/>
      <c r="AC67" s="2882"/>
      <c r="AD67" s="2882"/>
      <c r="AE67" s="2882"/>
    </row>
    <row r="68" spans="1:31" s="112" customFormat="1" ht="15">
      <c r="A68" s="477" t="s">
        <v>2370</v>
      </c>
      <c r="B68" s="466"/>
      <c r="C68" s="478" t="s">
        <v>2472</v>
      </c>
      <c r="D68" s="479"/>
      <c r="E68" s="479"/>
      <c r="F68" s="479"/>
      <c r="G68" s="479"/>
      <c r="H68" s="479"/>
      <c r="I68" s="479"/>
      <c r="J68" s="479"/>
      <c r="K68" s="479"/>
      <c r="L68" s="480"/>
      <c r="M68" s="481"/>
      <c r="N68" s="2974"/>
      <c r="O68" s="2974"/>
      <c r="P68" s="2999"/>
      <c r="Q68" s="2961"/>
      <c r="R68" s="2882"/>
      <c r="S68" s="2882"/>
      <c r="T68" s="2882"/>
      <c r="U68" s="2882"/>
      <c r="V68" s="2882"/>
      <c r="W68" s="2882"/>
      <c r="X68" s="2882"/>
      <c r="Y68" s="2882"/>
      <c r="Z68" s="2882"/>
      <c r="AA68" s="2882"/>
      <c r="AB68" s="2882"/>
      <c r="AC68" s="2882"/>
      <c r="AD68" s="2882"/>
      <c r="AE68" s="2882"/>
    </row>
    <row r="69" spans="1:31" s="112" customFormat="1" ht="15.75" thickBot="1">
      <c r="A69" s="477"/>
      <c r="B69" s="466"/>
      <c r="C69" s="594">
        <v>100</v>
      </c>
      <c r="D69" s="468"/>
      <c r="E69" s="468"/>
      <c r="F69" s="468"/>
      <c r="G69" s="468"/>
      <c r="H69" s="468"/>
      <c r="I69" s="468"/>
      <c r="J69" s="468"/>
      <c r="K69" s="468"/>
      <c r="L69" s="468"/>
      <c r="M69" s="470"/>
      <c r="N69" s="2974"/>
      <c r="O69" s="2974"/>
      <c r="P69" s="2961"/>
      <c r="Q69" s="2961"/>
      <c r="R69" s="2882"/>
      <c r="S69" s="2882"/>
      <c r="T69" s="2882"/>
      <c r="U69" s="2882"/>
      <c r="V69" s="2882"/>
      <c r="W69" s="2882"/>
      <c r="X69" s="2882"/>
      <c r="Y69" s="2882"/>
      <c r="Z69" s="2882"/>
      <c r="AA69" s="2882"/>
      <c r="AB69" s="2882"/>
      <c r="AC69" s="2882"/>
      <c r="AD69" s="2882"/>
      <c r="AE69" s="2882"/>
    </row>
    <row r="70" spans="1:31">
      <c r="A70" s="483" t="s">
        <v>2408</v>
      </c>
      <c r="B70" s="484" t="s">
        <v>2374</v>
      </c>
      <c r="C70" s="486"/>
      <c r="D70" s="486"/>
      <c r="E70" s="486"/>
      <c r="F70" s="486"/>
      <c r="G70" s="486"/>
      <c r="H70" s="486"/>
      <c r="I70" s="486"/>
      <c r="J70" s="486"/>
      <c r="K70" s="487"/>
      <c r="L70" s="488"/>
      <c r="M70" s="489"/>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0"/>
      <c r="B71" s="491"/>
      <c r="C71" s="492"/>
      <c r="D71" s="492"/>
      <c r="E71" s="492"/>
      <c r="F71" s="492"/>
      <c r="G71" s="492"/>
      <c r="H71" s="492"/>
      <c r="I71" s="492"/>
      <c r="J71" s="492"/>
      <c r="K71" s="492"/>
      <c r="L71" s="492"/>
      <c r="M71" s="493"/>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0"/>
      <c r="B72" s="494" t="s">
        <v>2377</v>
      </c>
      <c r="C72" s="495"/>
      <c r="D72" s="495"/>
      <c r="E72" s="495"/>
      <c r="F72" s="495"/>
      <c r="G72" s="495"/>
      <c r="H72" s="495"/>
      <c r="I72" s="495"/>
      <c r="J72" s="495"/>
      <c r="K72" s="496"/>
      <c r="L72" s="497"/>
      <c r="M72" s="498"/>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0"/>
      <c r="B73" s="499"/>
      <c r="C73" s="500"/>
      <c r="D73" s="500"/>
      <c r="E73" s="500"/>
      <c r="F73" s="500"/>
      <c r="G73" s="500"/>
      <c r="H73" s="500"/>
      <c r="I73" s="500"/>
      <c r="J73" s="500"/>
      <c r="K73" s="500"/>
      <c r="L73" s="500"/>
      <c r="M73" s="501"/>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0"/>
      <c r="B74" s="502" t="s">
        <v>2378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0"/>
      <c r="B75" s="504"/>
      <c r="C75" s="505"/>
      <c r="D75" s="505"/>
      <c r="E75" s="505"/>
      <c r="F75" s="505"/>
      <c r="G75" s="505"/>
      <c r="H75" s="505"/>
      <c r="I75" s="505"/>
      <c r="J75" s="505"/>
      <c r="K75" s="506"/>
      <c r="L75" s="507"/>
      <c r="M75" s="508"/>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29" customFormat="1" ht="15.75" thickTop="1">
      <c r="A77" s="509"/>
      <c r="B77" s="494">
        <f>B12</f>
        <v>111</v>
      </c>
      <c r="C77" s="510"/>
      <c r="D77" s="510"/>
      <c r="E77" s="510"/>
      <c r="F77" s="510"/>
      <c r="G77" s="510"/>
      <c r="H77" s="511"/>
      <c r="I77" s="511"/>
      <c r="J77" s="511"/>
      <c r="K77" s="511"/>
      <c r="L77" s="512"/>
      <c r="M77" s="513"/>
      <c r="N77" s="2977"/>
      <c r="O77" s="2977"/>
      <c r="P77" s="3001"/>
      <c r="Q77" s="2968"/>
      <c r="R77" s="2969"/>
      <c r="S77" s="2969"/>
      <c r="T77" s="2969"/>
      <c r="U77" s="2969"/>
      <c r="V77" s="2969"/>
      <c r="W77" s="2969"/>
      <c r="X77" s="2969"/>
      <c r="Y77" s="2969"/>
      <c r="Z77" s="2969"/>
      <c r="AA77" s="2969"/>
      <c r="AB77" s="2969"/>
      <c r="AC77" s="2969"/>
      <c r="AD77" s="2969"/>
      <c r="AE77" s="2969"/>
    </row>
    <row r="78" spans="1:31" s="429" customFormat="1" ht="15.75" thickBot="1">
      <c r="A78" s="509"/>
      <c r="B78" s="499"/>
      <c r="C78" s="516"/>
      <c r="D78" s="492"/>
      <c r="E78" s="492"/>
      <c r="F78" s="492"/>
      <c r="G78" s="492"/>
      <c r="H78" s="492"/>
      <c r="I78" s="492"/>
      <c r="J78" s="492"/>
      <c r="K78" s="492"/>
      <c r="L78" s="492"/>
      <c r="M78" s="493"/>
      <c r="N78" s="2976"/>
      <c r="O78" s="2976"/>
      <c r="P78" s="3001"/>
      <c r="Q78" s="2968"/>
      <c r="R78" s="2969"/>
      <c r="S78" s="2969"/>
      <c r="T78" s="2969"/>
      <c r="U78" s="2969"/>
      <c r="V78" s="2969"/>
      <c r="W78" s="2969"/>
      <c r="X78" s="2969"/>
      <c r="Y78" s="2969"/>
      <c r="Z78" s="2969"/>
      <c r="AA78" s="2969"/>
      <c r="AB78" s="2969"/>
      <c r="AC78" s="2969"/>
      <c r="AD78" s="2969"/>
      <c r="AE78" s="2969"/>
    </row>
    <row r="79" spans="1:31" s="429" customFormat="1" ht="15.75" thickTop="1">
      <c r="A79" s="509"/>
      <c r="B79" s="494">
        <f>B13</f>
        <v>111</v>
      </c>
      <c r="C79" s="510"/>
      <c r="D79" s="510"/>
      <c r="E79" s="510"/>
      <c r="F79" s="510"/>
      <c r="G79" s="510"/>
      <c r="H79" s="511"/>
      <c r="I79" s="511"/>
      <c r="J79" s="511"/>
      <c r="K79" s="511"/>
      <c r="L79" s="512"/>
      <c r="M79" s="513"/>
      <c r="N79" s="2977"/>
      <c r="O79" s="2977"/>
      <c r="P79" s="2945"/>
      <c r="Q79" s="2971"/>
      <c r="R79" s="2969"/>
      <c r="S79" s="2969"/>
      <c r="T79" s="2969"/>
      <c r="U79" s="2969"/>
      <c r="V79" s="2969"/>
      <c r="W79" s="2969"/>
      <c r="X79" s="2969"/>
      <c r="Y79" s="2969"/>
      <c r="Z79" s="2969"/>
      <c r="AA79" s="2969"/>
      <c r="AB79" s="2969"/>
      <c r="AC79" s="2969"/>
      <c r="AD79" s="2969"/>
      <c r="AE79" s="2969"/>
    </row>
    <row r="80" spans="1:31" s="429" customFormat="1" ht="15.75" thickBot="1">
      <c r="A80" s="509"/>
      <c r="B80" s="499"/>
      <c r="C80" s="516"/>
      <c r="D80" s="516"/>
      <c r="E80" s="516"/>
      <c r="F80" s="516"/>
      <c r="G80" s="516"/>
      <c r="H80" s="518"/>
      <c r="I80" s="518"/>
      <c r="J80" s="518"/>
      <c r="K80" s="518"/>
      <c r="L80" s="518"/>
      <c r="M80" s="519"/>
      <c r="N80" s="2977"/>
      <c r="O80" s="2977"/>
      <c r="P80" s="3001"/>
      <c r="Q80" s="2968"/>
      <c r="R80" s="2969"/>
      <c r="S80" s="2969"/>
      <c r="T80" s="2969"/>
      <c r="U80" s="2969"/>
      <c r="V80" s="2969"/>
      <c r="W80" s="2969"/>
      <c r="X80" s="2969"/>
      <c r="Y80" s="2969"/>
      <c r="Z80" s="2969"/>
      <c r="AA80" s="2969"/>
      <c r="AB80" s="2969"/>
      <c r="AC80" s="2969"/>
      <c r="AD80" s="2969"/>
      <c r="AE80" s="2969"/>
    </row>
    <row r="81" spans="1:31" s="429" customFormat="1" ht="15.75" thickTop="1">
      <c r="A81" s="509"/>
      <c r="B81" s="502">
        <f>B14</f>
        <v>111</v>
      </c>
      <c r="C81" s="479"/>
      <c r="D81" s="479"/>
      <c r="E81" s="479"/>
      <c r="F81" s="479"/>
      <c r="G81" s="479"/>
      <c r="H81" s="520"/>
      <c r="I81" s="520"/>
      <c r="J81" s="520"/>
      <c r="K81" s="520"/>
      <c r="L81" s="521"/>
      <c r="M81" s="522"/>
      <c r="N81" s="2977"/>
      <c r="O81" s="2977"/>
      <c r="P81" s="3006"/>
      <c r="Q81" s="2968"/>
      <c r="R81" s="2969"/>
      <c r="S81" s="2969"/>
      <c r="T81" s="2969"/>
      <c r="U81" s="2969"/>
      <c r="V81" s="2969"/>
      <c r="W81" s="2969"/>
      <c r="X81" s="2969"/>
      <c r="Y81" s="2969"/>
      <c r="Z81" s="2969"/>
      <c r="AA81" s="2969"/>
      <c r="AB81" s="2969"/>
      <c r="AC81" s="2969"/>
      <c r="AD81" s="2969"/>
      <c r="AE81" s="2969"/>
    </row>
    <row r="82" spans="1:31" s="429" customFormat="1" ht="15.75" thickBot="1">
      <c r="A82" s="524"/>
      <c r="B82" s="525"/>
      <c r="C82" s="526"/>
      <c r="D82" s="526"/>
      <c r="E82" s="526"/>
      <c r="F82" s="526"/>
      <c r="G82" s="526"/>
      <c r="H82" s="527"/>
      <c r="I82" s="527"/>
      <c r="J82" s="527"/>
      <c r="K82" s="527"/>
      <c r="L82" s="527"/>
      <c r="M82" s="528"/>
      <c r="N82" s="2977"/>
      <c r="O82" s="2977"/>
      <c r="P82" s="3001"/>
      <c r="Q82" s="2968"/>
      <c r="R82" s="2969"/>
      <c r="S82" s="2969"/>
      <c r="T82" s="2969"/>
      <c r="U82" s="2969"/>
      <c r="V82" s="2969"/>
      <c r="W82" s="2969"/>
      <c r="X82" s="2969"/>
      <c r="Y82" s="2969"/>
      <c r="Z82" s="2969"/>
      <c r="AA82" s="2969"/>
      <c r="AB82" s="2969"/>
      <c r="AC82" s="2969"/>
      <c r="AD82" s="2969"/>
      <c r="AE82" s="2969"/>
    </row>
    <row r="83" spans="1:31">
      <c r="A83" s="483" t="s">
        <v>2379</v>
      </c>
      <c r="B83" s="484" t="s">
        <v>2525</v>
      </c>
      <c r="C83" s="529" t="s">
        <v>2417</v>
      </c>
      <c r="D83" s="529" t="s">
        <v>2418</v>
      </c>
      <c r="E83" s="529" t="s">
        <v>2419</v>
      </c>
      <c r="F83" s="529" t="s">
        <v>2420</v>
      </c>
      <c r="G83" s="529" t="s">
        <v>2421</v>
      </c>
      <c r="H83" s="485"/>
      <c r="I83" s="485"/>
      <c r="J83" s="485"/>
      <c r="K83" s="530"/>
      <c r="L83" s="531"/>
      <c r="M83" s="532"/>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0"/>
      <c r="B85" s="494" t="s">
        <v>2422</v>
      </c>
      <c r="C85" s="534" t="s">
        <v>2417</v>
      </c>
      <c r="D85" s="534" t="s">
        <v>2418</v>
      </c>
      <c r="E85" s="534" t="s">
        <v>2419</v>
      </c>
      <c r="F85" s="534" t="s">
        <v>2420</v>
      </c>
      <c r="G85" s="534" t="s">
        <v>2421</v>
      </c>
      <c r="H85" s="495"/>
      <c r="I85" s="495"/>
      <c r="J85" s="495"/>
      <c r="K85" s="496"/>
      <c r="L85" s="497"/>
      <c r="M85" s="498"/>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6"/>
      <c r="O86" s="2976"/>
      <c r="P86" s="3000"/>
      <c r="Q86" s="2961"/>
      <c r="R86" s="2947"/>
      <c r="S86" s="2947"/>
      <c r="T86" s="2947"/>
      <c r="U86" s="2947"/>
      <c r="V86" s="2947"/>
      <c r="W86" s="2947"/>
      <c r="X86" s="2947"/>
      <c r="Y86" s="2947"/>
      <c r="Z86" s="2947"/>
      <c r="AA86" s="2947"/>
      <c r="AB86" s="2947"/>
      <c r="AC86" s="2947"/>
      <c r="AD86" s="2947"/>
      <c r="AE86" s="2947"/>
    </row>
    <row r="87" spans="1:31" s="112" customFormat="1" ht="15.75" thickTop="1">
      <c r="A87" s="535"/>
      <c r="B87" s="494" t="s">
        <v>2605</v>
      </c>
      <c r="C87" s="529" t="s">
        <v>2417</v>
      </c>
      <c r="D87" s="529" t="s">
        <v>2418</v>
      </c>
      <c r="E87" s="529" t="s">
        <v>2419</v>
      </c>
      <c r="F87" s="529" t="s">
        <v>2420</v>
      </c>
      <c r="G87" s="529" t="s">
        <v>2421</v>
      </c>
      <c r="H87" s="534"/>
      <c r="I87" s="534"/>
      <c r="J87" s="534"/>
      <c r="K87" s="534"/>
      <c r="L87" s="653"/>
      <c r="M87" s="577"/>
      <c r="N87" s="2974"/>
      <c r="O87" s="2974"/>
      <c r="P87" s="3000"/>
      <c r="Q87" s="2961"/>
      <c r="R87" s="2882"/>
      <c r="S87" s="2882"/>
      <c r="T87" s="2882"/>
      <c r="U87" s="2882"/>
      <c r="V87" s="2882"/>
      <c r="W87" s="2882"/>
      <c r="X87" s="2882"/>
      <c r="Y87" s="2882"/>
      <c r="Z87" s="2882"/>
      <c r="AA87" s="2882"/>
      <c r="AB87" s="2882"/>
      <c r="AC87" s="2882"/>
      <c r="AD87" s="2882"/>
      <c r="AE87" s="2882"/>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6"/>
      <c r="O88" s="2976"/>
      <c r="P88" s="3000"/>
      <c r="Q88" s="2961"/>
      <c r="R88" s="2882"/>
      <c r="S88" s="2882"/>
      <c r="T88" s="2882"/>
      <c r="U88" s="2882"/>
      <c r="V88" s="2882"/>
      <c r="W88" s="2882"/>
      <c r="X88" s="2882"/>
      <c r="Y88" s="2882"/>
      <c r="Z88" s="2882"/>
      <c r="AA88" s="2882"/>
      <c r="AB88" s="2882"/>
      <c r="AC88" s="2882"/>
      <c r="AD88" s="2882"/>
      <c r="AE88" s="2882"/>
    </row>
    <row r="89" spans="1:31" s="112" customFormat="1" ht="27.75" thickTop="1">
      <c r="A89" s="535"/>
      <c r="B89" s="494" t="s">
        <v>2606</v>
      </c>
      <c r="C89" s="529" t="s">
        <v>2417</v>
      </c>
      <c r="D89" s="529" t="s">
        <v>2418</v>
      </c>
      <c r="E89" s="529" t="s">
        <v>2419</v>
      </c>
      <c r="F89" s="529" t="s">
        <v>2420</v>
      </c>
      <c r="G89" s="529" t="s">
        <v>2421</v>
      </c>
      <c r="H89" s="534"/>
      <c r="I89" s="534"/>
      <c r="J89" s="534"/>
      <c r="K89" s="534"/>
      <c r="L89" s="534"/>
      <c r="M89" s="577"/>
      <c r="N89" s="2974"/>
      <c r="O89" s="2974"/>
      <c r="P89" s="3000"/>
      <c r="Q89" s="2961"/>
      <c r="R89" s="2882"/>
      <c r="S89" s="2882"/>
      <c r="T89" s="2882"/>
      <c r="U89" s="2882"/>
      <c r="V89" s="2882"/>
      <c r="W89" s="2882"/>
      <c r="X89" s="2882"/>
      <c r="Y89" s="2882"/>
      <c r="Z89" s="2882"/>
      <c r="AA89" s="2882"/>
      <c r="AB89" s="2882"/>
      <c r="AC89" s="2882"/>
      <c r="AD89" s="2882"/>
      <c r="AE89" s="2882"/>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6"/>
      <c r="O90" s="2976"/>
      <c r="P90" s="3000"/>
      <c r="Q90" s="2961"/>
      <c r="R90" s="2882"/>
      <c r="S90" s="2882"/>
      <c r="T90" s="2882"/>
      <c r="U90" s="2882"/>
      <c r="V90" s="2882"/>
      <c r="W90" s="2882"/>
      <c r="X90" s="2882"/>
      <c r="Y90" s="2882"/>
      <c r="Z90" s="2882"/>
      <c r="AA90" s="2882"/>
      <c r="AB90" s="2882"/>
      <c r="AC90" s="2882"/>
      <c r="AD90" s="2882"/>
      <c r="AE90" s="2882"/>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77"/>
      <c r="O91" s="2977"/>
      <c r="P91" s="3001"/>
      <c r="Q91" s="2968"/>
      <c r="R91" s="2969"/>
      <c r="S91" s="2969"/>
      <c r="T91" s="2969"/>
      <c r="U91" s="2969"/>
      <c r="V91" s="2969"/>
      <c r="W91" s="2969"/>
      <c r="X91" s="2969"/>
      <c r="Y91" s="2969"/>
      <c r="Z91" s="2969"/>
      <c r="AA91" s="2969"/>
      <c r="AB91" s="2969"/>
      <c r="AC91" s="2969"/>
      <c r="AD91" s="2969"/>
      <c r="AE91" s="296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7"/>
      <c r="O92" s="2977"/>
      <c r="P92" s="3001"/>
      <c r="Q92" s="2968"/>
      <c r="R92" s="2969"/>
      <c r="S92" s="2969"/>
      <c r="T92" s="2969"/>
      <c r="U92" s="2969"/>
      <c r="V92" s="2969"/>
      <c r="W92" s="2969"/>
      <c r="X92" s="2969"/>
      <c r="Y92" s="2969"/>
      <c r="Z92" s="2969"/>
      <c r="AA92" s="2969"/>
      <c r="AB92" s="2969"/>
      <c r="AC92" s="2969"/>
      <c r="AD92" s="2969"/>
      <c r="AE92" s="2969"/>
    </row>
    <row r="93" spans="1:31" s="429" customFormat="1" ht="15.75" thickTop="1">
      <c r="A93" s="509"/>
      <c r="B93" s="502" t="s">
        <v>2623</v>
      </c>
      <c r="C93" s="615" t="s">
        <v>2495</v>
      </c>
      <c r="D93" s="615" t="s">
        <v>2496</v>
      </c>
      <c r="E93" s="615" t="s">
        <v>2497</v>
      </c>
      <c r="F93" s="615" t="s">
        <v>2498</v>
      </c>
      <c r="G93" s="615" t="s">
        <v>2499</v>
      </c>
      <c r="H93" s="556"/>
      <c r="I93" s="556"/>
      <c r="J93" s="556"/>
      <c r="K93" s="556"/>
      <c r="L93" s="556"/>
      <c r="M93" s="558"/>
      <c r="N93" s="2977"/>
      <c r="O93" s="2977"/>
      <c r="P93" s="3001"/>
      <c r="Q93" s="2968"/>
      <c r="R93" s="2969"/>
      <c r="S93" s="2969"/>
      <c r="T93" s="2969"/>
      <c r="U93" s="2969"/>
      <c r="V93" s="2969"/>
      <c r="W93" s="2969"/>
      <c r="X93" s="2969"/>
      <c r="Y93" s="2969"/>
      <c r="Z93" s="2969"/>
      <c r="AA93" s="2969"/>
      <c r="AB93" s="2969"/>
      <c r="AC93" s="2969"/>
      <c r="AD93" s="2969"/>
      <c r="AE93" s="296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0"/>
      <c r="B97" s="494" t="s">
        <v>2511</v>
      </c>
      <c r="C97" s="510"/>
      <c r="D97" s="510"/>
      <c r="E97" s="510"/>
      <c r="F97" s="510"/>
      <c r="G97" s="510"/>
      <c r="H97" s="539"/>
      <c r="I97" s="539"/>
      <c r="J97" s="539"/>
      <c r="K97" s="540"/>
      <c r="L97" s="541"/>
      <c r="M97" s="542"/>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0"/>
      <c r="B99" s="494" t="s">
        <v>2570</v>
      </c>
      <c r="C99" s="539"/>
      <c r="D99" s="539"/>
      <c r="E99" s="539"/>
      <c r="F99" s="539"/>
      <c r="G99" s="539"/>
      <c r="H99" s="539"/>
      <c r="I99" s="539"/>
      <c r="J99" s="539"/>
      <c r="K99" s="540"/>
      <c r="L99" s="541"/>
      <c r="M99" s="542"/>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0"/>
      <c r="B101" s="502">
        <f>B31</f>
        <v>111</v>
      </c>
      <c r="C101" s="510"/>
      <c r="D101" s="510"/>
      <c r="E101" s="510"/>
      <c r="F101" s="510"/>
      <c r="G101" s="543"/>
      <c r="H101" s="543"/>
      <c r="I101" s="543"/>
      <c r="J101" s="543"/>
      <c r="K101" s="544"/>
      <c r="L101" s="545"/>
      <c r="M101" s="546"/>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0"/>
      <c r="B102" s="525"/>
      <c r="C102" s="516"/>
      <c r="D102" s="492"/>
      <c r="E102" s="492"/>
      <c r="F102" s="492"/>
      <c r="G102" s="547"/>
      <c r="H102" s="547"/>
      <c r="I102" s="547"/>
      <c r="J102" s="547"/>
      <c r="K102" s="547"/>
      <c r="L102" s="547"/>
      <c r="M102" s="548"/>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0"/>
      <c r="B103" s="494">
        <f>B32</f>
        <v>111</v>
      </c>
      <c r="C103" s="510"/>
      <c r="D103" s="510"/>
      <c r="E103" s="510"/>
      <c r="F103" s="510"/>
      <c r="G103" s="539"/>
      <c r="H103" s="539"/>
      <c r="I103" s="539"/>
      <c r="J103" s="539"/>
      <c r="K103" s="540"/>
      <c r="L103" s="541"/>
      <c r="M103" s="542"/>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0"/>
      <c r="B104" s="499"/>
      <c r="C104" s="516"/>
      <c r="D104" s="516"/>
      <c r="E104" s="516"/>
      <c r="F104" s="516"/>
      <c r="G104" s="492"/>
      <c r="H104" s="492"/>
      <c r="I104" s="492"/>
      <c r="J104" s="492"/>
      <c r="K104" s="492"/>
      <c r="L104" s="492"/>
      <c r="M104" s="493"/>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29" customFormat="1" ht="15" thickTop="1">
      <c r="A105" s="549"/>
      <c r="B105" s="550">
        <f>B33</f>
        <v>111</v>
      </c>
      <c r="C105" s="479"/>
      <c r="D105" s="479"/>
      <c r="E105" s="479"/>
      <c r="F105" s="479"/>
      <c r="G105" s="551"/>
      <c r="H105" s="551"/>
      <c r="I105" s="551"/>
      <c r="J105" s="552"/>
      <c r="K105" s="552"/>
      <c r="L105" s="553"/>
      <c r="M105" s="554"/>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29" customFormat="1" ht="15.75" thickBot="1">
      <c r="A106" s="509"/>
      <c r="B106" s="502"/>
      <c r="C106" s="526"/>
      <c r="D106" s="526"/>
      <c r="E106" s="526"/>
      <c r="F106" s="526"/>
      <c r="G106" s="632"/>
      <c r="H106" s="632"/>
      <c r="I106" s="632"/>
      <c r="J106" s="632"/>
      <c r="K106" s="632"/>
      <c r="L106" s="632"/>
      <c r="M106" s="654"/>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3" t="s">
        <v>2383</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0"/>
      <c r="B108" s="502"/>
      <c r="C108" s="551"/>
      <c r="D108" s="551"/>
      <c r="E108" s="551"/>
      <c r="F108" s="551"/>
      <c r="G108" s="551"/>
      <c r="H108" s="551"/>
      <c r="I108" s="551"/>
      <c r="J108" s="552"/>
      <c r="K108" s="552"/>
      <c r="L108" s="553"/>
      <c r="M108" s="554"/>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0"/>
      <c r="B109" s="499"/>
      <c r="C109" s="526"/>
      <c r="D109" s="547"/>
      <c r="E109" s="547"/>
      <c r="F109" s="547"/>
      <c r="G109" s="547"/>
      <c r="H109" s="547"/>
      <c r="I109" s="547"/>
      <c r="J109" s="547"/>
      <c r="K109" s="547"/>
      <c r="L109" s="547"/>
      <c r="M109" s="548"/>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5"/>
      <c r="B110" s="494" t="s">
        <v>2612</v>
      </c>
      <c r="C110" s="539"/>
      <c r="D110" s="539"/>
      <c r="E110" s="539"/>
      <c r="F110" s="539"/>
      <c r="G110" s="539"/>
      <c r="H110" s="539"/>
      <c r="I110" s="539"/>
      <c r="J110" s="539"/>
      <c r="K110" s="540"/>
      <c r="L110" s="541"/>
      <c r="M110" s="542"/>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29" customFormat="1" ht="15" thickTop="1">
      <c r="A112" s="549"/>
      <c r="B112" s="494" t="s">
        <v>2614</v>
      </c>
      <c r="C112" s="510"/>
      <c r="D112" s="510"/>
      <c r="E112" s="510"/>
      <c r="F112" s="510"/>
      <c r="G112" s="510"/>
      <c r="H112" s="539"/>
      <c r="I112" s="539"/>
      <c r="J112" s="539"/>
      <c r="K112" s="540"/>
      <c r="L112" s="541"/>
      <c r="M112" s="542"/>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5"/>
      <c r="B114" s="494" t="s">
        <v>2615</v>
      </c>
      <c r="C114" s="510"/>
      <c r="D114" s="510"/>
      <c r="E114" s="539"/>
      <c r="F114" s="539"/>
      <c r="G114" s="539"/>
      <c r="H114" s="539"/>
      <c r="I114" s="539"/>
      <c r="J114" s="539"/>
      <c r="K114" s="540"/>
      <c r="L114" s="541"/>
      <c r="M114" s="542"/>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5"/>
      <c r="B116" s="494">
        <f>B38</f>
        <v>111</v>
      </c>
      <c r="C116" s="510"/>
      <c r="D116" s="510"/>
      <c r="E116" s="510"/>
      <c r="F116" s="510"/>
      <c r="G116" s="510"/>
      <c r="H116" s="539"/>
      <c r="I116" s="539"/>
      <c r="J116" s="539"/>
      <c r="K116" s="540"/>
      <c r="L116" s="541"/>
      <c r="M116" s="542"/>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0"/>
      <c r="B117" s="499"/>
      <c r="C117" s="516"/>
      <c r="D117" s="492"/>
      <c r="E117" s="492"/>
      <c r="F117" s="492"/>
      <c r="G117" s="492"/>
      <c r="H117" s="492"/>
      <c r="I117" s="492"/>
      <c r="J117" s="492"/>
      <c r="K117" s="492"/>
      <c r="L117" s="492"/>
      <c r="M117" s="493"/>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5"/>
      <c r="B118" s="494">
        <f>B39</f>
        <v>111</v>
      </c>
      <c r="C118" s="510"/>
      <c r="D118" s="510"/>
      <c r="E118" s="510"/>
      <c r="F118" s="510"/>
      <c r="G118" s="539"/>
      <c r="H118" s="539"/>
      <c r="I118" s="539"/>
      <c r="J118" s="539"/>
      <c r="K118" s="540"/>
      <c r="L118" s="541"/>
      <c r="M118" s="542"/>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0"/>
      <c r="B119" s="499"/>
      <c r="C119" s="516"/>
      <c r="D119" s="516"/>
      <c r="E119" s="516"/>
      <c r="F119" s="516"/>
      <c r="G119" s="492"/>
      <c r="H119" s="492"/>
      <c r="I119" s="492"/>
      <c r="J119" s="492"/>
      <c r="K119" s="492"/>
      <c r="L119" s="492"/>
      <c r="M119" s="493"/>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29" customFormat="1" ht="15" thickTop="1">
      <c r="A120" s="549"/>
      <c r="B120" s="494">
        <f>B40</f>
        <v>111</v>
      </c>
      <c r="C120" s="479"/>
      <c r="D120" s="479"/>
      <c r="E120" s="479"/>
      <c r="F120" s="479"/>
      <c r="G120" s="511"/>
      <c r="H120" s="511"/>
      <c r="I120" s="511"/>
      <c r="J120" s="511"/>
      <c r="K120" s="511"/>
      <c r="L120" s="512"/>
      <c r="M120" s="513"/>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29" customFormat="1" ht="15.75" thickBot="1">
      <c r="A121" s="524"/>
      <c r="B121" s="655"/>
      <c r="C121" s="526"/>
      <c r="D121" s="526"/>
      <c r="E121" s="526"/>
      <c r="F121" s="526"/>
      <c r="G121" s="547"/>
      <c r="H121" s="547"/>
      <c r="I121" s="547"/>
      <c r="J121" s="547"/>
      <c r="K121" s="547"/>
      <c r="L121" s="547"/>
      <c r="M121" s="548"/>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B00-000000000000}">
      <formula1>单价内涵</formula1>
    </dataValidation>
    <dataValidation type="list" allowBlank="1" showInputMessage="1" showErrorMessage="1" sqref="C22 E22 G22 I22" xr:uid="{00000000-0002-0000-2B00-000001000000}">
      <formula1>环境</formula1>
    </dataValidation>
    <dataValidation type="list" allowBlank="1" showInputMessage="1" showErrorMessage="1" sqref="E18 C18 G18 I18" xr:uid="{00000000-0002-0000-2B00-000002000000}">
      <formula1>交通便捷度</formula1>
    </dataValidation>
    <dataValidation type="list" allowBlank="1" showInputMessage="1" showErrorMessage="1" sqref="E24 C24 G24 I24" xr:uid="{00000000-0002-0000-2B00-000003000000}">
      <formula1>公共配套设施</formula1>
    </dataValidation>
    <dataValidation type="list" allowBlank="1" showInputMessage="1" showErrorMessage="1" sqref="C8 E8 G8 I8" xr:uid="{00000000-0002-0000-2B00-000004000000}">
      <formula1>套工交易情况</formula1>
    </dataValidation>
    <dataValidation type="list" allowBlank="1" showInputMessage="1" showErrorMessage="1" sqref="C9 E9 G9 I9" xr:uid="{00000000-0002-0000-2B00-000005000000}">
      <formula1>套工用途</formula1>
    </dataValidation>
    <dataValidation type="list" allowBlank="1" showInputMessage="1" showErrorMessage="1" sqref="I30 E30 G30" xr:uid="{00000000-0002-0000-2B00-000006000000}">
      <formula1>套工土地级别</formula1>
    </dataValidation>
    <dataValidation type="list" allowBlank="1" showInputMessage="1" showErrorMessage="1" sqref="C27 E27 G27 I27" xr:uid="{00000000-0002-0000-2B00-000007000000}">
      <formula1>临街状况</formula1>
    </dataValidation>
    <dataValidation type="list" allowBlank="1" showInputMessage="1" showErrorMessage="1" sqref="E20 G20 I20 C20" xr:uid="{00000000-0002-0000-2B00-000008000000}">
      <formula1>区域土地利用方向</formula1>
    </dataValidation>
    <dataValidation type="list" allowBlank="1" showInputMessage="1" showErrorMessage="1" sqref="C50" xr:uid="{00000000-0002-0000-2B00-000009000000}">
      <formula1>"北京市系数,其他省市系数"</formula1>
    </dataValidation>
    <dataValidation type="list" allowBlank="1" showInputMessage="1" showErrorMessage="1" sqref="C16 E16 G16 I16" xr:uid="{00000000-0002-0000-2B00-00000A000000}">
      <formula1>产业集聚程度</formula1>
    </dataValidation>
    <dataValidation type="list" allowBlank="1" showInputMessage="1" showErrorMessage="1" sqref="C29 E29 G29 I29" xr:uid="{00000000-0002-0000-2B00-00000B000000}">
      <formula1>套工道路等级</formula1>
    </dataValidation>
    <dataValidation type="list" allowBlank="1" showInputMessage="1" showErrorMessage="1" sqref="C35 E35 G35 I35" xr:uid="{00000000-0002-0000-2B00-00000C000000}">
      <formula1>套工宗地形状</formula1>
    </dataValidation>
    <dataValidation type="list" allowBlank="1" showInputMessage="1" showErrorMessage="1" sqref="C36 E36 G36 I36" xr:uid="{00000000-0002-0000-2B00-00000D000000}">
      <formula1>套工宗地开发程度</formula1>
    </dataValidation>
    <dataValidation type="list" allowBlank="1" showInputMessage="1" showErrorMessage="1" sqref="C37 E37 G37 I37" xr:uid="{00000000-0002-0000-2B00-00000E000000}">
      <formula1>套工地质条件</formula1>
    </dataValidation>
    <dataValidation type="list" allowBlank="1" showInputMessage="1" showErrorMessage="1" sqref="G58" xr:uid="{00000000-0002-0000-2B00-00000F000000}">
      <formula1>"住宅,工业"</formula1>
    </dataValidation>
    <dataValidation type="list" allowBlank="1" showInputMessage="1" showErrorMessage="1" sqref="G57" xr:uid="{00000000-0002-0000-2B00-000010000000}">
      <formula1>"商业,办公,住宅,工业"</formula1>
    </dataValidation>
    <dataValidation type="list" allowBlank="1" showInputMessage="1" showErrorMessage="1" sqref="D52:D60" xr:uid="{00000000-0002-0000-2B00-000011000000}">
      <formula1>"25%,1"</formula1>
    </dataValidation>
    <dataValidation type="list" allowBlank="1" showInputMessage="1" showErrorMessage="1" sqref="C26 E26 G26 I26" xr:uid="{00000000-0002-0000-2B00-000012000000}">
      <formula1>基础设施水平</formula1>
    </dataValidation>
    <dataValidation type="list" allowBlank="1" showInputMessage="1" showErrorMessage="1" sqref="D42" xr:uid="{00000000-0002-0000-2B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2624</v>
      </c>
      <c r="B1" s="202"/>
      <c r="C1" s="206" t="s">
        <v>2625</v>
      </c>
      <c r="D1" s="347">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2" t="s">
        <v>2627</v>
      </c>
      <c r="S1" s="1372" t="s">
        <v>2628</v>
      </c>
      <c r="T1" s="1372" t="s">
        <v>2629</v>
      </c>
      <c r="U1" s="1372" t="s">
        <v>2630</v>
      </c>
      <c r="V1" s="1372" t="s">
        <v>2631</v>
      </c>
      <c r="W1" s="1376"/>
      <c r="X1" s="1376"/>
      <c r="Y1" s="1376"/>
      <c r="Z1" s="1376"/>
      <c r="AA1" s="1376"/>
      <c r="AB1" s="1376"/>
      <c r="AC1" s="1377"/>
      <c r="AD1" s="1378"/>
      <c r="AE1" s="1378"/>
      <c r="AF1" s="1378"/>
      <c r="AG1" s="1378"/>
      <c r="AH1" s="1378"/>
      <c r="AI1" s="1378"/>
      <c r="AJ1" s="1379"/>
    </row>
    <row r="2" spans="1:36" ht="15.75">
      <c r="A2" s="206" t="s">
        <v>2632</v>
      </c>
      <c r="B2" s="209"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2638</v>
      </c>
      <c r="B3" s="209" t="e">
        <f>ROUND(B2*10000/D1,0)</f>
        <v>#DIV/0!</v>
      </c>
      <c r="C3" s="2182" t="s">
        <v>2639</v>
      </c>
      <c r="D3" s="2183" t="s">
        <v>2640</v>
      </c>
      <c r="E3" s="2188"/>
      <c r="F3" s="2189" t="s">
        <v>2641</v>
      </c>
      <c r="G3" s="854">
        <f>IF(F3="宗地容积率",'数据-汇总表'!I4,IF(F3="估价对象容积率",'数据-汇总表'!I6,'数据-汇总表'!I7))</f>
        <v>0.68</v>
      </c>
      <c r="H3" s="174"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598"/>
      <c r="B4" s="3599"/>
      <c r="C4" s="3599"/>
      <c r="D4" s="3600"/>
      <c r="E4" s="3600"/>
      <c r="F4" s="3600"/>
      <c r="G4" s="3600"/>
      <c r="H4" s="3600"/>
      <c r="I4" s="3600"/>
      <c r="J4" s="3601"/>
      <c r="K4" s="1279"/>
      <c r="L4" s="2187" t="s">
        <v>2645</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9" customFormat="1" ht="15.75" thickBot="1">
      <c r="A5" s="2190" t="s">
        <v>807</v>
      </c>
      <c r="B5" s="2191" t="s">
        <v>2646</v>
      </c>
      <c r="C5" s="855" t="e">
        <f>ROUND(IF(E2="商业",C6*C7+C16,(IF(E2="住宅",C6*C12+C16,C6+C16))),0)</f>
        <v>#DIV/0!</v>
      </c>
      <c r="D5" s="1521" t="e">
        <f>ROUND(C6+C16,0)</f>
        <v>#DIV/0!</v>
      </c>
      <c r="E5" s="1521"/>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6"/>
      <c r="L6" s="2187" t="s">
        <v>2651</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6"/>
      <c r="AD6" s="2197"/>
      <c r="AE6" s="2197"/>
      <c r="AF6" s="2197"/>
      <c r="AG6" s="2197"/>
      <c r="AH6" s="2197"/>
      <c r="AI6" s="2197"/>
      <c r="AJ6" s="2198"/>
    </row>
    <row r="7" spans="1:36" ht="24">
      <c r="A7" s="3579" t="str">
        <f>IF(E2="商业",IF(C8="不临58条商业街","",2),"")</f>
        <v/>
      </c>
      <c r="B7" s="2206" t="s">
        <v>2652</v>
      </c>
      <c r="C7" s="857" t="e">
        <f>IF(C8="不临58条商业街",1,ROUND(1+(1.6*E8+1.2*E9+0.8*E10+0.4*E11)*C9,4))</f>
        <v>#DIV/0!</v>
      </c>
      <c r="D7" s="2207" t="s">
        <v>2653</v>
      </c>
      <c r="E7" s="881"/>
      <c r="F7" s="2208"/>
      <c r="G7" s="2209"/>
      <c r="H7" s="2209"/>
      <c r="I7" s="2209"/>
      <c r="J7" s="2210"/>
      <c r="K7" s="1566"/>
      <c r="L7" s="2187" t="s">
        <v>2654</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2655</v>
      </c>
      <c r="X7" s="1374">
        <f>G2</f>
        <v>0</v>
      </c>
      <c r="Y7" s="1374" t="s">
        <v>2656</v>
      </c>
      <c r="Z7" s="1375">
        <f>G3</f>
        <v>0.68</v>
      </c>
      <c r="AA7" s="1376"/>
      <c r="AB7" s="1376"/>
      <c r="AC7" s="1377"/>
      <c r="AD7" s="1378"/>
      <c r="AE7" s="1378"/>
      <c r="AF7" s="1378"/>
      <c r="AG7" s="1378"/>
      <c r="AH7" s="1378"/>
      <c r="AI7" s="1378"/>
      <c r="AJ7" s="1379"/>
    </row>
    <row r="8" spans="1:36" ht="15">
      <c r="A8" s="3602"/>
      <c r="B8" s="174"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595" t="s">
        <v>2660</v>
      </c>
      <c r="X8" s="3596"/>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602"/>
      <c r="B9" s="174" t="s">
        <v>2673</v>
      </c>
      <c r="C9" s="860">
        <f>SUMIF(修正!C59:C119,C8,修正!E59:E119)</f>
        <v>0</v>
      </c>
      <c r="D9" s="175" t="s">
        <v>140</v>
      </c>
      <c r="E9" s="175"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597"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602"/>
      <c r="B10" s="174" t="s">
        <v>2678</v>
      </c>
      <c r="C10" s="175">
        <f>SUMIF(修正!C59:C119,C8,修正!F59:F119)</f>
        <v>0</v>
      </c>
      <c r="D10" s="175" t="s">
        <v>141</v>
      </c>
      <c r="E10" s="175"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59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602"/>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597" t="s">
        <v>2684</v>
      </c>
      <c r="X11" s="1384" t="s">
        <v>2685</v>
      </c>
      <c r="Y11" s="1385">
        <f>$G$3</f>
        <v>0.68</v>
      </c>
      <c r="Z11" s="1385">
        <f t="shared" ref="Z11:AJ11" si="3">$G$3</f>
        <v>0.68</v>
      </c>
      <c r="AA11" s="1385">
        <f t="shared" si="3"/>
        <v>0.68</v>
      </c>
      <c r="AB11" s="1385">
        <f t="shared" si="3"/>
        <v>0.68</v>
      </c>
      <c r="AC11" s="1385">
        <f t="shared" si="3"/>
        <v>0.68</v>
      </c>
      <c r="AD11" s="1385">
        <f t="shared" si="3"/>
        <v>0.68</v>
      </c>
      <c r="AE11" s="1385">
        <f t="shared" si="3"/>
        <v>0.68</v>
      </c>
      <c r="AF11" s="1385">
        <f t="shared" si="3"/>
        <v>0.68</v>
      </c>
      <c r="AG11" s="1385">
        <f t="shared" si="3"/>
        <v>0.68</v>
      </c>
      <c r="AH11" s="1385">
        <f t="shared" si="3"/>
        <v>0.68</v>
      </c>
      <c r="AI11" s="1385">
        <f t="shared" si="3"/>
        <v>0.68</v>
      </c>
      <c r="AJ11" s="1385">
        <f t="shared" si="3"/>
        <v>0.68</v>
      </c>
    </row>
    <row r="12" spans="1:36" ht="25.5" thickBot="1">
      <c r="A12" s="3579"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597"/>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603"/>
      <c r="B13" s="2225" t="s">
        <v>2691</v>
      </c>
      <c r="C13" s="2226" t="s">
        <v>2692</v>
      </c>
      <c r="D13" s="1532" t="s">
        <v>2693</v>
      </c>
      <c r="E13" s="1532" t="s">
        <v>2694</v>
      </c>
      <c r="F13" s="29" t="s">
        <v>2695</v>
      </c>
      <c r="G13" s="2227" t="s">
        <v>2696</v>
      </c>
      <c r="H13" s="2227" t="s">
        <v>2696</v>
      </c>
      <c r="I13" s="2227" t="s">
        <v>2696</v>
      </c>
      <c r="J13" s="2228" t="s">
        <v>2696</v>
      </c>
      <c r="K13" s="1279"/>
      <c r="L13" s="1279"/>
      <c r="M13" s="1279"/>
      <c r="N13" s="1279"/>
      <c r="O13" s="1279"/>
      <c r="P13" s="1279"/>
      <c r="Q13" s="1279"/>
      <c r="R13" s="1372">
        <v>12</v>
      </c>
      <c r="S13" s="1373"/>
      <c r="T13" s="1372" t="e">
        <f t="shared" si="0"/>
        <v>#DIV/0!</v>
      </c>
      <c r="U13" s="1373"/>
      <c r="V13" s="1372" t="e">
        <f t="shared" si="1"/>
        <v>#DIV/0!</v>
      </c>
      <c r="W13" s="3597"/>
      <c r="X13" s="1386"/>
      <c r="Y13" s="1383">
        <f>(-0.163*(Y12^2)-0.59*Y12+7617)*(10^(-4))/Y11</f>
        <v>1.1201470588235294</v>
      </c>
      <c r="Z13" s="1383">
        <f t="shared" ref="Z13:AJ13" si="5">(-0.163*(Z12^2)-0.59*Z12+7617)*(10^(-4))/Z11</f>
        <v>1.1201470588235294</v>
      </c>
      <c r="AA13" s="1383">
        <f t="shared" si="5"/>
        <v>1.1201470588235294</v>
      </c>
      <c r="AB13" s="1383">
        <f t="shared" si="5"/>
        <v>1.1201470588235294</v>
      </c>
      <c r="AC13" s="1383">
        <f t="shared" si="5"/>
        <v>1.1201470588235294</v>
      </c>
      <c r="AD13" s="1383">
        <f t="shared" si="5"/>
        <v>1.1201470588235294</v>
      </c>
      <c r="AE13" s="1383">
        <f t="shared" si="5"/>
        <v>1.1201470588235294</v>
      </c>
      <c r="AF13" s="1383">
        <f t="shared" si="5"/>
        <v>1.1201470588235294</v>
      </c>
      <c r="AG13" s="1383">
        <f t="shared" si="5"/>
        <v>1.1201470588235294</v>
      </c>
      <c r="AH13" s="1383">
        <f t="shared" si="5"/>
        <v>1.1201470588235294</v>
      </c>
      <c r="AI13" s="1383">
        <f t="shared" si="5"/>
        <v>1.1201470588235294</v>
      </c>
      <c r="AJ13" s="1383">
        <f t="shared" si="5"/>
        <v>1.1201470588235294</v>
      </c>
    </row>
    <row r="14" spans="1:36" ht="15">
      <c r="A14" s="3603"/>
      <c r="B14" s="2229"/>
      <c r="C14" s="2230"/>
      <c r="D14" s="2231"/>
      <c r="E14" s="2231"/>
      <c r="F14" s="2232"/>
      <c r="G14" s="2233" t="s">
        <v>2697</v>
      </c>
      <c r="H14" s="2234"/>
      <c r="I14" s="2235"/>
      <c r="J14" s="2236"/>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3"/>
      <c r="AE14" s="3013"/>
      <c r="AF14" s="3013"/>
      <c r="AG14" s="3013"/>
      <c r="AH14" s="3013"/>
      <c r="AI14" s="3013"/>
      <c r="AJ14" s="3014"/>
    </row>
    <row r="15" spans="1:36" ht="15.75" thickBot="1">
      <c r="A15" s="3604"/>
      <c r="B15" s="2237" t="s">
        <v>2698</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2">
        <v>14</v>
      </c>
      <c r="S15" s="1373"/>
      <c r="T15" s="1372" t="e">
        <f t="shared" si="0"/>
        <v>#DIV/0!</v>
      </c>
      <c r="U15" s="1373"/>
      <c r="V15" s="1372" t="e">
        <f t="shared" si="1"/>
        <v>#DIV/0!</v>
      </c>
      <c r="W15" s="1376"/>
      <c r="X15" s="1376"/>
      <c r="Y15" s="1376"/>
      <c r="Z15" s="1376"/>
      <c r="AA15" s="1376"/>
      <c r="AB15" s="1376"/>
      <c r="AC15" s="1377"/>
      <c r="AD15" s="3013"/>
      <c r="AE15" s="3013"/>
      <c r="AF15" s="3013"/>
      <c r="AG15" s="3013"/>
      <c r="AH15" s="3013"/>
      <c r="AI15" s="3013"/>
      <c r="AJ15" s="3014"/>
    </row>
    <row r="16" spans="1:36" ht="24.6" customHeight="1">
      <c r="A16" s="3579" t="s">
        <v>2703</v>
      </c>
      <c r="B16" s="2206" t="s">
        <v>2704</v>
      </c>
      <c r="C16" s="2368" t="e">
        <f>ROUND(IF(F17="与级别开发程度一致",0,(G17-E17)/C17),0)</f>
        <v>#DIV/0!</v>
      </c>
      <c r="D16" s="3592" t="s">
        <v>2708</v>
      </c>
      <c r="E16" s="3593"/>
      <c r="F16" s="3592" t="s">
        <v>2705</v>
      </c>
      <c r="G16" s="3593"/>
      <c r="H16" s="2238"/>
      <c r="I16" s="2238"/>
      <c r="J16" s="2372"/>
      <c r="K16" s="2238"/>
      <c r="L16" s="2238"/>
      <c r="M16" s="2238"/>
      <c r="N16" s="2238"/>
      <c r="O16" s="2239"/>
      <c r="P16" s="2180"/>
      <c r="Q16" s="1279"/>
      <c r="R16" s="1372">
        <v>15</v>
      </c>
      <c r="S16" s="1373"/>
      <c r="T16" s="1372" t="e">
        <f t="shared" si="0"/>
        <v>#DIV/0!</v>
      </c>
      <c r="U16" s="1373"/>
      <c r="V16" s="1372" t="e">
        <f t="shared" si="1"/>
        <v>#DIV/0!</v>
      </c>
      <c r="W16" s="1376"/>
      <c r="X16" s="1376"/>
      <c r="Y16" s="1376"/>
      <c r="Z16" s="1376"/>
      <c r="AA16" s="1376"/>
      <c r="AB16" s="1376"/>
      <c r="AC16" s="1377"/>
      <c r="AD16" s="3013"/>
      <c r="AE16" s="3013"/>
      <c r="AF16" s="3013"/>
      <c r="AG16" s="3013"/>
      <c r="AH16" s="3013"/>
      <c r="AI16" s="3013"/>
      <c r="AJ16" s="3014"/>
    </row>
    <row r="17" spans="1:37" ht="13.5" thickBot="1">
      <c r="A17" s="3580"/>
      <c r="B17" s="2379" t="s">
        <v>2707</v>
      </c>
      <c r="C17" s="2380">
        <f>SUMPRODUCT((修正!A2:A5=E2)*(修正!B1:M1=G2)*(修正!B2:M5))</f>
        <v>0</v>
      </c>
      <c r="D17" s="192"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12"/>
      <c r="M18" s="3012"/>
      <c r="N18" s="301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2"/>
    </row>
    <row r="19" spans="1:37" s="2199" customFormat="1" ht="27.75" thickBot="1">
      <c r="A19" s="2243" t="s">
        <v>809</v>
      </c>
      <c r="B19" s="2244" t="s">
        <v>2711</v>
      </c>
      <c r="C19" s="862" t="e">
        <f>ROUND(IF(H19="按公示增长率计算",SUMPRODUCT((地价!A3:A35=YEAR(G19)&amp;"-"&amp;ROUNDUP(MONTH(G19)/3,0))*(地价!X2:AB2=E2)*(地价!X3:AB35)),IF(H19="地价指数",M20/M19,(1+I19)^O19)),4)</f>
        <v>#VALUE!</v>
      </c>
      <c r="D19" s="2248" t="s">
        <v>2712</v>
      </c>
      <c r="E19" s="863">
        <v>41640</v>
      </c>
      <c r="F19" s="2248" t="s">
        <v>2713</v>
      </c>
      <c r="G19" s="864">
        <f>'数据-取费表'!B2</f>
        <v>44495</v>
      </c>
      <c r="H19" s="2249"/>
      <c r="I19" s="865" t="str">
        <f>IF(H19="季度增幅（自定义）",SUMIF(N21:N24,E2,O21:O24),"")</f>
        <v/>
      </c>
      <c r="J19" s="2246"/>
      <c r="K19" s="1286"/>
      <c r="L19" s="2250" t="s">
        <v>2714</v>
      </c>
      <c r="M19" s="1494">
        <f>ROUND(SUMIF(地价!B2:F2,E2,地价!B35:F35),0)</f>
        <v>0</v>
      </c>
      <c r="N19" s="2251"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15"/>
      <c r="AH19" s="2337"/>
      <c r="AI19" s="3016"/>
      <c r="AJ19" s="3016"/>
      <c r="AK19" s="2252"/>
    </row>
    <row r="20" spans="1:37" s="2199" customFormat="1" ht="27.75" thickBot="1">
      <c r="A20" s="2253" t="s">
        <v>810</v>
      </c>
      <c r="B20" s="2254" t="s">
        <v>2716</v>
      </c>
      <c r="C20" s="867" t="e">
        <f>ROUND(POWER(1+G20,J20-I20)*(POWER(1+G20,I20)-1)/(POWER(1+G20,J20)-1),4)</f>
        <v>#DIV/0!</v>
      </c>
      <c r="D20" s="2255" t="s">
        <v>2717</v>
      </c>
      <c r="E20" s="1503">
        <f>存贷款利率!E18/100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5">
        <f>ROUND(SUMPRODUCT((地价!A4:A35=YEAR(G19)&amp;"-"&amp;ROUNDUP(MONTH(G19)/3,0))*(地价!B2:F2=E2)*(地价!B4:F35)),0)</f>
        <v>0</v>
      </c>
      <c r="N20" s="2257" t="s">
        <v>2720</v>
      </c>
      <c r="O20" s="2258" t="s">
        <v>2721</v>
      </c>
      <c r="P20" s="2259" t="s">
        <v>2722</v>
      </c>
      <c r="Q20" s="3012"/>
      <c r="R20" s="1285"/>
      <c r="S20" s="1285"/>
      <c r="T20" s="1280"/>
      <c r="U20" s="1280"/>
      <c r="V20" s="1280"/>
      <c r="W20" s="1279"/>
      <c r="X20" s="1279"/>
      <c r="Y20" s="1279"/>
      <c r="Z20" s="1286"/>
      <c r="AA20" s="1286"/>
      <c r="AB20" s="1286"/>
      <c r="AC20" s="1286"/>
      <c r="AD20" s="1286"/>
      <c r="AE20" s="1286"/>
      <c r="AF20" s="1286"/>
      <c r="AG20" s="3012"/>
      <c r="AH20" s="3012"/>
      <c r="AI20" s="3012"/>
      <c r="AJ20" s="3012"/>
    </row>
    <row r="21" spans="1:37" s="2199" customFormat="1" ht="15">
      <c r="A21" s="2260" t="s">
        <v>811</v>
      </c>
      <c r="B21" s="2261" t="s">
        <v>2723</v>
      </c>
      <c r="C21" s="875">
        <f>IF(B21="容积率修正",IF(G3&lt;=10,D22,J22),C23)</f>
        <v>0</v>
      </c>
      <c r="D21" s="2262"/>
      <c r="E21" s="2262"/>
      <c r="F21" s="2262"/>
      <c r="G21" s="2262"/>
      <c r="H21" s="2262"/>
      <c r="I21" s="2262"/>
      <c r="J21" s="2263"/>
      <c r="K21" s="1286"/>
      <c r="L21" s="3012"/>
      <c r="M21" s="3012"/>
      <c r="N21" s="2264" t="s">
        <v>2724</v>
      </c>
      <c r="O21" s="1334"/>
      <c r="P21" s="1335">
        <f>SUMPRODUCT((地价!A3:A35=YEAR(G19)&amp;"-"&amp;ROUNDUP(MONTH(G19)/3,0))*(地价!AD2:AH2=N21)*(地价!AD3:AH35))</f>
        <v>0</v>
      </c>
      <c r="Q21" s="3012"/>
      <c r="R21" s="1285"/>
      <c r="S21" s="1285"/>
      <c r="T21" s="1280"/>
      <c r="U21" s="1280"/>
      <c r="V21" s="1280"/>
      <c r="W21" s="1279"/>
      <c r="X21" s="1279"/>
      <c r="Y21" s="1279"/>
      <c r="Z21" s="1286"/>
      <c r="AA21" s="1286"/>
      <c r="AB21" s="1286"/>
      <c r="AC21" s="1286"/>
      <c r="AD21" s="1286"/>
      <c r="AE21" s="1286"/>
      <c r="AF21" s="1286"/>
      <c r="AG21" s="3012"/>
      <c r="AH21" s="3012"/>
      <c r="AI21" s="3012"/>
      <c r="AJ21" s="3012"/>
    </row>
    <row r="22" spans="1:37" s="2199" customFormat="1" ht="14.25">
      <c r="A22" s="2138" t="s">
        <v>2725</v>
      </c>
      <c r="B22" s="2265" t="s">
        <v>2726</v>
      </c>
      <c r="C22" s="1534" t="s">
        <v>2727</v>
      </c>
      <c r="D22" s="1534">
        <f>IF(E22=G22,F22,IF(G3&lt;=10,ROUND(F22+(H22-F22)*(G3-E22)/(G22-E22),4),"——"))</f>
        <v>0</v>
      </c>
      <c r="E22" s="854">
        <f>ROUNDDOWN(G3,1)</f>
        <v>0.6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0.7</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2"/>
      <c r="M22" s="3012"/>
      <c r="N22" s="2264" t="s">
        <v>2728</v>
      </c>
      <c r="O22" s="1334"/>
      <c r="P22" s="1335">
        <f>SUMPRODUCT((地价!A3:A35=YEAR(G19)&amp;"-"&amp;ROUNDUP(MONTH(G19)/3,0))*(地价!AD2:AH2=N22)*(地价!AD3:AH35))</f>
        <v>0</v>
      </c>
      <c r="Q22" s="3012"/>
      <c r="R22" s="1285"/>
      <c r="S22" s="1285"/>
      <c r="T22" s="1280"/>
      <c r="U22" s="1280"/>
      <c r="V22" s="1280"/>
      <c r="W22" s="1279"/>
      <c r="X22" s="1279"/>
      <c r="Y22" s="1279"/>
      <c r="Z22" s="1286"/>
      <c r="AA22" s="1286"/>
      <c r="AB22" s="1286"/>
      <c r="AC22" s="1286"/>
      <c r="AD22" s="1286"/>
      <c r="AE22" s="1286"/>
      <c r="AF22" s="1286"/>
      <c r="AG22" s="3012"/>
      <c r="AH22" s="3012"/>
      <c r="AI22" s="3012"/>
      <c r="AJ22" s="3012"/>
    </row>
    <row r="23" spans="1:37" ht="27.75" thickBot="1">
      <c r="A23" s="2138" t="s">
        <v>2729</v>
      </c>
      <c r="B23" s="2266" t="s">
        <v>2730</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2731</v>
      </c>
      <c r="O23" s="1334"/>
      <c r="P23" s="1335">
        <f>SUMPRODUCT((地价!A3:A35=YEAR(G19)&amp;"-"&amp;ROUNDUP(MONTH(G19)/3,0))*(地价!AD2:AH2=N23)*(地价!AD3:AH35))</f>
        <v>0</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12"/>
      <c r="M24" s="3012"/>
      <c r="N24" s="2274" t="s">
        <v>2733</v>
      </c>
      <c r="O24" s="1336"/>
      <c r="P24" s="1337">
        <f>SUMPRODUCT((地价!A3:A35=YEAR(G19)&amp;"-"&amp;ROUNDUP(MONTH(G19)/3,0))*(地价!AD2:AH2=N24)*(地价!AD3:AH35))</f>
        <v>0</v>
      </c>
      <c r="Q24" s="3012"/>
      <c r="R24" s="1285"/>
      <c r="S24" s="1285"/>
      <c r="T24" s="1280"/>
      <c r="U24" s="1280"/>
      <c r="V24" s="1280"/>
      <c r="W24" s="1279"/>
      <c r="X24" s="1279"/>
      <c r="Y24" s="1279"/>
      <c r="Z24" s="1286"/>
      <c r="AA24" s="1286"/>
      <c r="AB24" s="1286"/>
      <c r="AC24" s="1286"/>
      <c r="AD24" s="1286"/>
      <c r="AE24" s="1286"/>
      <c r="AF24" s="1286"/>
      <c r="AG24" s="3012"/>
      <c r="AH24" s="3012"/>
      <c r="AI24" s="3012"/>
      <c r="AJ24" s="3012"/>
    </row>
    <row r="25" spans="1:37" ht="15.75" thickBot="1">
      <c r="A25" s="2253" t="s">
        <v>813</v>
      </c>
      <c r="B25" s="2275" t="s">
        <v>2734</v>
      </c>
      <c r="C25" s="868"/>
      <c r="D25" s="2209"/>
      <c r="E25" s="2209"/>
      <c r="F25" s="2276"/>
      <c r="G25" s="2209"/>
      <c r="H25" s="2209"/>
      <c r="I25" s="2209"/>
      <c r="J25" s="2210"/>
      <c r="K25" s="1279"/>
      <c r="L25" s="2180"/>
      <c r="M25" s="2180"/>
      <c r="N25" s="3007" t="s">
        <v>2735</v>
      </c>
      <c r="O25" s="3008"/>
      <c r="P25" s="3009">
        <f>SUMPRODUCT((地价!A3:A35=YEAR(G19)&amp;"-"&amp;ROUNDUP(MONTH(G19)/3,0))*(地价!AD2:AH2=N25)*(地价!AD3:AH35))</f>
        <v>0</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10" t="s">
        <v>2634</v>
      </c>
      <c r="M26" s="2207" t="s">
        <v>2699</v>
      </c>
      <c r="N26" s="2207" t="s">
        <v>2700</v>
      </c>
      <c r="O26" s="2207" t="s">
        <v>2701</v>
      </c>
      <c r="P26" s="301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79"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2"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2739</v>
      </c>
      <c r="D32" s="454" t="s">
        <v>2740</v>
      </c>
      <c r="E32" s="454" t="s">
        <v>2741</v>
      </c>
      <c r="F32" s="347" t="s">
        <v>2749</v>
      </c>
      <c r="G32" s="2308" t="s">
        <v>2739</v>
      </c>
      <c r="H32" s="2308" t="s">
        <v>2740</v>
      </c>
      <c r="I32" s="2308" t="s">
        <v>2741</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589"/>
      <c r="B33" s="2309" t="s">
        <v>2750</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594" t="s">
        <v>3050</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590"/>
      <c r="B34" s="2226" t="s">
        <v>2751</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90"/>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590"/>
      <c r="B35" s="2226" t="s">
        <v>2752</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590"/>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591"/>
      <c r="B36" s="2226" t="s">
        <v>2753</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591"/>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5" t="e">
        <f>ROUND(D5*C19*C41*C24*F38,0)</f>
        <v>#DIV/0!</v>
      </c>
      <c r="D38" s="2293"/>
      <c r="E38" s="175" t="e">
        <f t="shared" si="7"/>
        <v>#DIV/0!</v>
      </c>
      <c r="F38" s="179">
        <f>SUMIF(修正!A45:A56,G2,修正!G45:G56)</f>
        <v>0</v>
      </c>
      <c r="G38" s="175" t="e">
        <f>ROUND(IF(E2="工业",C38*$M$39,C38*$M$38),0)</f>
        <v>#DIV/0!</v>
      </c>
      <c r="H38" s="175">
        <f t="shared" si="8"/>
        <v>0</v>
      </c>
      <c r="I38" s="175" t="e">
        <f t="shared" si="9"/>
        <v>#DIV/0!</v>
      </c>
      <c r="J38" s="2310"/>
      <c r="K38" s="1279"/>
      <c r="L38" s="1603"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2" t="e">
        <f>ROUND(D5*C19*C41*C24*F39,0)</f>
        <v>#DIV/0!</v>
      </c>
      <c r="D39" s="2299"/>
      <c r="E39" s="192" t="e">
        <f t="shared" si="7"/>
        <v>#DIV/0!</v>
      </c>
      <c r="F39" s="870">
        <f>SUMIF(修正!A45:A56,G2,修正!H45:H56)</f>
        <v>0</v>
      </c>
      <c r="G39" s="192" t="e">
        <f>ROUND(IF(E2="工业",C39*$M$39,C39*$M$38),0)</f>
        <v>#DIV/0!</v>
      </c>
      <c r="H39" s="192">
        <f t="shared" si="8"/>
        <v>0</v>
      </c>
      <c r="I39" s="192"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2863</v>
      </c>
      <c r="C41" s="347" t="e">
        <f>ROUND(POWER(1+E41,H41-G41)*(POWER(1+E41,G41)-1)/(POWER(1+E41,H41)-1),4)</f>
        <v>#DIV/0!</v>
      </c>
      <c r="D41" s="175" t="s">
        <v>2709</v>
      </c>
      <c r="E41" s="2366">
        <f>G20</f>
        <v>0</v>
      </c>
      <c r="F41" s="175" t="s">
        <v>2718</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4"/>
      <c r="J45" s="2004"/>
      <c r="K45" s="2004"/>
      <c r="L45" s="2004"/>
      <c r="M45" s="2004"/>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4"/>
      <c r="J46" s="2004"/>
      <c r="K46" s="2004"/>
      <c r="L46" s="2004"/>
      <c r="M46" s="2004"/>
      <c r="Z46" s="1280"/>
      <c r="AA46" s="1280"/>
      <c r="AB46" s="1280"/>
      <c r="AC46" s="1280"/>
      <c r="AD46" s="1280"/>
      <c r="AE46" s="1280"/>
      <c r="AF46" s="1280"/>
      <c r="AG46" s="1280"/>
      <c r="AH46" s="1280"/>
      <c r="AI46" s="1280"/>
      <c r="AJ46" s="1280"/>
    </row>
    <row r="47" spans="1:37" s="1279" customFormat="1" ht="24.75">
      <c r="A47" s="2326" t="s">
        <v>2761</v>
      </c>
      <c r="B47" s="1533" t="s">
        <v>2762</v>
      </c>
      <c r="C47" s="1533" t="s">
        <v>2763</v>
      </c>
      <c r="D47" s="1533" t="s">
        <v>2764</v>
      </c>
      <c r="E47" s="757" t="s">
        <v>2765</v>
      </c>
      <c r="F47" s="2327" t="s">
        <v>2766</v>
      </c>
      <c r="G47" s="1533" t="s">
        <v>754</v>
      </c>
      <c r="H47" s="2328" t="s">
        <v>2767</v>
      </c>
      <c r="I47" s="1533" t="s">
        <v>2768</v>
      </c>
      <c r="J47" s="559" t="s">
        <v>2417</v>
      </c>
      <c r="K47" s="559" t="s">
        <v>2418</v>
      </c>
      <c r="L47" s="559" t="s">
        <v>2419</v>
      </c>
      <c r="M47" s="559" t="s">
        <v>2420</v>
      </c>
      <c r="N47" s="559"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较差</v>
      </c>
      <c r="C48" s="2231"/>
      <c r="D48" s="1195">
        <f t="shared" ref="D48:D56" si="10">SUMIF($J$47:$N$47,C48,J48:N48)</f>
        <v>0</v>
      </c>
      <c r="E48" s="759">
        <f>ROUND(SUM(D48:D56),4)</f>
        <v>0</v>
      </c>
      <c r="F48" s="1997"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一般</v>
      </c>
      <c r="C49" s="2231"/>
      <c r="D49" s="1195">
        <f t="shared" si="10"/>
        <v>0</v>
      </c>
      <c r="E49" s="760"/>
      <c r="F49" s="1997"/>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1997"/>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1997"/>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t="str">
        <f>估价对象房地状况!C24</f>
        <v>支路</v>
      </c>
      <c r="C52" s="2231"/>
      <c r="D52" s="1195">
        <f t="shared" si="10"/>
        <v>0</v>
      </c>
      <c r="E52" s="760"/>
      <c r="F52" s="1997"/>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1997"/>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2" t="str">
        <f>估价对象房地状况!C21</f>
        <v>一般</v>
      </c>
      <c r="C54" s="2231"/>
      <c r="D54" s="1195">
        <f t="shared" si="10"/>
        <v>0</v>
      </c>
      <c r="E54" s="760"/>
      <c r="F54" s="1997"/>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七通</v>
      </c>
      <c r="C55" s="2231"/>
      <c r="D55" s="1195">
        <f t="shared" si="10"/>
        <v>0</v>
      </c>
      <c r="E55" s="760"/>
      <c r="F55" s="1997"/>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一般</v>
      </c>
      <c r="C56" s="2231"/>
      <c r="D56" s="1195">
        <f t="shared" si="10"/>
        <v>0</v>
      </c>
      <c r="E56" s="763"/>
      <c r="F56" s="1997"/>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3"/>
      <c r="C58" s="1533" t="s">
        <v>2763</v>
      </c>
      <c r="D58" s="1533" t="s">
        <v>2764</v>
      </c>
      <c r="E58" s="757" t="s">
        <v>2765</v>
      </c>
      <c r="F58" s="2327" t="s">
        <v>2781</v>
      </c>
      <c r="G58" s="1533" t="s">
        <v>754</v>
      </c>
      <c r="H58" s="2328" t="s">
        <v>2767</v>
      </c>
      <c r="I58" s="1533" t="s">
        <v>2768</v>
      </c>
      <c r="J58" s="559" t="s">
        <v>2417</v>
      </c>
      <c r="K58" s="559" t="s">
        <v>2418</v>
      </c>
      <c r="L58" s="559" t="s">
        <v>2419</v>
      </c>
      <c r="M58" s="559" t="s">
        <v>2420</v>
      </c>
      <c r="N58" s="559" t="s">
        <v>2421</v>
      </c>
      <c r="AA58" s="1280"/>
      <c r="AB58" s="1280"/>
      <c r="AC58" s="1280"/>
      <c r="AD58" s="1280"/>
      <c r="AE58" s="1280"/>
      <c r="AF58" s="1280"/>
      <c r="AG58" s="1280"/>
      <c r="AH58" s="1280"/>
      <c r="AI58" s="1280"/>
      <c r="AJ58" s="1280"/>
      <c r="AK58" s="1280"/>
    </row>
    <row r="59" spans="1:37" s="1279" customFormat="1" ht="24">
      <c r="A59" s="2326" t="s">
        <v>2782</v>
      </c>
      <c r="B59" s="2329">
        <f>估价对象房地状况!C17</f>
        <v>0</v>
      </c>
      <c r="C59" s="2231"/>
      <c r="D59" s="1195">
        <f t="shared" ref="D59:D67" si="15">SUMIF($J$58:$N$58,C59,J59:N59)</f>
        <v>0</v>
      </c>
      <c r="E59" s="759">
        <f>ROUND(SUM(D59:D67),4)</f>
        <v>0</v>
      </c>
      <c r="F59" s="1997"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一般</v>
      </c>
      <c r="C60" s="2231"/>
      <c r="D60" s="1195">
        <f t="shared" si="15"/>
        <v>0</v>
      </c>
      <c r="E60" s="760"/>
      <c r="F60" s="1997"/>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1997"/>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1997"/>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t="str">
        <f>估价对象房地状况!C24</f>
        <v>支路</v>
      </c>
      <c r="C63" s="2231"/>
      <c r="D63" s="1195">
        <f t="shared" si="15"/>
        <v>0</v>
      </c>
      <c r="E63" s="760"/>
      <c r="F63" s="1997"/>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1997"/>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2" t="str">
        <f>估价对象房地状况!C21</f>
        <v>一般</v>
      </c>
      <c r="C65" s="2231"/>
      <c r="D65" s="1195">
        <f t="shared" si="15"/>
        <v>0</v>
      </c>
      <c r="E65" s="760"/>
      <c r="F65" s="1997"/>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2" t="str">
        <f>估价对象房地状况!C22</f>
        <v>七通</v>
      </c>
      <c r="C66" s="2231"/>
      <c r="D66" s="1195">
        <f t="shared" si="15"/>
        <v>0</v>
      </c>
      <c r="E66" s="760"/>
      <c r="F66" s="1997"/>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一般</v>
      </c>
      <c r="C67" s="2231"/>
      <c r="D67" s="1195">
        <f t="shared" si="15"/>
        <v>0</v>
      </c>
      <c r="E67" s="763"/>
      <c r="F67" s="1997"/>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3"/>
      <c r="C69" s="1533" t="s">
        <v>2763</v>
      </c>
      <c r="D69" s="1533" t="s">
        <v>2764</v>
      </c>
      <c r="E69" s="757" t="s">
        <v>2765</v>
      </c>
      <c r="F69" s="2327" t="s">
        <v>2781</v>
      </c>
      <c r="G69" s="1533" t="s">
        <v>754</v>
      </c>
      <c r="H69" s="2328" t="s">
        <v>2767</v>
      </c>
      <c r="I69" s="1533" t="s">
        <v>2768</v>
      </c>
      <c r="J69" s="559" t="s">
        <v>2417</v>
      </c>
      <c r="K69" s="559" t="s">
        <v>2418</v>
      </c>
      <c r="L69" s="559" t="s">
        <v>2419</v>
      </c>
      <c r="M69" s="559" t="s">
        <v>2420</v>
      </c>
      <c r="N69" s="559"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一般</v>
      </c>
      <c r="C70" s="2231"/>
      <c r="D70" s="1195">
        <f t="shared" ref="D70:D78" si="20">SUMIF($J$69:$N$69,C70,J70:N70)</f>
        <v>0</v>
      </c>
      <c r="E70" s="759">
        <f>ROUND(SUM(D70:D78),4)</f>
        <v>0</v>
      </c>
      <c r="F70" s="1997"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一般</v>
      </c>
      <c r="C71" s="2231"/>
      <c r="D71" s="1195">
        <f t="shared" si="20"/>
        <v>0</v>
      </c>
      <c r="E71" s="764"/>
      <c r="F71" s="1997"/>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1997"/>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t="str">
        <f>估价对象房地状况!C24</f>
        <v>支路</v>
      </c>
      <c r="C73" s="2231"/>
      <c r="D73" s="1195">
        <f t="shared" si="20"/>
        <v>0</v>
      </c>
      <c r="E73" s="764"/>
      <c r="F73" s="1997"/>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2" t="str">
        <f>估价对象房地状况!C21</f>
        <v>一般</v>
      </c>
      <c r="C74" s="2231"/>
      <c r="D74" s="1195">
        <f t="shared" si="20"/>
        <v>0</v>
      </c>
      <c r="E74" s="764"/>
      <c r="F74" s="1997"/>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2" t="str">
        <f>估价对象房地状况!C22</f>
        <v>七通</v>
      </c>
      <c r="C75" s="2231"/>
      <c r="D75" s="1195">
        <f t="shared" si="20"/>
        <v>0</v>
      </c>
      <c r="E75" s="764"/>
      <c r="F75" s="1997"/>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1997"/>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一般</v>
      </c>
      <c r="C77" s="2231"/>
      <c r="D77" s="1195">
        <f t="shared" si="20"/>
        <v>0</v>
      </c>
      <c r="E77" s="764"/>
      <c r="F77" s="1997"/>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1997"/>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3"/>
      <c r="C80" s="1533" t="s">
        <v>2763</v>
      </c>
      <c r="D80" s="1533" t="s">
        <v>2764</v>
      </c>
      <c r="E80" s="757" t="s">
        <v>2765</v>
      </c>
      <c r="F80" s="2327" t="s">
        <v>2781</v>
      </c>
      <c r="G80" s="1533" t="s">
        <v>754</v>
      </c>
      <c r="H80" s="2328" t="s">
        <v>2767</v>
      </c>
      <c r="I80" s="1533" t="s">
        <v>2768</v>
      </c>
      <c r="J80" s="559" t="s">
        <v>2417</v>
      </c>
      <c r="K80" s="559" t="s">
        <v>2418</v>
      </c>
      <c r="L80" s="559" t="s">
        <v>2419</v>
      </c>
      <c r="M80" s="559" t="s">
        <v>2420</v>
      </c>
      <c r="N80" s="559"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1997"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1997"/>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1997"/>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1997"/>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2" t="str">
        <f>估价对象房地状况!G19</f>
        <v>估价对象所在区域公共配套设施齐备情况</v>
      </c>
      <c r="C85" s="2231"/>
      <c r="D85" s="1195">
        <f t="shared" si="25"/>
        <v>0</v>
      </c>
      <c r="E85" s="764"/>
      <c r="F85" s="1997"/>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2" t="str">
        <f>估价对象房地状况!G20</f>
        <v>估价对象所在区域基础设施水平</v>
      </c>
      <c r="C86" s="2231"/>
      <c r="D86" s="1195">
        <f t="shared" si="25"/>
        <v>0</v>
      </c>
      <c r="E86" s="764"/>
      <c r="F86" s="1997"/>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1997"/>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1997"/>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581" t="s">
        <v>2791</v>
      </c>
      <c r="B90" s="3581"/>
      <c r="C90" s="3581"/>
      <c r="D90" s="3581"/>
      <c r="E90" s="3581"/>
      <c r="F90" s="3581"/>
      <c r="G90" s="3581"/>
      <c r="H90" s="3581"/>
      <c r="I90" s="3581"/>
      <c r="J90" s="3581"/>
      <c r="K90" s="2340"/>
      <c r="L90" s="2340"/>
      <c r="M90" s="2340"/>
      <c r="N90" s="2340"/>
    </row>
    <row r="91" spans="1:37">
      <c r="A91" s="3583" t="s">
        <v>2792</v>
      </c>
      <c r="B91" s="3583" t="s">
        <v>2793</v>
      </c>
      <c r="C91" s="2294" t="s">
        <v>2794</v>
      </c>
      <c r="D91" s="2295"/>
      <c r="E91" s="2295"/>
      <c r="F91" s="2295"/>
      <c r="G91" s="2295"/>
      <c r="H91" s="2295"/>
      <c r="I91" s="2295"/>
      <c r="J91" s="2341"/>
      <c r="K91" s="2342"/>
      <c r="L91" s="2342"/>
      <c r="M91" s="2342"/>
      <c r="N91" s="2342"/>
    </row>
    <row r="92" spans="1:37">
      <c r="A92" s="3583"/>
      <c r="B92" s="3583"/>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584"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585"/>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585"/>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585"/>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585"/>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585"/>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585"/>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586"/>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584" t="s">
        <v>2796</v>
      </c>
      <c r="B101" s="2347" t="s">
        <v>2797</v>
      </c>
      <c r="C101" s="2348">
        <f>$G$3</f>
        <v>0.68</v>
      </c>
      <c r="D101" s="2348">
        <f t="shared" ref="D101:N101" si="31">$G$3</f>
        <v>0.68</v>
      </c>
      <c r="E101" s="2348">
        <f t="shared" si="31"/>
        <v>0.68</v>
      </c>
      <c r="F101" s="2348">
        <f t="shared" si="31"/>
        <v>0.68</v>
      </c>
      <c r="G101" s="2348">
        <f t="shared" si="31"/>
        <v>0.68</v>
      </c>
      <c r="H101" s="2348">
        <f t="shared" si="31"/>
        <v>0.68</v>
      </c>
      <c r="I101" s="2348">
        <f t="shared" si="31"/>
        <v>0.68</v>
      </c>
      <c r="J101" s="2348">
        <f t="shared" si="31"/>
        <v>0.68</v>
      </c>
      <c r="K101" s="2348">
        <f t="shared" si="31"/>
        <v>0.68</v>
      </c>
      <c r="L101" s="2348">
        <f t="shared" si="31"/>
        <v>0.68</v>
      </c>
      <c r="M101" s="2348">
        <f t="shared" si="31"/>
        <v>0.68</v>
      </c>
      <c r="N101" s="2348">
        <f t="shared" si="31"/>
        <v>0.68</v>
      </c>
    </row>
    <row r="102" spans="1:14">
      <c r="A102" s="3585"/>
      <c r="B102" s="2343">
        <v>1</v>
      </c>
      <c r="C102" s="2344">
        <f>1.9362/C101</f>
        <v>2.8473529411764704</v>
      </c>
      <c r="D102" s="2344">
        <f>1.9362/D101</f>
        <v>2.8473529411764704</v>
      </c>
      <c r="E102" s="2344">
        <f>1.8629/E101</f>
        <v>2.7395588235294115</v>
      </c>
      <c r="F102" s="2344">
        <f>1.8629/F101</f>
        <v>2.7395588235294115</v>
      </c>
      <c r="G102" s="2344">
        <f>1.8629/G101</f>
        <v>2.7395588235294115</v>
      </c>
      <c r="H102" s="2344">
        <f>1.8629/H101</f>
        <v>2.7395588235294115</v>
      </c>
      <c r="I102" s="2344">
        <f>1.8629/I101</f>
        <v>2.7395588235294115</v>
      </c>
      <c r="J102" s="2344">
        <f>1.942/J101</f>
        <v>2.8558823529411761</v>
      </c>
      <c r="K102" s="2344">
        <f>1.942/K101</f>
        <v>2.8558823529411761</v>
      </c>
      <c r="L102" s="2344">
        <f>1.942/L101</f>
        <v>2.8558823529411761</v>
      </c>
      <c r="M102" s="2344">
        <f>1.942/M101</f>
        <v>2.8558823529411761</v>
      </c>
      <c r="N102" s="2344">
        <f>1.942/N101</f>
        <v>2.8558823529411761</v>
      </c>
    </row>
    <row r="103" spans="1:14">
      <c r="A103" s="3585"/>
      <c r="B103" s="2343">
        <v>2</v>
      </c>
      <c r="C103" s="2344">
        <f>1.4198/C101</f>
        <v>2.0879411764705882</v>
      </c>
      <c r="D103" s="2344">
        <f>1.4198/D101</f>
        <v>2.0879411764705882</v>
      </c>
      <c r="E103" s="2344">
        <f>1.3372/E101</f>
        <v>1.966470588235294</v>
      </c>
      <c r="F103" s="2344">
        <f>1.3372/F101</f>
        <v>1.966470588235294</v>
      </c>
      <c r="G103" s="2344">
        <f>1.3372/G101</f>
        <v>1.966470588235294</v>
      </c>
      <c r="H103" s="2344">
        <f>1.3372/H101</f>
        <v>1.966470588235294</v>
      </c>
      <c r="I103" s="2344">
        <f>1.3372/I101</f>
        <v>1.966470588235294</v>
      </c>
      <c r="J103" s="2344">
        <f>1.2799/J101</f>
        <v>1.8822058823529411</v>
      </c>
      <c r="K103" s="2344">
        <f>1.2799/K101</f>
        <v>1.8822058823529411</v>
      </c>
      <c r="L103" s="2344">
        <f>1.2799/L101</f>
        <v>1.8822058823529411</v>
      </c>
      <c r="M103" s="2344">
        <f>1.2799/M101</f>
        <v>1.8822058823529411</v>
      </c>
      <c r="N103" s="2344">
        <f>1.2799/N101</f>
        <v>1.8822058823529411</v>
      </c>
    </row>
    <row r="104" spans="1:14">
      <c r="A104" s="3585"/>
      <c r="B104" s="2343">
        <v>3</v>
      </c>
      <c r="C104" s="2344">
        <f>1.1594/C101</f>
        <v>1.7049999999999998</v>
      </c>
      <c r="D104" s="2344">
        <f>1.1594/D101</f>
        <v>1.7049999999999998</v>
      </c>
      <c r="E104" s="2344">
        <f>1.0788/E101</f>
        <v>1.5864705882352941</v>
      </c>
      <c r="F104" s="2344">
        <f>1.0788/F101</f>
        <v>1.5864705882352941</v>
      </c>
      <c r="G104" s="2344">
        <f>1.0788/G101</f>
        <v>1.5864705882352941</v>
      </c>
      <c r="H104" s="2344">
        <f>1.0788/H101</f>
        <v>1.5864705882352941</v>
      </c>
      <c r="I104" s="2344">
        <f>1.0788/I101</f>
        <v>1.5864705882352941</v>
      </c>
      <c r="J104" s="2344">
        <f>1.0072/J101</f>
        <v>1.4811764705882353</v>
      </c>
      <c r="K104" s="2344">
        <f>1.0072/K101</f>
        <v>1.4811764705882353</v>
      </c>
      <c r="L104" s="2344">
        <f>1.0072/L101</f>
        <v>1.4811764705882353</v>
      </c>
      <c r="M104" s="2344">
        <f>1.0072/M101</f>
        <v>1.4811764705882353</v>
      </c>
      <c r="N104" s="2344">
        <f>1.0072/N101</f>
        <v>1.4811764705882353</v>
      </c>
    </row>
    <row r="105" spans="1:14">
      <c r="A105" s="3585"/>
      <c r="B105" s="2343">
        <v>4</v>
      </c>
      <c r="C105" s="2344">
        <f>0.9622/C101</f>
        <v>1.415</v>
      </c>
      <c r="D105" s="2344">
        <f>0.9622/D101</f>
        <v>1.415</v>
      </c>
      <c r="E105" s="2344">
        <f>0.8656/E101</f>
        <v>1.2729411764705882</v>
      </c>
      <c r="F105" s="2344">
        <f>0.8656/F101</f>
        <v>1.2729411764705882</v>
      </c>
      <c r="G105" s="2344">
        <f>0.8656/G101</f>
        <v>1.2729411764705882</v>
      </c>
      <c r="H105" s="2344">
        <f>0.8656/H101</f>
        <v>1.2729411764705882</v>
      </c>
      <c r="I105" s="2344">
        <f>0.8656/I101</f>
        <v>1.2729411764705882</v>
      </c>
      <c r="J105" s="2344">
        <f>0.7525/J101</f>
        <v>1.1066176470588234</v>
      </c>
      <c r="K105" s="2344">
        <f>0.7525/K101</f>
        <v>1.1066176470588234</v>
      </c>
      <c r="L105" s="2344">
        <f>0.7525/L101</f>
        <v>1.1066176470588234</v>
      </c>
      <c r="M105" s="2344">
        <f>0.7525/M101</f>
        <v>1.1066176470588234</v>
      </c>
      <c r="N105" s="2344">
        <f>0.7525/N101</f>
        <v>1.1066176470588234</v>
      </c>
    </row>
    <row r="106" spans="1:14">
      <c r="A106" s="3585"/>
      <c r="B106" s="2343">
        <v>5</v>
      </c>
      <c r="C106" s="2344">
        <f>0.8417/C101</f>
        <v>1.2377941176470588</v>
      </c>
      <c r="D106" s="2344">
        <f>0.8417/D101</f>
        <v>1.2377941176470588</v>
      </c>
      <c r="E106" s="2344">
        <f>0.7371/E101</f>
        <v>1.0839705882352939</v>
      </c>
      <c r="F106" s="2344">
        <f>0.7371/F101</f>
        <v>1.0839705882352939</v>
      </c>
      <c r="G106" s="2344">
        <f>0.7371/G101</f>
        <v>1.0839705882352939</v>
      </c>
      <c r="H106" s="2344">
        <f>0.7371/H101</f>
        <v>1.0839705882352939</v>
      </c>
      <c r="I106" s="2344">
        <f>0.7371/I101</f>
        <v>1.0839705882352939</v>
      </c>
      <c r="J106" s="2344">
        <f>0.5659/J101</f>
        <v>0.83220588235294102</v>
      </c>
      <c r="K106" s="2344">
        <f>0.5659/K101</f>
        <v>0.83220588235294102</v>
      </c>
      <c r="L106" s="2344">
        <f>0.5659/L101</f>
        <v>0.83220588235294102</v>
      </c>
      <c r="M106" s="2344">
        <f>0.5659/M101</f>
        <v>0.83220588235294102</v>
      </c>
      <c r="N106" s="2344">
        <f>0.5659/N101</f>
        <v>0.83220588235294102</v>
      </c>
    </row>
    <row r="107" spans="1:14">
      <c r="A107" s="3585"/>
      <c r="B107" s="2343">
        <v>6</v>
      </c>
      <c r="C107" s="2344">
        <f>0.7608/C101</f>
        <v>1.1188235294117648</v>
      </c>
      <c r="D107" s="2344">
        <f>0.7608/D101</f>
        <v>1.1188235294117648</v>
      </c>
      <c r="E107" s="2344">
        <f>0.6482/E101</f>
        <v>0.95323529411764696</v>
      </c>
      <c r="F107" s="2344">
        <f>0.6482/F101</f>
        <v>0.95323529411764696</v>
      </c>
      <c r="G107" s="2344">
        <f>0.6482/G101</f>
        <v>0.95323529411764696</v>
      </c>
      <c r="H107" s="2344">
        <f>0.6482/H101</f>
        <v>0.95323529411764696</v>
      </c>
      <c r="I107" s="2344">
        <f>0.6482/I101</f>
        <v>0.95323529411764696</v>
      </c>
      <c r="J107" s="2344">
        <f>0.4525/J101</f>
        <v>0.6654411764705882</v>
      </c>
      <c r="K107" s="2344">
        <f>0.4525/K101</f>
        <v>0.6654411764705882</v>
      </c>
      <c r="L107" s="2344">
        <f>0.4525/L101</f>
        <v>0.6654411764705882</v>
      </c>
      <c r="M107" s="2344">
        <f>0.4525/M101</f>
        <v>0.6654411764705882</v>
      </c>
      <c r="N107" s="2344">
        <f>0.4525/N101</f>
        <v>0.6654411764705882</v>
      </c>
    </row>
    <row r="108" spans="1:14">
      <c r="A108" s="3585"/>
      <c r="B108" s="3587"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586"/>
      <c r="B109" s="3588"/>
      <c r="C109" s="2346">
        <f>(-0.163*(C108^2)-0.59*C108+7617)*(10^(-4))/C101</f>
        <v>1.1201470588235294</v>
      </c>
      <c r="D109" s="2346">
        <f>(-0.163*(D108^2)-0.59*D108+7617)*(10^(-4))/D101</f>
        <v>1.1201470588235294</v>
      </c>
      <c r="E109" s="2346">
        <f>(-0.161*(E108^2)-7.509*E108+6533)*(10^(-4))/E101</f>
        <v>0.96073529411764702</v>
      </c>
      <c r="F109" s="2346">
        <f>(-0.161*(F108^2)-7.509*F108+6533)*(10^(-4))/F101</f>
        <v>0.96073529411764702</v>
      </c>
      <c r="G109" s="2346">
        <f>(-0.161*(G108^2)-7.509*G108+6533)*(10^(-4))/G101</f>
        <v>0.96073529411764702</v>
      </c>
      <c r="H109" s="2346">
        <f>(-0.161*(H108^2)-7.509*H108+6533)*(10^(-4))/H101</f>
        <v>0.96073529411764702</v>
      </c>
      <c r="I109" s="2346">
        <f>(-0.161*(I108^2)-7.509*I108+6533)*(10^(-4))/I101</f>
        <v>0.96073529411764702</v>
      </c>
      <c r="J109" s="2346">
        <f>(-0.214*(J108^2)-21.991*J108+4665)*(10^(-4))/J101</f>
        <v>0.68602941176470589</v>
      </c>
      <c r="K109" s="2346">
        <f>(-0.214*(K108^2)-21.991*K108+4665)*(10^(-4))/K101</f>
        <v>0.68602941176470589</v>
      </c>
      <c r="L109" s="2346">
        <f>(-0.214*(L108^2)-21.991*L108+4665)*(10^(-4))/L101</f>
        <v>0.68602941176470589</v>
      </c>
      <c r="M109" s="2346">
        <f>(-0.214*(M108^2)-21.991*M108+4665)*(10^(-4))/M101</f>
        <v>0.68602941176470589</v>
      </c>
      <c r="N109" s="2346">
        <f>(-0.214*(N108^2)-21.991*N108+4665)*(10^(-4))/N101</f>
        <v>0.68602941176470589</v>
      </c>
    </row>
    <row r="110" spans="1:14">
      <c r="A110" s="3582" t="s">
        <v>2799</v>
      </c>
      <c r="B110" s="3582"/>
      <c r="C110" s="3582"/>
      <c r="D110" s="3582"/>
      <c r="E110" s="3582"/>
      <c r="F110" s="3582"/>
      <c r="G110" s="3582"/>
      <c r="H110" s="3582"/>
      <c r="I110" s="3582"/>
      <c r="J110" s="3582"/>
      <c r="K110" s="2349"/>
      <c r="L110" s="2349"/>
      <c r="M110" s="2349"/>
      <c r="N110" s="2349"/>
    </row>
    <row r="112" spans="1:14" ht="13.5" thickBot="1"/>
    <row r="113" spans="1:13" ht="25.5" thickBot="1">
      <c r="A113" s="841" t="s">
        <v>2800</v>
      </c>
      <c r="B113" s="1196">
        <f>G3</f>
        <v>0.68</v>
      </c>
      <c r="C113" s="842" t="s">
        <v>2801</v>
      </c>
      <c r="D113" s="843">
        <f>SUMPRODUCT((A115:A118=F113)*(B114:M114=H113)*B115:M118)</f>
        <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f>ROUND(0.9335-0.0094*B113,4)</f>
        <v>0.92710000000000004</v>
      </c>
      <c r="C115" s="848">
        <f>B115</f>
        <v>0.92710000000000004</v>
      </c>
      <c r="D115" s="848">
        <f>ROUND(0.8331-0.0109*B113,4)</f>
        <v>0.82569999999999999</v>
      </c>
      <c r="E115" s="848">
        <f>D115</f>
        <v>0.82569999999999999</v>
      </c>
      <c r="F115" s="848">
        <f>E115</f>
        <v>0.82569999999999999</v>
      </c>
      <c r="G115" s="848">
        <f>F115</f>
        <v>0.82569999999999999</v>
      </c>
      <c r="H115" s="848">
        <f>G115</f>
        <v>0.82569999999999999</v>
      </c>
      <c r="I115" s="848">
        <f>ROUND(0.689-0.0155*B113,4)</f>
        <v>0.67849999999999999</v>
      </c>
      <c r="J115" s="848">
        <f t="shared" ref="J115:M118" si="33">I115</f>
        <v>0.67849999999999999</v>
      </c>
      <c r="K115" s="848">
        <f t="shared" si="33"/>
        <v>0.67849999999999999</v>
      </c>
      <c r="L115" s="848">
        <f t="shared" si="33"/>
        <v>0.67849999999999999</v>
      </c>
      <c r="M115" s="849">
        <f t="shared" si="33"/>
        <v>0.67849999999999999</v>
      </c>
    </row>
    <row r="116" spans="1:13">
      <c r="A116" s="847" t="s">
        <v>2700</v>
      </c>
      <c r="B116" s="848">
        <f>ROUND(0.949-0.012*B113,4)</f>
        <v>0.94079999999999997</v>
      </c>
      <c r="C116" s="848">
        <f>B116</f>
        <v>0.94079999999999997</v>
      </c>
      <c r="D116" s="848">
        <f>ROUND(0.8567-0.013*B113,4)</f>
        <v>0.84789999999999999</v>
      </c>
      <c r="E116" s="848">
        <f t="shared" ref="E116:H117" si="34">D116</f>
        <v>0.84789999999999999</v>
      </c>
      <c r="F116" s="848">
        <f t="shared" si="34"/>
        <v>0.84789999999999999</v>
      </c>
      <c r="G116" s="848">
        <f t="shared" si="34"/>
        <v>0.84789999999999999</v>
      </c>
      <c r="H116" s="848">
        <f t="shared" si="34"/>
        <v>0.84789999999999999</v>
      </c>
      <c r="I116" s="848">
        <f>ROUND(0.7694-0.014*B113,4)</f>
        <v>0.75990000000000002</v>
      </c>
      <c r="J116" s="848">
        <f t="shared" si="33"/>
        <v>0.75990000000000002</v>
      </c>
      <c r="K116" s="848">
        <f t="shared" si="33"/>
        <v>0.75990000000000002</v>
      </c>
      <c r="L116" s="848">
        <f t="shared" si="33"/>
        <v>0.75990000000000002</v>
      </c>
      <c r="M116" s="849">
        <f t="shared" si="33"/>
        <v>0.75990000000000002</v>
      </c>
    </row>
    <row r="117" spans="1:13">
      <c r="A117" s="847" t="s">
        <v>2701</v>
      </c>
      <c r="B117" s="848">
        <f>ROUND(0.8808-0.006*B113,4)</f>
        <v>0.87670000000000003</v>
      </c>
      <c r="C117" s="848">
        <f>B117</f>
        <v>0.87670000000000003</v>
      </c>
      <c r="D117" s="848">
        <f>ROUND(0.8748-0.008*B113,4)</f>
        <v>0.86939999999999995</v>
      </c>
      <c r="E117" s="848">
        <f t="shared" si="34"/>
        <v>0.86939999999999995</v>
      </c>
      <c r="F117" s="848">
        <f t="shared" si="34"/>
        <v>0.86939999999999995</v>
      </c>
      <c r="G117" s="848">
        <f t="shared" si="34"/>
        <v>0.86939999999999995</v>
      </c>
      <c r="H117" s="848">
        <f t="shared" si="34"/>
        <v>0.86939999999999995</v>
      </c>
      <c r="I117" s="848">
        <f>ROUND(0.7412-0.0095*B113,4)</f>
        <v>0.73470000000000002</v>
      </c>
      <c r="J117" s="848">
        <f t="shared" si="33"/>
        <v>0.73470000000000002</v>
      </c>
      <c r="K117" s="848">
        <f t="shared" si="33"/>
        <v>0.73470000000000002</v>
      </c>
      <c r="L117" s="848">
        <f t="shared" si="33"/>
        <v>0.73470000000000002</v>
      </c>
      <c r="M117" s="849">
        <f t="shared" si="33"/>
        <v>0.73470000000000002</v>
      </c>
    </row>
    <row r="118" spans="1:13" ht="13.5" thickBot="1">
      <c r="A118" s="669" t="s">
        <v>2702</v>
      </c>
      <c r="B118" s="850">
        <f>ROUND(0.7275-0.01*B113,4)</f>
        <v>0.72070000000000001</v>
      </c>
      <c r="C118" s="850">
        <f>B118</f>
        <v>0.72070000000000001</v>
      </c>
      <c r="D118" s="850">
        <f>ROUND(0.7043-0.012*B113,4)</f>
        <v>0.69610000000000005</v>
      </c>
      <c r="E118" s="850">
        <f>D118</f>
        <v>0.69610000000000005</v>
      </c>
      <c r="F118" s="850">
        <f>E118</f>
        <v>0.69610000000000005</v>
      </c>
      <c r="G118" s="850">
        <f>ROUND(0.6299-0.0122*B113,4)</f>
        <v>0.62160000000000004</v>
      </c>
      <c r="H118" s="850">
        <f>G118</f>
        <v>0.62160000000000004</v>
      </c>
      <c r="I118" s="850">
        <f>ROUND(0.5667-0.0136*B113,4)</f>
        <v>0.5575</v>
      </c>
      <c r="J118" s="850">
        <f t="shared" si="33"/>
        <v>0.5575</v>
      </c>
      <c r="K118" s="850">
        <f t="shared" si="33"/>
        <v>0.5575</v>
      </c>
      <c r="L118" s="850">
        <f t="shared" si="33"/>
        <v>0.5575</v>
      </c>
      <c r="M118" s="851">
        <f t="shared" si="33"/>
        <v>0.5575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C00-000000000000}">
      <formula1>"500米范围内,500-1000米,1000米以外"</formula1>
    </dataValidation>
    <dataValidation type="list" allowBlank="1" showInputMessage="1" showErrorMessage="1" sqref="C14:E14" xr:uid="{00000000-0002-0000-2C00-000001000000}">
      <formula1>"有,无"</formula1>
    </dataValidation>
    <dataValidation type="list" allowBlank="1" showInputMessage="1" showErrorMessage="1" sqref="B21" xr:uid="{00000000-0002-0000-2C00-000002000000}">
      <formula1>"容积率修正,楼层修正"</formula1>
    </dataValidation>
    <dataValidation type="list" allowBlank="1" showInputMessage="1" showErrorMessage="1" sqref="F17" xr:uid="{00000000-0002-0000-2C00-000003000000}">
      <formula1>"与级别开发程度一致,与级别开发程度不一致"</formula1>
    </dataValidation>
    <dataValidation type="list" allowBlank="1" showInputMessage="1" showErrorMessage="1" sqref="E2" xr:uid="{00000000-0002-0000-2C00-000004000000}">
      <formula1>"商业,办公,住宅,工业"</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81:C88 C70:C78 C48:C56 C59:C67" xr:uid="{00000000-0002-0000-2C00-000008000000}">
      <formula1>五等判定</formula1>
    </dataValidation>
    <dataValidation type="list" allowBlank="1" showInputMessage="1" showErrorMessage="1" sqref="H19" xr:uid="{00000000-0002-0000-2C00-000009000000}">
      <formula1>"地价指数,季度增幅（自定义）,按公示增长率计算"</formula1>
    </dataValidation>
    <dataValidation type="list" allowBlank="1" showInputMessage="1" showErrorMessage="1" sqref="H16:O16" xr:uid="{00000000-0002-0000-2C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05" t="s">
        <v>183</v>
      </c>
      <c r="B18" s="820" t="s">
        <v>560</v>
      </c>
      <c r="C18" s="821" t="s">
        <v>561</v>
      </c>
      <c r="D18" s="822"/>
      <c r="E18" s="820">
        <v>1</v>
      </c>
      <c r="F18" s="823" t="s">
        <v>562</v>
      </c>
      <c r="G18" s="824"/>
      <c r="H18" s="816"/>
      <c r="I18" s="816"/>
    </row>
    <row r="19" spans="1:9" s="825" customFormat="1" ht="19.5" customHeight="1">
      <c r="A19" s="3605"/>
      <c r="B19" s="3605" t="s">
        <v>563</v>
      </c>
      <c r="C19" s="821" t="s">
        <v>564</v>
      </c>
      <c r="D19" s="822"/>
      <c r="E19" s="820">
        <v>0.9</v>
      </c>
      <c r="F19" s="823" t="s">
        <v>565</v>
      </c>
      <c r="G19" s="824"/>
      <c r="H19" s="816"/>
      <c r="I19" s="816"/>
    </row>
    <row r="20" spans="1:9" s="825" customFormat="1" ht="19.5" customHeight="1">
      <c r="A20" s="3605"/>
      <c r="B20" s="3605"/>
      <c r="C20" s="821" t="s">
        <v>566</v>
      </c>
      <c r="D20" s="822"/>
      <c r="E20" s="820">
        <v>1.1000000000000001</v>
      </c>
      <c r="F20" s="823" t="s">
        <v>567</v>
      </c>
      <c r="G20" s="824"/>
      <c r="H20" s="816"/>
      <c r="I20" s="816"/>
    </row>
    <row r="21" spans="1:9" s="825" customFormat="1" ht="19.5" customHeight="1">
      <c r="A21" s="3605"/>
      <c r="B21" s="3605"/>
      <c r="C21" s="821" t="s">
        <v>568</v>
      </c>
      <c r="D21" s="822"/>
      <c r="E21" s="820">
        <v>0.8</v>
      </c>
      <c r="F21" s="823" t="s">
        <v>569</v>
      </c>
      <c r="G21" s="824"/>
      <c r="H21" s="816"/>
      <c r="I21" s="816"/>
    </row>
    <row r="22" spans="1:9" s="825" customFormat="1" ht="19.5" customHeight="1">
      <c r="A22" s="3605"/>
      <c r="B22" s="3605"/>
      <c r="C22" s="821" t="s">
        <v>570</v>
      </c>
      <c r="D22" s="822"/>
      <c r="E22" s="820">
        <v>0.5</v>
      </c>
      <c r="F22" s="823"/>
      <c r="G22" s="824"/>
      <c r="H22" s="816"/>
      <c r="I22" s="816"/>
    </row>
    <row r="23" spans="1:9" s="825" customFormat="1" ht="19.5" customHeight="1">
      <c r="A23" s="3605" t="s">
        <v>184</v>
      </c>
      <c r="B23" s="820" t="s">
        <v>560</v>
      </c>
      <c r="C23" s="821" t="s">
        <v>571</v>
      </c>
      <c r="D23" s="822"/>
      <c r="E23" s="820">
        <v>1</v>
      </c>
      <c r="F23" s="823" t="s">
        <v>572</v>
      </c>
      <c r="G23" s="824"/>
      <c r="H23" s="816"/>
      <c r="I23" s="816"/>
    </row>
    <row r="24" spans="1:9" s="825" customFormat="1" ht="19.5" customHeight="1">
      <c r="A24" s="3605"/>
      <c r="B24" s="3605" t="s">
        <v>563</v>
      </c>
      <c r="C24" s="821" t="s">
        <v>573</v>
      </c>
      <c r="D24" s="822"/>
      <c r="E24" s="820">
        <v>0.5</v>
      </c>
      <c r="F24" s="823"/>
      <c r="G24" s="824"/>
      <c r="H24" s="816"/>
      <c r="I24" s="816"/>
    </row>
    <row r="25" spans="1:9" s="825" customFormat="1" ht="19.5" customHeight="1">
      <c r="A25" s="3605"/>
      <c r="B25" s="3605"/>
      <c r="C25" s="821" t="s">
        <v>574</v>
      </c>
      <c r="D25" s="822"/>
      <c r="E25" s="820">
        <v>1.1000000000000001</v>
      </c>
      <c r="F25" s="823"/>
      <c r="G25" s="824"/>
      <c r="H25" s="816"/>
      <c r="I25" s="816"/>
    </row>
    <row r="26" spans="1:9" s="825" customFormat="1" ht="19.5" customHeight="1">
      <c r="A26" s="3605"/>
      <c r="B26" s="3605"/>
      <c r="C26" s="821" t="s">
        <v>575</v>
      </c>
      <c r="D26" s="822"/>
      <c r="E26" s="820">
        <v>1.1000000000000001</v>
      </c>
      <c r="F26" s="823"/>
      <c r="G26" s="824"/>
      <c r="H26" s="816"/>
      <c r="I26" s="816"/>
    </row>
    <row r="27" spans="1:9" s="825" customFormat="1" ht="19.5" customHeight="1">
      <c r="A27" s="3605"/>
      <c r="B27" s="3605"/>
      <c r="C27" s="821" t="s">
        <v>576</v>
      </c>
      <c r="D27" s="822"/>
      <c r="E27" s="820">
        <v>0.9</v>
      </c>
      <c r="F27" s="823" t="s">
        <v>577</v>
      </c>
      <c r="G27" s="824"/>
      <c r="H27" s="816"/>
      <c r="I27" s="816"/>
    </row>
    <row r="28" spans="1:9" s="825" customFormat="1" ht="19.5" customHeight="1">
      <c r="A28" s="3605"/>
      <c r="B28" s="3605"/>
      <c r="C28" s="821" t="s">
        <v>578</v>
      </c>
      <c r="D28" s="822"/>
      <c r="E28" s="820">
        <v>0.9</v>
      </c>
      <c r="F28" s="823" t="s">
        <v>579</v>
      </c>
      <c r="G28" s="824"/>
      <c r="H28" s="816"/>
      <c r="I28" s="816"/>
    </row>
    <row r="29" spans="1:9" s="825" customFormat="1" ht="19.5" customHeight="1">
      <c r="A29" s="3605"/>
      <c r="B29" s="3605"/>
      <c r="C29" s="821" t="s">
        <v>580</v>
      </c>
      <c r="D29" s="822"/>
      <c r="E29" s="820">
        <v>0.9</v>
      </c>
      <c r="F29" s="823" t="s">
        <v>581</v>
      </c>
      <c r="G29" s="824"/>
      <c r="H29" s="816"/>
      <c r="I29" s="816"/>
    </row>
    <row r="30" spans="1:9" s="825" customFormat="1" ht="19.5" customHeight="1">
      <c r="A30" s="3605"/>
      <c r="B30" s="3605"/>
      <c r="C30" s="821" t="s">
        <v>582</v>
      </c>
      <c r="D30" s="822"/>
      <c r="E30" s="820">
        <v>0.9</v>
      </c>
      <c r="F30" s="823" t="s">
        <v>583</v>
      </c>
      <c r="G30" s="824"/>
      <c r="H30" s="816"/>
      <c r="I30" s="816"/>
    </row>
    <row r="31" spans="1:9" s="825" customFormat="1" ht="19.5" customHeight="1">
      <c r="A31" s="3605"/>
      <c r="B31" s="3605"/>
      <c r="C31" s="821" t="s">
        <v>584</v>
      </c>
      <c r="D31" s="822"/>
      <c r="E31" s="820">
        <v>0.8</v>
      </c>
      <c r="F31" s="823" t="s">
        <v>585</v>
      </c>
      <c r="G31" s="824"/>
      <c r="H31" s="816"/>
      <c r="I31" s="816"/>
    </row>
    <row r="32" spans="1:9" s="825" customFormat="1" ht="19.5" customHeight="1">
      <c r="A32" s="3605"/>
      <c r="B32" s="3605"/>
      <c r="C32" s="821" t="s">
        <v>586</v>
      </c>
      <c r="D32" s="822"/>
      <c r="E32" s="820">
        <v>0.8</v>
      </c>
      <c r="F32" s="823" t="s">
        <v>587</v>
      </c>
      <c r="G32" s="824"/>
      <c r="H32" s="816"/>
      <c r="I32" s="816"/>
    </row>
    <row r="33" spans="1:9" s="825" customFormat="1" ht="19.5" customHeight="1">
      <c r="A33" s="3605" t="s">
        <v>185</v>
      </c>
      <c r="B33" s="820" t="s">
        <v>560</v>
      </c>
      <c r="C33" s="821" t="s">
        <v>588</v>
      </c>
      <c r="D33" s="822"/>
      <c r="E33" s="820">
        <v>1</v>
      </c>
      <c r="F33" s="823" t="s">
        <v>589</v>
      </c>
      <c r="G33" s="824"/>
      <c r="H33" s="816"/>
      <c r="I33" s="816"/>
    </row>
    <row r="34" spans="1:9" s="825" customFormat="1" ht="19.5" customHeight="1">
      <c r="A34" s="3605"/>
      <c r="B34" s="820" t="s">
        <v>563</v>
      </c>
      <c r="C34" s="821" t="s">
        <v>590</v>
      </c>
      <c r="D34" s="822"/>
      <c r="E34" s="820">
        <v>1.5</v>
      </c>
      <c r="F34" s="823" t="s">
        <v>591</v>
      </c>
      <c r="G34" s="824"/>
      <c r="H34" s="816"/>
      <c r="I34" s="816"/>
    </row>
    <row r="35" spans="1:9" s="825" customFormat="1" ht="19.5" customHeight="1">
      <c r="A35" s="3605" t="s">
        <v>186</v>
      </c>
      <c r="B35" s="820" t="s">
        <v>560</v>
      </c>
      <c r="C35" s="821" t="s">
        <v>592</v>
      </c>
      <c r="D35" s="822"/>
      <c r="E35" s="820">
        <v>1</v>
      </c>
      <c r="F35" s="823" t="s">
        <v>593</v>
      </c>
      <c r="G35" s="824"/>
      <c r="H35" s="816"/>
      <c r="I35" s="816"/>
    </row>
    <row r="36" spans="1:9" s="825" customFormat="1" ht="19.5" customHeight="1">
      <c r="A36" s="3605"/>
      <c r="B36" s="3605" t="s">
        <v>563</v>
      </c>
      <c r="C36" s="821" t="s">
        <v>594</v>
      </c>
      <c r="D36" s="822"/>
      <c r="E36" s="820">
        <v>1</v>
      </c>
      <c r="F36" s="823" t="s">
        <v>595</v>
      </c>
      <c r="G36" s="824"/>
      <c r="H36" s="816"/>
      <c r="I36" s="816"/>
    </row>
    <row r="37" spans="1:9" s="825" customFormat="1" ht="19.5" customHeight="1">
      <c r="A37" s="3605"/>
      <c r="B37" s="3605"/>
      <c r="C37" s="821" t="s">
        <v>596</v>
      </c>
      <c r="D37" s="822"/>
      <c r="E37" s="820">
        <v>1.5</v>
      </c>
      <c r="F37" s="823" t="s">
        <v>597</v>
      </c>
      <c r="G37" s="824"/>
      <c r="H37" s="816"/>
      <c r="I37" s="816"/>
    </row>
    <row r="38" spans="1:9" s="825" customFormat="1" ht="19.5" customHeight="1">
      <c r="A38" s="3605"/>
      <c r="B38" s="3605"/>
      <c r="C38" s="821" t="s">
        <v>598</v>
      </c>
      <c r="D38" s="822"/>
      <c r="E38" s="820">
        <v>1</v>
      </c>
      <c r="F38" s="823" t="s">
        <v>599</v>
      </c>
      <c r="G38" s="824"/>
      <c r="H38" s="816"/>
      <c r="I38" s="816"/>
    </row>
    <row r="39" spans="1:9" s="825" customFormat="1" ht="19.5" customHeight="1">
      <c r="A39" s="3605"/>
      <c r="B39" s="360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05" t="s">
        <v>614</v>
      </c>
      <c r="C61" s="756" t="s">
        <v>615</v>
      </c>
      <c r="D61" s="756" t="s">
        <v>616</v>
      </c>
      <c r="E61" s="833">
        <v>0.5</v>
      </c>
      <c r="F61" s="820">
        <v>80</v>
      </c>
    </row>
    <row r="62" spans="1:8" s="816" customFormat="1" ht="24">
      <c r="A62" s="820">
        <v>2</v>
      </c>
      <c r="B62" s="3605"/>
      <c r="C62" s="756" t="s">
        <v>617</v>
      </c>
      <c r="D62" s="756" t="s">
        <v>618</v>
      </c>
      <c r="E62" s="833">
        <v>0.5</v>
      </c>
      <c r="F62" s="820">
        <v>80</v>
      </c>
    </row>
    <row r="63" spans="1:8" s="816" customFormat="1" ht="36">
      <c r="A63" s="820">
        <v>3</v>
      </c>
      <c r="B63" s="3605"/>
      <c r="C63" s="756" t="s">
        <v>619</v>
      </c>
      <c r="D63" s="756" t="s">
        <v>620</v>
      </c>
      <c r="E63" s="833">
        <v>0.5</v>
      </c>
      <c r="F63" s="820">
        <v>80</v>
      </c>
    </row>
    <row r="64" spans="1:8" s="816" customFormat="1" ht="36">
      <c r="A64" s="820">
        <v>4</v>
      </c>
      <c r="B64" s="3605"/>
      <c r="C64" s="756" t="s">
        <v>621</v>
      </c>
      <c r="D64" s="756" t="s">
        <v>622</v>
      </c>
      <c r="E64" s="833">
        <v>0.4</v>
      </c>
      <c r="F64" s="820">
        <v>60</v>
      </c>
    </row>
    <row r="65" spans="1:6" s="816" customFormat="1" ht="36">
      <c r="A65" s="820">
        <v>5</v>
      </c>
      <c r="B65" s="3605"/>
      <c r="C65" s="756" t="s">
        <v>623</v>
      </c>
      <c r="D65" s="756" t="s">
        <v>624</v>
      </c>
      <c r="E65" s="833">
        <v>0.2</v>
      </c>
      <c r="F65" s="820">
        <v>30</v>
      </c>
    </row>
    <row r="66" spans="1:6" s="816" customFormat="1" ht="36">
      <c r="A66" s="820">
        <v>6</v>
      </c>
      <c r="B66" s="3605"/>
      <c r="C66" s="756" t="s">
        <v>625</v>
      </c>
      <c r="D66" s="756" t="s">
        <v>626</v>
      </c>
      <c r="E66" s="833">
        <v>0.3</v>
      </c>
      <c r="F66" s="820">
        <v>50</v>
      </c>
    </row>
    <row r="67" spans="1:6" s="816" customFormat="1" ht="36">
      <c r="A67" s="820">
        <v>7</v>
      </c>
      <c r="B67" s="3605"/>
      <c r="C67" s="756" t="s">
        <v>627</v>
      </c>
      <c r="D67" s="756" t="s">
        <v>628</v>
      </c>
      <c r="E67" s="833">
        <v>0.2</v>
      </c>
      <c r="F67" s="820">
        <v>30</v>
      </c>
    </row>
    <row r="68" spans="1:6" s="816" customFormat="1" ht="36">
      <c r="A68" s="820">
        <v>8</v>
      </c>
      <c r="B68" s="3605"/>
      <c r="C68" s="756" t="s">
        <v>629</v>
      </c>
      <c r="D68" s="756" t="s">
        <v>630</v>
      </c>
      <c r="E68" s="833">
        <v>0.2</v>
      </c>
      <c r="F68" s="820">
        <v>30</v>
      </c>
    </row>
    <row r="69" spans="1:6" s="816" customFormat="1" ht="36">
      <c r="A69" s="820">
        <v>9</v>
      </c>
      <c r="B69" s="3605"/>
      <c r="C69" s="756" t="s">
        <v>631</v>
      </c>
      <c r="D69" s="756" t="s">
        <v>632</v>
      </c>
      <c r="E69" s="833">
        <v>0.2</v>
      </c>
      <c r="F69" s="820">
        <v>30</v>
      </c>
    </row>
    <row r="70" spans="1:6" s="816" customFormat="1" ht="48">
      <c r="A70" s="820">
        <v>10</v>
      </c>
      <c r="B70" s="3605"/>
      <c r="C70" s="756" t="s">
        <v>633</v>
      </c>
      <c r="D70" s="756" t="s">
        <v>634</v>
      </c>
      <c r="E70" s="833">
        <v>0.2</v>
      </c>
      <c r="F70" s="820">
        <v>30</v>
      </c>
    </row>
    <row r="71" spans="1:6" s="816" customFormat="1" ht="48">
      <c r="A71" s="820">
        <v>11</v>
      </c>
      <c r="B71" s="3605"/>
      <c r="C71" s="756" t="s">
        <v>635</v>
      </c>
      <c r="D71" s="756" t="s">
        <v>636</v>
      </c>
      <c r="E71" s="833">
        <v>0.2</v>
      </c>
      <c r="F71" s="820">
        <v>30</v>
      </c>
    </row>
    <row r="72" spans="1:6" s="816" customFormat="1" ht="36">
      <c r="A72" s="820">
        <v>12</v>
      </c>
      <c r="B72" s="3605"/>
      <c r="C72" s="756" t="s">
        <v>637</v>
      </c>
      <c r="D72" s="756" t="s">
        <v>638</v>
      </c>
      <c r="E72" s="833">
        <v>0.5</v>
      </c>
      <c r="F72" s="820">
        <v>80</v>
      </c>
    </row>
    <row r="73" spans="1:6" s="816" customFormat="1" ht="24">
      <c r="A73" s="820">
        <v>13</v>
      </c>
      <c r="B73" s="3605"/>
      <c r="C73" s="756" t="s">
        <v>639</v>
      </c>
      <c r="D73" s="756" t="s">
        <v>640</v>
      </c>
      <c r="E73" s="833">
        <v>0.4</v>
      </c>
      <c r="F73" s="820">
        <v>60</v>
      </c>
    </row>
    <row r="74" spans="1:6" s="816" customFormat="1" ht="24">
      <c r="A74" s="820">
        <v>14</v>
      </c>
      <c r="B74" s="3605"/>
      <c r="C74" s="756" t="s">
        <v>641</v>
      </c>
      <c r="D74" s="756" t="s">
        <v>642</v>
      </c>
      <c r="E74" s="833">
        <v>0.2</v>
      </c>
      <c r="F74" s="820">
        <v>30</v>
      </c>
    </row>
    <row r="75" spans="1:6" s="816" customFormat="1" ht="24">
      <c r="A75" s="820">
        <v>15</v>
      </c>
      <c r="B75" s="3605"/>
      <c r="C75" s="756" t="s">
        <v>643</v>
      </c>
      <c r="D75" s="756" t="s">
        <v>644</v>
      </c>
      <c r="E75" s="833">
        <v>0.2</v>
      </c>
      <c r="F75" s="820">
        <v>30</v>
      </c>
    </row>
    <row r="76" spans="1:6" s="816" customFormat="1" ht="24">
      <c r="A76" s="820">
        <v>16</v>
      </c>
      <c r="B76" s="3605" t="s">
        <v>645</v>
      </c>
      <c r="C76" s="756" t="s">
        <v>646</v>
      </c>
      <c r="D76" s="756" t="s">
        <v>647</v>
      </c>
      <c r="E76" s="833">
        <v>0.5</v>
      </c>
      <c r="F76" s="820">
        <v>80</v>
      </c>
    </row>
    <row r="77" spans="1:6" s="816" customFormat="1" ht="24">
      <c r="A77" s="820">
        <v>17</v>
      </c>
      <c r="B77" s="3605"/>
      <c r="C77" s="756" t="s">
        <v>648</v>
      </c>
      <c r="D77" s="756" t="s">
        <v>649</v>
      </c>
      <c r="E77" s="833">
        <v>0.5</v>
      </c>
      <c r="F77" s="820">
        <v>80</v>
      </c>
    </row>
    <row r="78" spans="1:6" s="816" customFormat="1" ht="24">
      <c r="A78" s="820">
        <v>18</v>
      </c>
      <c r="B78" s="3605"/>
      <c r="C78" s="756" t="s">
        <v>650</v>
      </c>
      <c r="D78" s="756" t="s">
        <v>651</v>
      </c>
      <c r="E78" s="833">
        <v>0.2</v>
      </c>
      <c r="F78" s="820">
        <v>30</v>
      </c>
    </row>
    <row r="79" spans="1:6" s="816" customFormat="1" ht="24">
      <c r="A79" s="820">
        <v>19</v>
      </c>
      <c r="B79" s="3605"/>
      <c r="C79" s="756" t="s">
        <v>652</v>
      </c>
      <c r="D79" s="756" t="s">
        <v>653</v>
      </c>
      <c r="E79" s="833">
        <v>0.5</v>
      </c>
      <c r="F79" s="820">
        <v>80</v>
      </c>
    </row>
    <row r="80" spans="1:6" s="816" customFormat="1" ht="36">
      <c r="A80" s="820">
        <v>20</v>
      </c>
      <c r="B80" s="3605"/>
      <c r="C80" s="756" t="s">
        <v>654</v>
      </c>
      <c r="D80" s="756" t="s">
        <v>655</v>
      </c>
      <c r="E80" s="833">
        <v>0.2</v>
      </c>
      <c r="F80" s="820">
        <v>30</v>
      </c>
    </row>
    <row r="81" spans="1:6" s="816" customFormat="1" ht="36">
      <c r="A81" s="820">
        <v>21</v>
      </c>
      <c r="B81" s="3605"/>
      <c r="C81" s="756" t="s">
        <v>656</v>
      </c>
      <c r="D81" s="756" t="s">
        <v>657</v>
      </c>
      <c r="E81" s="833">
        <v>0.2</v>
      </c>
      <c r="F81" s="820">
        <v>30</v>
      </c>
    </row>
    <row r="82" spans="1:6" s="816" customFormat="1" ht="48">
      <c r="A82" s="820">
        <v>22</v>
      </c>
      <c r="B82" s="3605"/>
      <c r="C82" s="756" t="s">
        <v>658</v>
      </c>
      <c r="D82" s="756" t="s">
        <v>659</v>
      </c>
      <c r="E82" s="833">
        <v>0.2</v>
      </c>
      <c r="F82" s="820">
        <v>30</v>
      </c>
    </row>
    <row r="83" spans="1:6" s="816" customFormat="1" ht="48">
      <c r="A83" s="820">
        <v>23</v>
      </c>
      <c r="B83" s="3605"/>
      <c r="C83" s="756" t="s">
        <v>660</v>
      </c>
      <c r="D83" s="756" t="s">
        <v>661</v>
      </c>
      <c r="E83" s="833">
        <v>0.2</v>
      </c>
      <c r="F83" s="820">
        <v>30</v>
      </c>
    </row>
    <row r="84" spans="1:6" s="816" customFormat="1" ht="36">
      <c r="A84" s="820">
        <v>24</v>
      </c>
      <c r="B84" s="3605"/>
      <c r="C84" s="756" t="s">
        <v>662</v>
      </c>
      <c r="D84" s="756" t="s">
        <v>663</v>
      </c>
      <c r="E84" s="833">
        <v>0.2</v>
      </c>
      <c r="F84" s="820">
        <v>30</v>
      </c>
    </row>
    <row r="85" spans="1:6" s="816" customFormat="1" ht="36">
      <c r="A85" s="820">
        <v>25</v>
      </c>
      <c r="B85" s="3605"/>
      <c r="C85" s="756" t="s">
        <v>664</v>
      </c>
      <c r="D85" s="756" t="s">
        <v>665</v>
      </c>
      <c r="E85" s="833">
        <v>0.5</v>
      </c>
      <c r="F85" s="820">
        <v>80</v>
      </c>
    </row>
    <row r="86" spans="1:6" s="816" customFormat="1" ht="36">
      <c r="A86" s="820">
        <v>26</v>
      </c>
      <c r="B86" s="3605"/>
      <c r="C86" s="756" t="s">
        <v>666</v>
      </c>
      <c r="D86" s="756" t="s">
        <v>667</v>
      </c>
      <c r="E86" s="833">
        <v>0.2</v>
      </c>
      <c r="F86" s="820">
        <v>30</v>
      </c>
    </row>
    <row r="87" spans="1:6" s="816" customFormat="1" ht="36">
      <c r="A87" s="820">
        <v>27</v>
      </c>
      <c r="B87" s="3605"/>
      <c r="C87" s="756" t="s">
        <v>668</v>
      </c>
      <c r="D87" s="756" t="s">
        <v>669</v>
      </c>
      <c r="E87" s="833">
        <v>0.2</v>
      </c>
      <c r="F87" s="820">
        <v>30</v>
      </c>
    </row>
    <row r="88" spans="1:6" s="816" customFormat="1" ht="36">
      <c r="A88" s="820">
        <v>28</v>
      </c>
      <c r="B88" s="3605"/>
      <c r="C88" s="756" t="s">
        <v>670</v>
      </c>
      <c r="D88" s="756" t="s">
        <v>671</v>
      </c>
      <c r="E88" s="833">
        <v>0.2</v>
      </c>
      <c r="F88" s="820">
        <v>30</v>
      </c>
    </row>
    <row r="89" spans="1:6" s="816" customFormat="1" ht="24">
      <c r="A89" s="820">
        <v>29</v>
      </c>
      <c r="B89" s="3605"/>
      <c r="C89" s="756" t="s">
        <v>672</v>
      </c>
      <c r="D89" s="756" t="s">
        <v>673</v>
      </c>
      <c r="E89" s="833">
        <v>0.2</v>
      </c>
      <c r="F89" s="820">
        <v>30</v>
      </c>
    </row>
    <row r="90" spans="1:6" s="816" customFormat="1" ht="24">
      <c r="A90" s="820">
        <v>30</v>
      </c>
      <c r="B90" s="3605"/>
      <c r="C90" s="756" t="s">
        <v>674</v>
      </c>
      <c r="D90" s="756" t="s">
        <v>675</v>
      </c>
      <c r="E90" s="833">
        <v>0.2</v>
      </c>
      <c r="F90" s="820">
        <v>30</v>
      </c>
    </row>
    <row r="91" spans="1:6" s="816" customFormat="1" ht="36">
      <c r="A91" s="820">
        <v>31</v>
      </c>
      <c r="B91" s="3605"/>
      <c r="C91" s="756" t="s">
        <v>676</v>
      </c>
      <c r="D91" s="756" t="s">
        <v>677</v>
      </c>
      <c r="E91" s="833">
        <v>0.2</v>
      </c>
      <c r="F91" s="820">
        <v>30</v>
      </c>
    </row>
    <row r="92" spans="1:6" s="816" customFormat="1" ht="24">
      <c r="A92" s="820">
        <v>32</v>
      </c>
      <c r="B92" s="3605" t="s">
        <v>678</v>
      </c>
      <c r="C92" s="820" t="s">
        <v>679</v>
      </c>
      <c r="D92" s="756" t="s">
        <v>680</v>
      </c>
      <c r="E92" s="833">
        <v>0.2</v>
      </c>
      <c r="F92" s="820">
        <v>30</v>
      </c>
    </row>
    <row r="93" spans="1:6" s="816" customFormat="1" ht="36">
      <c r="A93" s="820">
        <v>33</v>
      </c>
      <c r="B93" s="3605"/>
      <c r="C93" s="820" t="s">
        <v>681</v>
      </c>
      <c r="D93" s="756" t="s">
        <v>682</v>
      </c>
      <c r="E93" s="833">
        <v>0.2</v>
      </c>
      <c r="F93" s="820">
        <v>30</v>
      </c>
    </row>
    <row r="94" spans="1:6" s="816" customFormat="1" ht="48">
      <c r="A94" s="820">
        <v>34</v>
      </c>
      <c r="B94" s="3605"/>
      <c r="C94" s="820" t="s">
        <v>683</v>
      </c>
      <c r="D94" s="756" t="s">
        <v>684</v>
      </c>
      <c r="E94" s="833">
        <v>0.2</v>
      </c>
      <c r="F94" s="820">
        <v>30</v>
      </c>
    </row>
    <row r="95" spans="1:6" s="816" customFormat="1" ht="36">
      <c r="A95" s="820">
        <v>35</v>
      </c>
      <c r="B95" s="3605"/>
      <c r="C95" s="820" t="s">
        <v>685</v>
      </c>
      <c r="D95" s="756" t="s">
        <v>686</v>
      </c>
      <c r="E95" s="833">
        <v>0.2</v>
      </c>
      <c r="F95" s="820">
        <v>30</v>
      </c>
    </row>
    <row r="96" spans="1:6" s="816" customFormat="1" ht="48">
      <c r="A96" s="820">
        <v>36</v>
      </c>
      <c r="B96" s="3605"/>
      <c r="C96" s="756" t="s">
        <v>687</v>
      </c>
      <c r="D96" s="756" t="s">
        <v>688</v>
      </c>
      <c r="E96" s="833">
        <v>0.2</v>
      </c>
      <c r="F96" s="820">
        <v>30</v>
      </c>
    </row>
    <row r="97" spans="1:6" s="816" customFormat="1" ht="36">
      <c r="A97" s="820">
        <v>37</v>
      </c>
      <c r="B97" s="3605"/>
      <c r="C97" s="820" t="s">
        <v>689</v>
      </c>
      <c r="D97" s="756" t="s">
        <v>690</v>
      </c>
      <c r="E97" s="833">
        <v>0.2</v>
      </c>
      <c r="F97" s="820">
        <v>30</v>
      </c>
    </row>
    <row r="98" spans="1:6" s="816" customFormat="1" ht="36">
      <c r="A98" s="820">
        <v>38</v>
      </c>
      <c r="B98" s="3605"/>
      <c r="C98" s="820" t="s">
        <v>691</v>
      </c>
      <c r="D98" s="756" t="s">
        <v>692</v>
      </c>
      <c r="E98" s="833">
        <v>0.2</v>
      </c>
      <c r="F98" s="820">
        <v>30</v>
      </c>
    </row>
    <row r="99" spans="1:6" s="816" customFormat="1" ht="36">
      <c r="A99" s="820">
        <v>39</v>
      </c>
      <c r="B99" s="3605" t="s">
        <v>693</v>
      </c>
      <c r="C99" s="820" t="s">
        <v>694</v>
      </c>
      <c r="D99" s="756" t="s">
        <v>695</v>
      </c>
      <c r="E99" s="833">
        <v>0.3</v>
      </c>
      <c r="F99" s="820">
        <v>50</v>
      </c>
    </row>
    <row r="100" spans="1:6" s="816" customFormat="1" ht="24">
      <c r="A100" s="820">
        <v>40</v>
      </c>
      <c r="B100" s="3605"/>
      <c r="C100" s="820" t="s">
        <v>696</v>
      </c>
      <c r="D100" s="756" t="s">
        <v>697</v>
      </c>
      <c r="E100" s="833">
        <v>0.2</v>
      </c>
      <c r="F100" s="820">
        <v>30</v>
      </c>
    </row>
    <row r="101" spans="1:6" s="816" customFormat="1" ht="36">
      <c r="A101" s="820">
        <v>41</v>
      </c>
      <c r="B101" s="360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05" t="s">
        <v>708</v>
      </c>
      <c r="C105" s="820" t="s">
        <v>709</v>
      </c>
      <c r="D105" s="756" t="s">
        <v>710</v>
      </c>
      <c r="E105" s="833">
        <v>0.2</v>
      </c>
      <c r="F105" s="820">
        <v>30</v>
      </c>
    </row>
    <row r="106" spans="1:6" s="816" customFormat="1" ht="36">
      <c r="A106" s="820">
        <v>46</v>
      </c>
      <c r="B106" s="3605"/>
      <c r="C106" s="820" t="s">
        <v>711</v>
      </c>
      <c r="D106" s="756" t="s">
        <v>712</v>
      </c>
      <c r="E106" s="833">
        <v>0.2</v>
      </c>
      <c r="F106" s="820">
        <v>30</v>
      </c>
    </row>
    <row r="107" spans="1:6" s="816" customFormat="1" ht="36">
      <c r="A107" s="820">
        <v>47</v>
      </c>
      <c r="B107" s="3605" t="s">
        <v>713</v>
      </c>
      <c r="C107" s="820" t="s">
        <v>714</v>
      </c>
      <c r="D107" s="756" t="s">
        <v>715</v>
      </c>
      <c r="E107" s="833">
        <v>0.3</v>
      </c>
      <c r="F107" s="820">
        <v>50</v>
      </c>
    </row>
    <row r="108" spans="1:6" s="816" customFormat="1" ht="36">
      <c r="A108" s="820">
        <v>48</v>
      </c>
      <c r="B108" s="360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05" t="s">
        <v>724</v>
      </c>
      <c r="C111" s="820" t="s">
        <v>725</v>
      </c>
      <c r="D111" s="756" t="s">
        <v>726</v>
      </c>
      <c r="E111" s="833">
        <v>0.2</v>
      </c>
      <c r="F111" s="820">
        <v>30</v>
      </c>
    </row>
    <row r="112" spans="1:6" s="816" customFormat="1" ht="24">
      <c r="A112" s="820">
        <v>52</v>
      </c>
      <c r="B112" s="3605"/>
      <c r="C112" s="820" t="s">
        <v>727</v>
      </c>
      <c r="D112" s="756" t="s">
        <v>728</v>
      </c>
      <c r="E112" s="833">
        <v>0.2</v>
      </c>
      <c r="F112" s="820">
        <v>30</v>
      </c>
    </row>
    <row r="113" spans="1:6" s="816" customFormat="1" ht="24">
      <c r="A113" s="820">
        <v>53</v>
      </c>
      <c r="B113" s="360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05" t="s">
        <v>737</v>
      </c>
      <c r="C116" s="820" t="s">
        <v>738</v>
      </c>
      <c r="D116" s="756" t="s">
        <v>739</v>
      </c>
      <c r="E116" s="833">
        <v>0.2</v>
      </c>
      <c r="F116" s="820">
        <v>30</v>
      </c>
    </row>
    <row r="117" spans="1:6" ht="36">
      <c r="A117" s="820">
        <v>57</v>
      </c>
      <c r="B117" s="360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2822</v>
      </c>
      <c r="B1" s="2360"/>
      <c r="C1" s="2360"/>
      <c r="D1" s="2360"/>
      <c r="E1" s="2360"/>
      <c r="F1" s="3017"/>
      <c r="G1" s="3017"/>
      <c r="H1" s="3017"/>
      <c r="I1" s="3017"/>
      <c r="J1" s="3017"/>
      <c r="K1" s="3017"/>
      <c r="L1" s="3017"/>
      <c r="M1" s="3017"/>
      <c r="N1" s="3017"/>
      <c r="O1" s="3017"/>
      <c r="P1" s="3017"/>
    </row>
    <row r="2" spans="1:16" ht="15.75">
      <c r="A2" s="2358" t="s">
        <v>2814</v>
      </c>
      <c r="B2" s="2822" t="e">
        <f ca="1">SUMIF(B6:B13,"&lt;&gt;#ref!",B6:B13)</f>
        <v>#DIV/0!</v>
      </c>
      <c r="C2" s="2358" t="s">
        <v>2815</v>
      </c>
      <c r="D2" s="2358" t="s">
        <v>2816</v>
      </c>
      <c r="E2" s="2832">
        <f ca="1">SUMIF(E6:E13,"&lt;&gt;#ref!",E6:E13)</f>
        <v>0</v>
      </c>
      <c r="F2" s="3017"/>
      <c r="G2" s="3017"/>
      <c r="H2" s="3017"/>
      <c r="I2" s="3017"/>
      <c r="J2" s="3017"/>
      <c r="K2" s="3017"/>
      <c r="L2" s="3017"/>
      <c r="M2" s="3017"/>
      <c r="N2" s="3017"/>
      <c r="O2" s="3017"/>
      <c r="P2" s="3017"/>
    </row>
    <row r="3" spans="1:16" ht="15.75">
      <c r="A3" s="2358" t="s">
        <v>2817</v>
      </c>
      <c r="B3" s="2822" t="e">
        <f ca="1">ROUND(B2*10000/E2,0)</f>
        <v>#DIV/0!</v>
      </c>
      <c r="C3" s="2358" t="s">
        <v>2823</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8" t="s">
        <v>2818</v>
      </c>
      <c r="B5" s="2830" t="s">
        <v>2819</v>
      </c>
      <c r="C5" s="2359"/>
      <c r="D5" s="3017"/>
      <c r="E5" s="2831" t="s">
        <v>2820</v>
      </c>
      <c r="F5" s="3017"/>
      <c r="G5" s="3017"/>
      <c r="H5" s="3017"/>
      <c r="I5" s="3017"/>
      <c r="J5" s="3017"/>
      <c r="K5" s="3017"/>
      <c r="L5" s="3017"/>
      <c r="M5" s="3017"/>
      <c r="N5" s="3017"/>
      <c r="O5" s="3017"/>
      <c r="P5" s="3017"/>
    </row>
    <row r="6" spans="1:16" ht="15.75">
      <c r="A6" s="2829" t="s">
        <v>2821</v>
      </c>
      <c r="B6" s="2822" t="e">
        <f ca="1">SUMIF(INDIRECT("'"&amp;A6&amp;"'"&amp;"!A:A"),"总价",INDIRECT("'"&amp;A6&amp;"'"&amp;"!B:B"))</f>
        <v>#DIV/0!</v>
      </c>
      <c r="C6" s="2358" t="s">
        <v>2815</v>
      </c>
      <c r="D6" s="3017"/>
      <c r="E6" s="2832">
        <f ca="1">SUMIF(INDIRECT("'"&amp;A6&amp;"'"&amp;"!C:C"),"建筑面积",INDIRECT("'"&amp;A6&amp;"'"&amp;"!D:D"))</f>
        <v>0</v>
      </c>
      <c r="F6" s="3017"/>
      <c r="G6" s="3017"/>
      <c r="H6" s="3017"/>
      <c r="I6" s="3017"/>
      <c r="J6" s="3017"/>
      <c r="K6" s="3017"/>
      <c r="L6" s="3017"/>
      <c r="M6" s="3017"/>
      <c r="N6" s="3017"/>
      <c r="O6" s="3017"/>
      <c r="P6" s="3017"/>
    </row>
    <row r="7" spans="1:16" ht="15.75">
      <c r="A7" s="2829"/>
      <c r="B7" s="2822" t="e">
        <f ca="1">SUMIF(INDIRECT("'"&amp;A7&amp;"'"&amp;"!A:A"),"总价",INDIRECT("'"&amp;A7&amp;"'"&amp;"!B:B"))</f>
        <v>#REF!</v>
      </c>
      <c r="C7" s="2358" t="s">
        <v>2815</v>
      </c>
      <c r="D7" s="3017"/>
      <c r="E7" s="2832" t="e">
        <f t="shared" ref="E7:E13" ca="1" si="0">SUMIF(INDIRECT("'"&amp;A7&amp;"'"&amp;"!C:C"),"建筑面积",INDIRECT("'"&amp;A7&amp;"'"&amp;"!D:D"))</f>
        <v>#REF!</v>
      </c>
      <c r="F7" s="3017"/>
      <c r="G7" s="3017"/>
      <c r="H7" s="3017"/>
      <c r="I7" s="3017"/>
      <c r="J7" s="3017"/>
      <c r="K7" s="3017"/>
      <c r="L7" s="3017"/>
      <c r="M7" s="3017"/>
      <c r="N7" s="3017"/>
      <c r="O7" s="3017"/>
      <c r="P7" s="3017"/>
    </row>
    <row r="8" spans="1:16" ht="15.75">
      <c r="A8" s="2829"/>
      <c r="B8" s="2822" t="e">
        <f t="shared" ref="B8:B13" ca="1" si="1">SUMIF(INDIRECT("'"&amp;A8&amp;"'"&amp;"!A:A"),"总价",INDIRECT("'"&amp;A8&amp;"'"&amp;"!B:B"))</f>
        <v>#REF!</v>
      </c>
      <c r="C8" s="2358" t="s">
        <v>2815</v>
      </c>
      <c r="D8" s="3017"/>
      <c r="E8" s="2832" t="e">
        <f t="shared" ca="1" si="0"/>
        <v>#REF!</v>
      </c>
      <c r="F8" s="3017"/>
      <c r="G8" s="3017"/>
      <c r="H8" s="3017"/>
      <c r="I8" s="3017"/>
      <c r="J8" s="3017"/>
      <c r="K8" s="3017"/>
      <c r="L8" s="3017"/>
      <c r="M8" s="3017"/>
      <c r="N8" s="3017"/>
      <c r="O8" s="3017"/>
      <c r="P8" s="3017"/>
    </row>
    <row r="9" spans="1:16" ht="15.75">
      <c r="A9" s="2829"/>
      <c r="B9" s="2822" t="e">
        <f t="shared" ca="1" si="1"/>
        <v>#REF!</v>
      </c>
      <c r="C9" s="2358" t="s">
        <v>2815</v>
      </c>
      <c r="D9" s="3017"/>
      <c r="E9" s="2832" t="e">
        <f t="shared" ca="1" si="0"/>
        <v>#REF!</v>
      </c>
      <c r="F9" s="3017"/>
      <c r="G9" s="3017"/>
      <c r="H9" s="3017"/>
      <c r="I9" s="3017"/>
      <c r="J9" s="3017"/>
      <c r="K9" s="3017"/>
      <c r="L9" s="3017"/>
      <c r="M9" s="3017"/>
      <c r="N9" s="3017"/>
      <c r="O9" s="3017"/>
      <c r="P9" s="3017"/>
    </row>
    <row r="10" spans="1:16" ht="15.75">
      <c r="A10" s="2829"/>
      <c r="B10" s="2822" t="e">
        <f t="shared" ca="1" si="1"/>
        <v>#REF!</v>
      </c>
      <c r="C10" s="2358" t="s">
        <v>2815</v>
      </c>
      <c r="D10" s="3017"/>
      <c r="E10" s="2832" t="e">
        <f t="shared" ca="1" si="0"/>
        <v>#REF!</v>
      </c>
      <c r="F10" s="3017"/>
      <c r="G10" s="3017"/>
      <c r="H10" s="3017"/>
      <c r="I10" s="3017"/>
      <c r="J10" s="3017"/>
      <c r="K10" s="3017"/>
      <c r="L10" s="3017"/>
      <c r="M10" s="3017"/>
      <c r="N10" s="3017"/>
      <c r="O10" s="3017"/>
      <c r="P10" s="3017"/>
    </row>
    <row r="11" spans="1:16" ht="15.75">
      <c r="A11" s="2829"/>
      <c r="B11" s="2822" t="e">
        <f t="shared" ca="1" si="1"/>
        <v>#REF!</v>
      </c>
      <c r="C11" s="2358" t="s">
        <v>2815</v>
      </c>
      <c r="D11" s="3017"/>
      <c r="E11" s="2832" t="e">
        <f t="shared" ca="1" si="0"/>
        <v>#REF!</v>
      </c>
      <c r="F11" s="3017"/>
      <c r="G11" s="3017"/>
      <c r="H11" s="3017"/>
      <c r="I11" s="3017"/>
      <c r="J11" s="3017"/>
      <c r="K11" s="3017"/>
      <c r="L11" s="3017"/>
      <c r="M11" s="3017"/>
      <c r="N11" s="3017"/>
      <c r="O11" s="3017"/>
      <c r="P11" s="3017"/>
    </row>
    <row r="12" spans="1:16" ht="15.75">
      <c r="A12" s="2829"/>
      <c r="B12" s="2822" t="e">
        <f t="shared" ca="1" si="1"/>
        <v>#REF!</v>
      </c>
      <c r="C12" s="2358" t="s">
        <v>2815</v>
      </c>
      <c r="D12" s="3017"/>
      <c r="E12" s="2832" t="e">
        <f t="shared" ca="1" si="0"/>
        <v>#REF!</v>
      </c>
      <c r="F12" s="3017"/>
      <c r="G12" s="3017"/>
      <c r="H12" s="3017"/>
      <c r="I12" s="3017"/>
      <c r="J12" s="3017"/>
      <c r="K12" s="3017"/>
      <c r="L12" s="3017"/>
      <c r="M12" s="3017"/>
      <c r="N12" s="3017"/>
      <c r="O12" s="3017"/>
      <c r="P12" s="3017"/>
    </row>
    <row r="13" spans="1:16" ht="15.75">
      <c r="A13" s="2829"/>
      <c r="B13" s="2822" t="e">
        <f t="shared" ca="1" si="1"/>
        <v>#REF!</v>
      </c>
      <c r="C13" s="2358" t="s">
        <v>2815</v>
      </c>
      <c r="D13" s="3017"/>
      <c r="E13" s="2832"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xr:uid="{00000000-0002-0000-2F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H118"/>
  <sheetViews>
    <sheetView topLeftCell="F1" zoomScaleNormal="100" workbookViewId="0">
      <selection activeCell="K6" sqref="K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611" t="s">
        <v>1117</v>
      </c>
      <c r="C1" s="3611"/>
      <c r="D1" s="3611"/>
      <c r="E1" s="3611"/>
      <c r="F1" s="3611"/>
      <c r="G1" s="3607" t="s">
        <v>1118</v>
      </c>
      <c r="H1" s="3607"/>
      <c r="I1" s="3607"/>
      <c r="J1" s="3607"/>
      <c r="K1" s="3607"/>
      <c r="L1" s="3607"/>
      <c r="N1" s="3607" t="s">
        <v>1119</v>
      </c>
      <c r="O1" s="3607"/>
      <c r="P1" s="3607"/>
      <c r="Q1" s="3607"/>
      <c r="S1" s="3607" t="s">
        <v>1120</v>
      </c>
      <c r="T1" s="3607"/>
      <c r="U1" s="3607"/>
      <c r="V1" s="3607"/>
      <c r="X1" s="3606" t="s">
        <v>1121</v>
      </c>
      <c r="Y1" s="3607"/>
      <c r="Z1" s="3607"/>
      <c r="AA1" s="3607"/>
      <c r="AB1" s="3607"/>
      <c r="AD1" s="3606" t="s">
        <v>1122</v>
      </c>
      <c r="AE1" s="3607"/>
      <c r="AF1" s="3607"/>
      <c r="AG1" s="3607"/>
      <c r="AH1" s="3607"/>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ROUND(AVERAGE($I4:$I35),2)</f>
        <v>1.7</v>
      </c>
      <c r="J3" s="2396">
        <f>ROUND(AVERAGE($J4:$J35),2)</f>
        <v>1.07</v>
      </c>
      <c r="K3" s="2396">
        <f>ROUND(AVERAGE($K4:$K35),2)</f>
        <v>1.87</v>
      </c>
      <c r="L3" s="2396">
        <f>ROUND(AVERAGE($L4:$L35),2)</f>
        <v>1.24</v>
      </c>
      <c r="N3" s="2394"/>
      <c r="S3" s="2394"/>
      <c r="W3" s="2398"/>
      <c r="X3" s="2399">
        <f>ROUND(SUMPRODUCT(PRODUCT(1+N3:N$34)),4)</f>
        <v>1.6338999999999999</v>
      </c>
      <c r="Y3" s="2399">
        <f>ROUND(SUMPRODUCT(PRODUCT(1+O3:O$34)),4)</f>
        <v>1.3588</v>
      </c>
      <c r="Z3" s="2399">
        <f t="shared" ref="Z3:Z32" si="0">Y3</f>
        <v>1.3588</v>
      </c>
      <c r="AA3" s="2399">
        <f>ROUND(SUMPRODUCT(PRODUCT(1+P3:P$34)),4)</f>
        <v>1.7150000000000001</v>
      </c>
      <c r="AB3" s="2399">
        <f>ROUND(SUMPRODUCT(PRODUCT(1+Q3:Q$34)),4)</f>
        <v>1.446</v>
      </c>
      <c r="AD3" s="2400">
        <f>ROUND(AVERAGE(I3:I$35)/100,4)</f>
        <v>1.7000000000000001E-2</v>
      </c>
      <c r="AE3" s="2400">
        <f>ROUND(AVERAGE(J3:J$35)/100,4)</f>
        <v>1.0699999999999999E-2</v>
      </c>
      <c r="AF3" s="2400">
        <f t="shared" ref="AF3:AF33" si="1">AE3</f>
        <v>1.0699999999999999E-2</v>
      </c>
      <c r="AG3" s="2400">
        <f>ROUND(AVERAGE(K3:K$35)/100,4)</f>
        <v>1.8700000000000001E-2</v>
      </c>
      <c r="AH3" s="2400">
        <f>ROUND(AVERAGE(L3:L$35)/100,4)</f>
        <v>1.24E-2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3057</v>
      </c>
      <c r="B5" s="2410">
        <f t="shared" ref="B5" si="2">B6*(1+N5)</f>
        <v>502.50893609650217</v>
      </c>
      <c r="C5" s="2410">
        <f t="shared" ref="C5" si="3">C6*(1+O5)</f>
        <v>350.27569313914915</v>
      </c>
      <c r="D5" s="2410">
        <f t="shared" ref="D5" si="4">C5</f>
        <v>350.27569313914915</v>
      </c>
      <c r="E5" s="2410">
        <f t="shared" ref="E5" si="5">E6*(1+P5)</f>
        <v>725.27220201394141</v>
      </c>
      <c r="F5" s="2410">
        <f t="shared" ref="F5" si="6">F6*(1+Q5)</f>
        <v>332.45017846012797</v>
      </c>
      <c r="G5" s="3053">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ROUND(IF(项目基本情况!B3="出让",SUMPRODUCT(PRODUCT(1+N5:N$35)),SUMPRODUCT(PRODUCT(1+N5:N$34))),4)</f>
        <v>1.6338999999999999</v>
      </c>
      <c r="Y5" s="2418">
        <f>ROUND(IF(项目基本情况!B3="出让",SUMPRODUCT(PRODUCT(1+O5:O$35)),SUMPRODUCT(PRODUCT(1+O5:O$34))),4)</f>
        <v>1.3588</v>
      </c>
      <c r="Z5" s="2418">
        <f t="shared" ref="Z5" si="11">Y5</f>
        <v>1.3588</v>
      </c>
      <c r="AA5" s="2418">
        <f>ROUND(IF(项目基本情况!B3="出让",SUMPRODUCT(PRODUCT(1+P5:P$35)),SUMPRODUCT(PRODUCT(1+P5:P$34))),4)</f>
        <v>1.7150000000000001</v>
      </c>
      <c r="AB5" s="2418">
        <f>ROUND(IF(项目基本情况!B3="出让",SUMPRODUCT(PRODUCT(1+Q5:Q$35)),SUMPRODUCT(PRODUCT(1+Q5:Q$34))),4)</f>
        <v>1.446</v>
      </c>
      <c r="AD5" s="2419">
        <f>ROUND(AVERAGE(I5:I$35)/100,4)</f>
        <v>1.7000000000000001E-2</v>
      </c>
      <c r="AE5" s="2419">
        <f>ROUND(AVERAGE(J5:J$35)/100,4)</f>
        <v>1.0699999999999999E-2</v>
      </c>
      <c r="AF5" s="2419">
        <f t="shared" ref="AF5" si="12">AE5</f>
        <v>1.0699999999999999E-2</v>
      </c>
      <c r="AG5" s="2419">
        <f>ROUND(AVERAGE(K5:K$35)/100,4)</f>
        <v>1.8700000000000001E-2</v>
      </c>
      <c r="AH5" s="2419">
        <f>ROUND(AVERAGE(L5:L$35)/100,4)</f>
        <v>1.24E-2</v>
      </c>
    </row>
    <row r="6" spans="1:34" s="2427" customFormat="1">
      <c r="A6" s="2420" t="s">
        <v>3056</v>
      </c>
      <c r="B6" s="2421">
        <f t="shared" ref="B6" si="13">B7*(1+N6)</f>
        <v>502.50893609650217</v>
      </c>
      <c r="C6" s="2421">
        <f t="shared" ref="C6" si="14">C7*(1+O6)</f>
        <v>350.27569313914915</v>
      </c>
      <c r="D6" s="2421">
        <f t="shared" ref="D6" si="15">C6</f>
        <v>350.27569313914915</v>
      </c>
      <c r="E6" s="2421">
        <f t="shared" ref="E6" si="16">E7*(1+P6)</f>
        <v>725.27220201394141</v>
      </c>
      <c r="F6" s="2421">
        <f t="shared" ref="F6" si="17">F7*(1+Q6)</f>
        <v>332.45017846012797</v>
      </c>
      <c r="G6" s="3053">
        <v>2021</v>
      </c>
      <c r="H6" s="2422">
        <v>2</v>
      </c>
      <c r="I6" s="2384">
        <v>0.92</v>
      </c>
      <c r="J6" s="2384">
        <v>0.72</v>
      </c>
      <c r="K6" s="2384">
        <v>0.95</v>
      </c>
      <c r="L6" s="2385">
        <v>1.01</v>
      </c>
      <c r="M6" s="2407"/>
      <c r="N6" s="2423">
        <f t="shared" ref="N6" si="18">I6/100</f>
        <v>9.1999999999999998E-3</v>
      </c>
      <c r="O6" s="2408">
        <f t="shared" ref="O6" si="19">J6/100</f>
        <v>7.1999999999999998E-3</v>
      </c>
      <c r="P6" s="2408">
        <f t="shared" ref="P6" si="20">K6/100</f>
        <v>9.4999999999999998E-3</v>
      </c>
      <c r="Q6" s="2408">
        <f t="shared" ref="Q6" si="21">L6/100</f>
        <v>1.01E-2</v>
      </c>
      <c r="R6" s="2424"/>
      <c r="S6" s="2423"/>
      <c r="T6" s="2408"/>
      <c r="U6" s="2408"/>
      <c r="V6" s="2408"/>
      <c r="W6" s="2425"/>
      <c r="X6" s="2425">
        <f>ROUND(IF(项目基本情况!B4="出让",SUMPRODUCT(PRODUCT(1+N6:N$35)),SUMPRODUCT(PRODUCT(1+N6:N$34))),4)</f>
        <v>1.6338999999999999</v>
      </c>
      <c r="Y6" s="2425">
        <f>ROUND(IF(项目基本情况!B4="出让",SUMPRODUCT(PRODUCT(1+O6:O$35)),SUMPRODUCT(PRODUCT(1+O6:O$34))),4)</f>
        <v>1.3588</v>
      </c>
      <c r="Z6" s="2425">
        <f t="shared" ref="Z6" si="22">Y6</f>
        <v>1.3588</v>
      </c>
      <c r="AA6" s="2425">
        <f>ROUND(IF(项目基本情况!B4="出让",SUMPRODUCT(PRODUCT(1+P6:P$35)),SUMPRODUCT(PRODUCT(1+P6:P$34))),4)</f>
        <v>1.7150000000000001</v>
      </c>
      <c r="AB6" s="2425">
        <f>ROUND(IF(项目基本情况!B4="出让",SUMPRODUCT(PRODUCT(1+Q6:Q$35)),SUMPRODUCT(PRODUCT(1+Q6:Q$34))),4)</f>
        <v>1.446</v>
      </c>
      <c r="AC6" s="2425"/>
      <c r="AD6" s="2426">
        <f>ROUND(AVERAGE(I6:I$35)/100,4)</f>
        <v>1.7600000000000001E-2</v>
      </c>
      <c r="AE6" s="2426">
        <f>ROUND(AVERAGE(J6:J$35)/100,4)</f>
        <v>1.11E-2</v>
      </c>
      <c r="AF6" s="2426">
        <f t="shared" ref="AF6" si="23">AE6</f>
        <v>1.11E-2</v>
      </c>
      <c r="AG6" s="2426">
        <f>ROUND(AVERAGE(K6:K$35)/100,4)</f>
        <v>1.9400000000000001E-2</v>
      </c>
      <c r="AH6" s="2426">
        <f>ROUND(AVERAGE(L6:L$35)/100,4)</f>
        <v>1.2800000000000001E-2</v>
      </c>
    </row>
    <row r="7" spans="1:34" s="2427" customFormat="1">
      <c r="A7" s="2420" t="s">
        <v>3055</v>
      </c>
      <c r="B7" s="2421">
        <f t="shared" ref="B7" si="24">B8*(1+N7)</f>
        <v>497.92799851020823</v>
      </c>
      <c r="C7" s="2421">
        <f t="shared" ref="C7" si="25">C8*(1+O7)</f>
        <v>347.77173663537445</v>
      </c>
      <c r="D7" s="2421">
        <f t="shared" ref="D7" si="26">C7</f>
        <v>347.77173663537445</v>
      </c>
      <c r="E7" s="2421">
        <f t="shared" ref="E7" si="27">E8*(1+P7)</f>
        <v>718.44695593258189</v>
      </c>
      <c r="F7" s="2421">
        <f t="shared" ref="F7" si="28">F8*(1+Q7)</f>
        <v>329.12600580153247</v>
      </c>
      <c r="G7" s="3037">
        <v>2021</v>
      </c>
      <c r="H7" s="2422">
        <v>1</v>
      </c>
      <c r="I7" s="2384">
        <v>0.97</v>
      </c>
      <c r="J7" s="2384">
        <v>0.16</v>
      </c>
      <c r="K7" s="2384">
        <v>1.1100000000000001</v>
      </c>
      <c r="L7" s="2385">
        <v>0.36</v>
      </c>
      <c r="M7" s="2407"/>
      <c r="N7" s="2423">
        <f t="shared" ref="N7" si="29">I7/100</f>
        <v>9.7000000000000003E-3</v>
      </c>
      <c r="O7" s="2408">
        <f t="shared" ref="O7" si="30">J7/100</f>
        <v>1.6000000000000001E-3</v>
      </c>
      <c r="P7" s="2408">
        <f t="shared" ref="P7" si="31">K7/100</f>
        <v>1.11E-2</v>
      </c>
      <c r="Q7" s="2408">
        <f t="shared" ref="Q7" si="32">L7/100</f>
        <v>3.5999999999999999E-3</v>
      </c>
      <c r="R7" s="2424"/>
      <c r="S7" s="2423">
        <f>B7/B8-1</f>
        <v>9.7000000000000419E-3</v>
      </c>
      <c r="T7" s="2408">
        <f t="shared" ref="T7" si="33">C7/C8-1</f>
        <v>1.6000000000000458E-3</v>
      </c>
      <c r="U7" s="2408">
        <f t="shared" ref="U7" si="34">D7/D8-1</f>
        <v>1.6000000000000458E-3</v>
      </c>
      <c r="V7" s="2408">
        <f t="shared" ref="V7" si="35">E7/E8-1</f>
        <v>1.110000000000011E-2</v>
      </c>
      <c r="W7" s="2425"/>
      <c r="X7" s="2425">
        <f>ROUND(IF(项目基本情况!B5="出让",SUMPRODUCT(PRODUCT(1+N7:N$35)),SUMPRODUCT(PRODUCT(1+N7:N$34))),4)</f>
        <v>1.619</v>
      </c>
      <c r="Y7" s="2425">
        <f>ROUND(IF(项目基本情况!B5="出让",SUMPRODUCT(PRODUCT(1+O7:O$35)),SUMPRODUCT(PRODUCT(1+O7:O$34))),4)</f>
        <v>1.3491</v>
      </c>
      <c r="Z7" s="2425">
        <f t="shared" ref="Z7" si="36">Y7</f>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ref="AF7" si="37">AE7</f>
        <v>1.12E-2</v>
      </c>
      <c r="AG7" s="2426">
        <f>ROUND(AVERAGE(K7:K$35)/100,4)</f>
        <v>1.9699999999999999E-2</v>
      </c>
      <c r="AH7" s="2426">
        <f>ROUND(AVERAGE(L7:L$35)/100,4)</f>
        <v>1.29E-2</v>
      </c>
    </row>
    <row r="8" spans="1:34" s="2427" customFormat="1">
      <c r="A8" s="2420" t="s">
        <v>3053</v>
      </c>
      <c r="B8" s="2421">
        <f t="shared" ref="B8" si="38">B9*(1+N8)</f>
        <v>493.14449689037161</v>
      </c>
      <c r="C8" s="2421">
        <f t="shared" ref="C8" si="39">C9*(1+O8)</f>
        <v>347.21619073020611</v>
      </c>
      <c r="D8" s="2421">
        <f t="shared" ref="D8" si="40">C8</f>
        <v>347.21619073020611</v>
      </c>
      <c r="E8" s="2421">
        <f t="shared" ref="E8" si="41">E9*(1+P8)</f>
        <v>710.55974278763904</v>
      </c>
      <c r="F8" s="2421">
        <f t="shared" ref="F8" si="42">F9*(1+Q8)</f>
        <v>327.94540235306141</v>
      </c>
      <c r="G8" s="3036">
        <v>2020</v>
      </c>
      <c r="H8" s="2422">
        <v>4</v>
      </c>
      <c r="I8" s="2384">
        <v>2.0699999999999998</v>
      </c>
      <c r="J8" s="2384">
        <v>0.37</v>
      </c>
      <c r="K8" s="2384">
        <v>2.35</v>
      </c>
      <c r="L8" s="2385">
        <v>2.69</v>
      </c>
      <c r="M8" s="2407"/>
      <c r="N8" s="2423">
        <f t="shared" ref="N8" si="43">I8/100</f>
        <v>2.07E-2</v>
      </c>
      <c r="O8" s="2408">
        <f t="shared" ref="O8" si="44">J8/100</f>
        <v>3.7000000000000002E-3</v>
      </c>
      <c r="P8" s="2408">
        <f t="shared" ref="P8" si="45">K8/100</f>
        <v>2.35E-2</v>
      </c>
      <c r="Q8" s="2408">
        <f t="shared" ref="Q8" si="46">L8/100</f>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ref="Z8" si="47">Y8</f>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ref="AF8" si="48">AE8</f>
        <v>1.1599999999999999E-2</v>
      </c>
      <c r="AG8" s="2426">
        <f>ROUND(AVERAGE(K8:K$35)/100,4)</f>
        <v>0.02</v>
      </c>
      <c r="AH8" s="2426">
        <f>ROUND(AVERAGE(L8:L$35)/100,4)</f>
        <v>1.3299999999999999E-2</v>
      </c>
    </row>
    <row r="9" spans="1:34" s="2427" customFormat="1">
      <c r="A9" s="2420" t="s">
        <v>3052</v>
      </c>
      <c r="B9" s="2421">
        <f t="shared" ref="B9" si="49">B10*(1+N9)</f>
        <v>483.1434279321756</v>
      </c>
      <c r="C9" s="2421">
        <f t="shared" ref="C9" si="50">C10*(1+O9)</f>
        <v>345.93622669144776</v>
      </c>
      <c r="D9" s="2421">
        <f t="shared" ref="D9" si="51">C9</f>
        <v>345.93622669144776</v>
      </c>
      <c r="E9" s="2421">
        <f t="shared" ref="E9" si="52">E10*(1+P9)</f>
        <v>694.24498562544113</v>
      </c>
      <c r="F9" s="2421">
        <f t="shared" ref="F9" si="53">F10*(1+Q9)</f>
        <v>319.35475932716082</v>
      </c>
      <c r="G9" s="3033">
        <v>2020</v>
      </c>
      <c r="H9" s="2422">
        <v>3</v>
      </c>
      <c r="I9" s="2384">
        <v>0.36</v>
      </c>
      <c r="J9" s="2384">
        <v>-0.39</v>
      </c>
      <c r="K9" s="2384">
        <v>0.49</v>
      </c>
      <c r="L9" s="2385">
        <v>7.0000000000000007E-2</v>
      </c>
      <c r="M9" s="2407"/>
      <c r="N9" s="2423">
        <f t="shared" ref="N9" si="54">I9/100</f>
        <v>3.5999999999999999E-3</v>
      </c>
      <c r="O9" s="2408">
        <f t="shared" ref="O9" si="55">J9/100</f>
        <v>-3.9000000000000003E-3</v>
      </c>
      <c r="P9" s="2408">
        <f t="shared" ref="P9" si="56">K9/100</f>
        <v>4.8999999999999998E-3</v>
      </c>
      <c r="Q9" s="2408">
        <f t="shared" ref="Q9" si="57">L9/100</f>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ref="Z9" si="58">Y9</f>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ref="AF9" si="59">AE9</f>
        <v>1.1900000000000001E-2</v>
      </c>
      <c r="AG9" s="2426">
        <f>ROUND(AVERAGE(K9:K$35)/100,4)</f>
        <v>1.9900000000000001E-2</v>
      </c>
      <c r="AH9" s="2426">
        <f>ROUND(AVERAGE(L9:L$35)/100,4)</f>
        <v>1.2800000000000001E-2</v>
      </c>
    </row>
    <row r="10" spans="1:34" s="2427" customFormat="1">
      <c r="A10" s="2420" t="s">
        <v>2872</v>
      </c>
      <c r="B10" s="2421">
        <f t="shared" ref="B10" si="60">B11*(1+N10)</f>
        <v>481.4103506697644</v>
      </c>
      <c r="C10" s="2421">
        <f t="shared" ref="C10" si="61">C11*(1+O10)</f>
        <v>347.29066026648707</v>
      </c>
      <c r="D10" s="2421">
        <f t="shared" ref="D10" si="62">C10</f>
        <v>347.29066026648707</v>
      </c>
      <c r="E10" s="2421">
        <f t="shared" ref="E10" si="63">E11*(1+P10)</f>
        <v>690.85977273901995</v>
      </c>
      <c r="F10" s="2421">
        <f t="shared" ref="F10" si="64">F11*(1+Q10)</f>
        <v>319.13136737000184</v>
      </c>
      <c r="G10" s="2411">
        <v>2020</v>
      </c>
      <c r="H10" s="2422">
        <v>2</v>
      </c>
      <c r="I10" s="2384">
        <v>0.31</v>
      </c>
      <c r="J10" s="2384">
        <v>-0.78</v>
      </c>
      <c r="K10" s="2384">
        <v>0.5</v>
      </c>
      <c r="L10" s="2385">
        <v>0.47</v>
      </c>
      <c r="M10" s="2407"/>
      <c r="N10" s="2423">
        <f t="shared" ref="N10" si="65">I10/100</f>
        <v>3.0999999999999999E-3</v>
      </c>
      <c r="O10" s="2408">
        <f t="shared" ref="O10" si="66">J10/100</f>
        <v>-7.8000000000000005E-3</v>
      </c>
      <c r="P10" s="2408">
        <f t="shared" ref="P10" si="67">K10/100</f>
        <v>5.0000000000000001E-3</v>
      </c>
      <c r="Q10" s="2408">
        <f t="shared" ref="Q10" si="68">L10/100</f>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ref="Z10" si="69">Y10</f>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ref="AF10" si="70">AE10</f>
        <v>1.2500000000000001E-2</v>
      </c>
      <c r="AG10" s="2426">
        <f>ROUND(AVERAGE(K10:K$35)/100,4)</f>
        <v>2.0400000000000001E-2</v>
      </c>
      <c r="AH10" s="2426">
        <f>ROUND(AVERAGE(L10:L$35)/100,4)</f>
        <v>1.32E-2</v>
      </c>
    </row>
    <row r="11" spans="1:34" s="2427" customFormat="1">
      <c r="A11" s="2420" t="s">
        <v>2870</v>
      </c>
      <c r="B11" s="2421">
        <f t="shared" ref="B11" si="71">B12*(1+N11)</f>
        <v>479.92259063878413</v>
      </c>
      <c r="C11" s="2421">
        <f t="shared" ref="C11" si="72">C12*(1+O11)</f>
        <v>350.02082268341775</v>
      </c>
      <c r="D11" s="2421">
        <f t="shared" ref="D11" si="73">C11</f>
        <v>350.02082268341775</v>
      </c>
      <c r="E11" s="2421">
        <f t="shared" ref="E11" si="74">E12*(1+P11)</f>
        <v>687.42265944181099</v>
      </c>
      <c r="F11" s="2421">
        <f t="shared" ref="F11" si="75">F12*(1+Q11)</f>
        <v>317.63846657708956</v>
      </c>
      <c r="G11" s="2411">
        <v>2020</v>
      </c>
      <c r="H11" s="2422">
        <v>1</v>
      </c>
      <c r="I11" s="2384">
        <v>0.12</v>
      </c>
      <c r="J11" s="2384">
        <v>-0.4</v>
      </c>
      <c r="K11" s="2384">
        <v>0.21</v>
      </c>
      <c r="L11" s="2385">
        <v>0.27</v>
      </c>
      <c r="M11" s="2407"/>
      <c r="N11" s="2423">
        <f t="shared" ref="N11" si="76">I11/100</f>
        <v>1.1999999999999999E-3</v>
      </c>
      <c r="O11" s="2408">
        <f t="shared" ref="O11" si="77">J11/100</f>
        <v>-4.0000000000000001E-3</v>
      </c>
      <c r="P11" s="2408">
        <f t="shared" ref="P11" si="78">K11/100</f>
        <v>2.0999999999999999E-3</v>
      </c>
      <c r="Q11" s="2408">
        <f t="shared" ref="Q11" si="79">L11/100</f>
        <v>2.7000000000000001E-3</v>
      </c>
      <c r="R11" s="2424"/>
      <c r="S11" s="2423">
        <f>B11/B12-1</f>
        <v>1.2000000000000899E-3</v>
      </c>
      <c r="T11" s="2408">
        <f t="shared" ref="T11" si="80">C11/C12-1</f>
        <v>-4.0000000000000036E-3</v>
      </c>
      <c r="U11" s="2408">
        <f t="shared" ref="U11" si="81">D11/D12-1</f>
        <v>-4.0000000000000036E-3</v>
      </c>
      <c r="V11" s="2408">
        <f t="shared" ref="V11" si="82">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ref="Z11" si="83">Y11</f>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ref="AF11" si="84">AE11</f>
        <v>1.3299999999999999E-2</v>
      </c>
      <c r="AG11" s="2426">
        <f>ROUND(AVERAGE(K11:K$35)/100,4)</f>
        <v>2.1100000000000001E-2</v>
      </c>
      <c r="AH11" s="2426">
        <f>ROUND(AVERAGE(L11:L$35)/100,4)</f>
        <v>1.3599999999999999E-2</v>
      </c>
    </row>
    <row r="12" spans="1:34" s="2427" customFormat="1">
      <c r="A12" s="2420" t="s">
        <v>2869</v>
      </c>
      <c r="B12" s="2421">
        <f t="shared" ref="B12" si="85">B13*(1+N12)</f>
        <v>479.34737379023579</v>
      </c>
      <c r="C12" s="2421">
        <f t="shared" ref="C12" si="86">C13*(1+O12)</f>
        <v>351.4265287986122</v>
      </c>
      <c r="D12" s="2421">
        <f t="shared" ref="D12" si="87">C12</f>
        <v>351.4265287986122</v>
      </c>
      <c r="E12" s="2421">
        <f t="shared" ref="E12" si="88">E13*(1+P12)</f>
        <v>685.98209703803116</v>
      </c>
      <c r="F12" s="2421">
        <f t="shared" ref="F12" si="89">F13*(1+Q12)</f>
        <v>316.78315206651001</v>
      </c>
      <c r="G12" s="2411">
        <v>2019</v>
      </c>
      <c r="H12" s="2422">
        <v>4</v>
      </c>
      <c r="I12" s="2422">
        <v>0.45</v>
      </c>
      <c r="J12" s="2422">
        <v>-0.12</v>
      </c>
      <c r="K12" s="2422">
        <v>0.54</v>
      </c>
      <c r="L12" s="2428">
        <v>0.48</v>
      </c>
      <c r="M12" s="2407"/>
      <c r="N12" s="2423">
        <f t="shared" ref="N12:N17" si="90">I12/100</f>
        <v>4.5000000000000005E-3</v>
      </c>
      <c r="O12" s="2408">
        <f t="shared" ref="O12" si="91">J12/100</f>
        <v>-1.1999999999999999E-3</v>
      </c>
      <c r="P12" s="2408">
        <f t="shared" ref="P12" si="92">K12/100</f>
        <v>5.4000000000000003E-3</v>
      </c>
      <c r="Q12" s="2408">
        <f t="shared" ref="Q12" si="93">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ref="Z12" si="94">Y12</f>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ref="AF12" si="95">AE12</f>
        <v>1.4E-2</v>
      </c>
      <c r="AG12" s="2426">
        <f>ROUND(AVERAGE(K12:K$35)/100,4)</f>
        <v>2.1899999999999999E-2</v>
      </c>
      <c r="AH12" s="2426">
        <f>ROUND(AVERAGE(L12:L$35)/100,4)</f>
        <v>1.4E-2</v>
      </c>
    </row>
    <row r="13" spans="1:34" s="2427" customFormat="1" ht="13.5" thickBot="1">
      <c r="A13" s="2420" t="s">
        <v>2868</v>
      </c>
      <c r="B13" s="2421">
        <f t="shared" ref="B13" si="96">B14*(1+N13)</f>
        <v>477.19997390765138</v>
      </c>
      <c r="C13" s="2421">
        <f t="shared" ref="C13" si="97">C14*(1+O13)</f>
        <v>351.84874729536665</v>
      </c>
      <c r="D13" s="2421">
        <f t="shared" ref="D13" si="98">C13</f>
        <v>351.84874729536665</v>
      </c>
      <c r="E13" s="2421">
        <f t="shared" ref="E13" si="99">E14*(1+P13)</f>
        <v>682.29768951465201</v>
      </c>
      <c r="F13" s="2421">
        <f t="shared" ref="F13" si="100">F14*(1+Q13)</f>
        <v>315.26985675409043</v>
      </c>
      <c r="G13" s="2411">
        <v>2019</v>
      </c>
      <c r="H13" s="2422">
        <v>3</v>
      </c>
      <c r="I13" s="2422">
        <v>0.61</v>
      </c>
      <c r="J13" s="2422">
        <v>0.67</v>
      </c>
      <c r="K13" s="2422">
        <v>0.6</v>
      </c>
      <c r="L13" s="2428">
        <v>1.03</v>
      </c>
      <c r="M13" s="2407"/>
      <c r="N13" s="2423">
        <f t="shared" si="90"/>
        <v>6.0999999999999995E-3</v>
      </c>
      <c r="O13" s="2408">
        <f t="shared" ref="O13" si="101">J13/100</f>
        <v>6.7000000000000002E-3</v>
      </c>
      <c r="P13" s="2408">
        <f t="shared" ref="P13" si="102">K13/100</f>
        <v>6.0000000000000001E-3</v>
      </c>
      <c r="Q13" s="2408">
        <f t="shared" ref="Q13" si="103">L13/100</f>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ref="Z13" si="104">Y13</f>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ref="AF13" si="105">AE13</f>
        <v>1.47E-2</v>
      </c>
      <c r="AG13" s="2426">
        <f>ROUND(AVERAGE(K13:K$35)/100,4)</f>
        <v>2.2599999999999999E-2</v>
      </c>
      <c r="AH13" s="2426">
        <f>ROUND(AVERAGE(L13:L$35)/100,4)</f>
        <v>1.44E-2</v>
      </c>
    </row>
    <row r="14" spans="1:34" s="2427" customFormat="1">
      <c r="A14" s="2420" t="s">
        <v>2866</v>
      </c>
      <c r="B14" s="2421">
        <f t="shared" ref="B14" si="106">B15*(1+N14)</f>
        <v>474.30670301923408</v>
      </c>
      <c r="C14" s="2421">
        <f t="shared" ref="C14" si="107">C15*(1+O14)</f>
        <v>349.50705005996491</v>
      </c>
      <c r="D14" s="2421">
        <f t="shared" ref="D14" si="108">C14</f>
        <v>349.50705005996491</v>
      </c>
      <c r="E14" s="2421">
        <f t="shared" ref="E14" si="109">E15*(1+P14)</f>
        <v>678.22831959706957</v>
      </c>
      <c r="F14" s="2421">
        <f t="shared" ref="F14" si="110">F15*(1+Q14)</f>
        <v>312.0556832169558</v>
      </c>
      <c r="G14" s="2411">
        <v>2019</v>
      </c>
      <c r="H14" s="2429">
        <v>2</v>
      </c>
      <c r="I14" s="2429">
        <v>1.53</v>
      </c>
      <c r="J14" s="2429">
        <v>1.01</v>
      </c>
      <c r="K14" s="2429">
        <v>1.62</v>
      </c>
      <c r="L14" s="2430">
        <v>1.25</v>
      </c>
      <c r="M14" s="2407"/>
      <c r="N14" s="2423">
        <f t="shared" si="90"/>
        <v>1.5300000000000001E-2</v>
      </c>
      <c r="O14" s="2408">
        <f t="shared" ref="O14" si="111">J14/100</f>
        <v>1.01E-2</v>
      </c>
      <c r="P14" s="2408">
        <f t="shared" ref="P14" si="112">K14/100</f>
        <v>1.6200000000000003E-2</v>
      </c>
      <c r="Q14" s="2408">
        <f t="shared" ref="Q14" si="113">L14/100</f>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ref="Z14" si="114">Y14</f>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ref="AF14" si="115">AE14</f>
        <v>1.4999999999999999E-2</v>
      </c>
      <c r="AG14" s="2426">
        <f>ROUND(AVERAGE(K14:K$35)/100,4)</f>
        <v>2.3300000000000001E-2</v>
      </c>
      <c r="AH14" s="2426">
        <f>ROUND(AVERAGE(L14:L$35)/100,4)</f>
        <v>1.46E-2</v>
      </c>
    </row>
    <row r="15" spans="1:34" s="2427" customFormat="1" ht="13.5" thickBot="1">
      <c r="A15" s="2420" t="s">
        <v>2864</v>
      </c>
      <c r="B15" s="2421">
        <f t="shared" ref="B15" si="116">B16*(1+N15)</f>
        <v>467.15916775261894</v>
      </c>
      <c r="C15" s="2421">
        <f t="shared" ref="C15" si="117">C16*(1+O15)</f>
        <v>346.01232557169084</v>
      </c>
      <c r="D15" s="2421">
        <f t="shared" ref="D15" si="118">C15</f>
        <v>346.01232557169084</v>
      </c>
      <c r="E15" s="2421">
        <f t="shared" ref="E15" si="119">E16*(1+P15)</f>
        <v>667.41617752122568</v>
      </c>
      <c r="F15" s="2421">
        <f t="shared" ref="F15" si="120">F16*(1+Q15)</f>
        <v>308.20314391798104</v>
      </c>
      <c r="G15" s="2411">
        <v>2019</v>
      </c>
      <c r="H15" s="2422">
        <v>1</v>
      </c>
      <c r="I15" s="2422">
        <v>0.6</v>
      </c>
      <c r="J15" s="2422">
        <v>0.37</v>
      </c>
      <c r="K15" s="2422">
        <v>0.63</v>
      </c>
      <c r="L15" s="2428">
        <v>1.1299999999999999</v>
      </c>
      <c r="M15" s="2407"/>
      <c r="N15" s="2423">
        <f t="shared" si="90"/>
        <v>6.0000000000000001E-3</v>
      </c>
      <c r="O15" s="2408">
        <f t="shared" ref="O15" si="121">J15/100</f>
        <v>3.7000000000000002E-3</v>
      </c>
      <c r="P15" s="2408">
        <f t="shared" ref="P15" si="122">K15/100</f>
        <v>6.3E-3</v>
      </c>
      <c r="Q15" s="2408">
        <f t="shared" ref="Q15" si="123">L15/100</f>
        <v>1.1299999999999999E-2</v>
      </c>
      <c r="R15" s="2424"/>
      <c r="S15" s="2423">
        <f>B15/B16-1</f>
        <v>6.0000000000000053E-3</v>
      </c>
      <c r="T15" s="2408">
        <f t="shared" ref="T15" si="124">C15/C16-1</f>
        <v>3.7000000000000366E-3</v>
      </c>
      <c r="U15" s="2408">
        <f t="shared" ref="U15" si="125">D15/D16-1</f>
        <v>3.7000000000000366E-3</v>
      </c>
      <c r="V15" s="2408">
        <f t="shared" ref="V15" si="126">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ref="Z15" si="127">Y15</f>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ref="AF15" si="128">AE15</f>
        <v>1.5299999999999999E-2</v>
      </c>
      <c r="AG15" s="2426">
        <f>ROUND(AVERAGE(K15:K$35)/100,4)</f>
        <v>2.3699999999999999E-2</v>
      </c>
      <c r="AH15" s="2426">
        <f>ROUND(AVERAGE(L15:L$35)/100,4)</f>
        <v>1.47E-2</v>
      </c>
    </row>
    <row r="16" spans="1:34" s="2427" customFormat="1">
      <c r="A16" s="2420" t="s">
        <v>2867</v>
      </c>
      <c r="B16" s="2431">
        <f t="shared" ref="B16" si="129">B17*(1+N16)</f>
        <v>464.37293017158942</v>
      </c>
      <c r="C16" s="2431">
        <f t="shared" ref="C16" si="130">C17*(1+O16)</f>
        <v>344.73679941385956</v>
      </c>
      <c r="D16" s="2431">
        <f t="shared" ref="D16" si="131">C16</f>
        <v>344.73679941385956</v>
      </c>
      <c r="E16" s="2431">
        <f t="shared" ref="E16" si="132">E17*(1+P16)</f>
        <v>663.2377795103107</v>
      </c>
      <c r="F16" s="2432">
        <f t="shared" ref="F16" si="133">F17*(1+Q16)</f>
        <v>304.75936311478398</v>
      </c>
      <c r="G16" s="3609">
        <v>2018</v>
      </c>
      <c r="H16" s="2429">
        <v>4</v>
      </c>
      <c r="I16" s="2429">
        <v>0.96</v>
      </c>
      <c r="J16" s="2429">
        <v>1.03</v>
      </c>
      <c r="K16" s="2429">
        <v>0.92</v>
      </c>
      <c r="L16" s="2430">
        <v>1.29</v>
      </c>
      <c r="M16" s="2407"/>
      <c r="N16" s="2423">
        <f t="shared" si="90"/>
        <v>9.5999999999999992E-3</v>
      </c>
      <c r="O16" s="2408">
        <f t="shared" ref="O16" si="134">J16/100</f>
        <v>1.03E-2</v>
      </c>
      <c r="P16" s="2408">
        <f t="shared" ref="P16" si="135">K16/100</f>
        <v>9.1999999999999998E-3</v>
      </c>
      <c r="Q16" s="2408">
        <f t="shared" ref="Q16" si="136">L16/100</f>
        <v>1.29E-2</v>
      </c>
      <c r="R16" s="2424"/>
      <c r="S16" s="2423"/>
      <c r="T16" s="2408"/>
      <c r="U16" s="2408"/>
      <c r="V16" s="2408"/>
      <c r="W16" s="2425"/>
      <c r="X16" s="2425">
        <f>ROUND(SUMPRODUCT(PRODUCT(1+N16:N$34)),4)</f>
        <v>1.5099</v>
      </c>
      <c r="Y16" s="2425">
        <f>ROUND(SUMPRODUCT(PRODUCT(1+O16:O$34)),4)</f>
        <v>1.3372999999999999</v>
      </c>
      <c r="Z16" s="2425">
        <f t="shared" ref="Z16" si="137">Y16</f>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ref="AF16" si="138">AE16</f>
        <v>1.5800000000000002E-2</v>
      </c>
      <c r="AG16" s="2426">
        <f>ROUND(AVERAGE(K16:K$35)/100,4)</f>
        <v>2.4500000000000001E-2</v>
      </c>
      <c r="AH16" s="2426">
        <f>ROUND(AVERAGE(L16:L$35)/100,4)</f>
        <v>1.49E-2</v>
      </c>
    </row>
    <row r="17" spans="1:34" s="2427" customFormat="1" ht="14.45" customHeight="1">
      <c r="A17" s="2420" t="s">
        <v>2862</v>
      </c>
      <c r="B17" s="2421">
        <f t="shared" ref="B17" si="139">B18*(1+N17)</f>
        <v>459.95733971036987</v>
      </c>
      <c r="C17" s="2421">
        <f t="shared" ref="C17" si="140">C18*(1+O17)</f>
        <v>341.22221064422405</v>
      </c>
      <c r="D17" s="2421">
        <f t="shared" ref="D17" si="141">C17</f>
        <v>341.22221064422405</v>
      </c>
      <c r="E17" s="2421">
        <f t="shared" ref="E17" si="142">E18*(1+P17)</f>
        <v>657.19161663724799</v>
      </c>
      <c r="F17" s="2421">
        <f t="shared" ref="F17" si="143">F18*(1+Q17)</f>
        <v>300.87803644464805</v>
      </c>
      <c r="G17" s="3609"/>
      <c r="H17" s="2422">
        <v>3</v>
      </c>
      <c r="I17" s="2422">
        <v>1.51</v>
      </c>
      <c r="J17" s="2422">
        <v>1.41</v>
      </c>
      <c r="K17" s="2422">
        <v>1.52</v>
      </c>
      <c r="L17" s="2428">
        <v>1.74</v>
      </c>
      <c r="M17" s="2407"/>
      <c r="N17" s="2423">
        <f t="shared" si="90"/>
        <v>1.5100000000000001E-2</v>
      </c>
      <c r="O17" s="2408">
        <f t="shared" ref="O17" si="144">J17/100</f>
        <v>1.41E-2</v>
      </c>
      <c r="P17" s="2408">
        <f t="shared" ref="P17" si="145">K17/100</f>
        <v>1.52E-2</v>
      </c>
      <c r="Q17" s="2408">
        <f t="shared" ref="Q17" si="146">L17/100</f>
        <v>1.7399999999999999E-2</v>
      </c>
      <c r="R17" s="2424"/>
      <c r="S17" s="2423"/>
      <c r="T17" s="2408"/>
      <c r="U17" s="2408"/>
      <c r="V17" s="2408"/>
      <c r="W17" s="2425"/>
      <c r="X17" s="2425">
        <f>ROUND(SUMPRODUCT(PRODUCT(1+N17:N$34)),4)</f>
        <v>1.4956</v>
      </c>
      <c r="Y17" s="2425">
        <f>ROUND(SUMPRODUCT(PRODUCT(1+O17:O$34)),4)</f>
        <v>1.3237000000000001</v>
      </c>
      <c r="Z17" s="2425">
        <f t="shared" ref="Z17" si="147">Y17</f>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ref="AF17" si="148">AE17</f>
        <v>1.61E-2</v>
      </c>
      <c r="AG17" s="2426">
        <f>ROUND(AVERAGE(K17:K$35)/100,4)</f>
        <v>2.53E-2</v>
      </c>
      <c r="AH17" s="2426">
        <f>ROUND(AVERAGE(L17:L$35)/100,4)</f>
        <v>1.4999999999999999E-2</v>
      </c>
    </row>
    <row r="18" spans="1:34" s="2427" customFormat="1" ht="14.45" customHeight="1">
      <c r="A18" s="2420" t="s">
        <v>2861</v>
      </c>
      <c r="B18" s="2421">
        <f t="shared" ref="B18" si="149">B19*(1+N18)</f>
        <v>453.11529869999993</v>
      </c>
      <c r="C18" s="2421">
        <f t="shared" ref="C18" si="150">C19*(1+O18)</f>
        <v>336.47787264000004</v>
      </c>
      <c r="D18" s="2421">
        <f t="shared" ref="D18" si="151">C18</f>
        <v>336.47787264000004</v>
      </c>
      <c r="E18" s="2421">
        <f t="shared" ref="E18" si="152">E19*(1+P18)</f>
        <v>647.35186823999993</v>
      </c>
      <c r="F18" s="2421">
        <f t="shared" ref="F18" si="153">F19*(1+Q18)</f>
        <v>295.73229452000004</v>
      </c>
      <c r="G18" s="3609"/>
      <c r="H18" s="2433">
        <v>2</v>
      </c>
      <c r="I18" s="2433">
        <v>1.49</v>
      </c>
      <c r="J18" s="2433">
        <v>0.96</v>
      </c>
      <c r="K18" s="2433">
        <v>1.58</v>
      </c>
      <c r="L18" s="2434">
        <v>2.44</v>
      </c>
      <c r="M18" s="2407"/>
      <c r="N18" s="2423">
        <f t="shared" ref="N18" si="154">I18/100</f>
        <v>1.49E-2</v>
      </c>
      <c r="O18" s="2408">
        <f t="shared" ref="O18" si="155">J18/100</f>
        <v>9.5999999999999992E-3</v>
      </c>
      <c r="P18" s="2408">
        <f t="shared" ref="P18" si="156">K18/100</f>
        <v>1.5800000000000002E-2</v>
      </c>
      <c r="Q18" s="2408">
        <f t="shared" ref="Q18" si="157">L18/100</f>
        <v>2.4399999999999998E-2</v>
      </c>
      <c r="R18" s="2424"/>
      <c r="S18" s="2423"/>
      <c r="T18" s="2408"/>
      <c r="U18" s="2408"/>
      <c r="V18" s="2408"/>
      <c r="W18" s="2425"/>
      <c r="X18" s="2425">
        <f>ROUND(SUMPRODUCT(PRODUCT(1+N18:N$34)),4)</f>
        <v>1.4733000000000001</v>
      </c>
      <c r="Y18" s="2425">
        <f>ROUND(SUMPRODUCT(PRODUCT(1+O18:O$34)),4)</f>
        <v>1.3052999999999999</v>
      </c>
      <c r="Z18" s="2425">
        <f t="shared" ref="Z18" si="158">Y18</f>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ref="AF18" si="159">AE18</f>
        <v>1.6199999999999999E-2</v>
      </c>
      <c r="AG18" s="2426">
        <f>ROUND(AVERAGE(K18:K$35)/100,4)</f>
        <v>2.5899999999999999E-2</v>
      </c>
      <c r="AH18" s="2426">
        <f>ROUND(AVERAGE(L18:L$35)/100,4)</f>
        <v>1.49E-2</v>
      </c>
    </row>
    <row r="19" spans="1:34" s="2427" customFormat="1" ht="15" customHeight="1" thickBot="1">
      <c r="A19" s="2420" t="s">
        <v>2854</v>
      </c>
      <c r="B19" s="2421">
        <f t="shared" ref="B19" si="160">B20*(1+N19)</f>
        <v>446.46299999999997</v>
      </c>
      <c r="C19" s="2421">
        <f t="shared" ref="C19" si="161">C20*(1+O19)</f>
        <v>333.27840000000003</v>
      </c>
      <c r="D19" s="2421">
        <f t="shared" ref="D19" si="162">C19</f>
        <v>333.27840000000003</v>
      </c>
      <c r="E19" s="2421">
        <f t="shared" ref="E19" si="163">E20*(1+P19)</f>
        <v>637.28279999999995</v>
      </c>
      <c r="F19" s="2421">
        <f t="shared" ref="F19" si="164">F20*(1+Q19)</f>
        <v>288.68830000000003</v>
      </c>
      <c r="G19" s="3616"/>
      <c r="H19" s="2422">
        <v>1</v>
      </c>
      <c r="I19" s="2422">
        <v>1.7</v>
      </c>
      <c r="J19" s="2422">
        <v>1.92</v>
      </c>
      <c r="K19" s="2422">
        <v>1.64</v>
      </c>
      <c r="L19" s="2428">
        <v>2.0099999999999998</v>
      </c>
      <c r="M19" s="2407"/>
      <c r="N19" s="2423">
        <f t="shared" ref="N19:N24" si="165">I19/100</f>
        <v>1.7000000000000001E-2</v>
      </c>
      <c r="O19" s="2408">
        <f t="shared" ref="O19" si="166">J19/100</f>
        <v>1.9199999999999998E-2</v>
      </c>
      <c r="P19" s="2408">
        <f t="shared" ref="P19" si="167">K19/100</f>
        <v>1.6399999999999998E-2</v>
      </c>
      <c r="Q19" s="2408">
        <f t="shared" ref="Q19" si="168">L19/100</f>
        <v>2.0099999999999996E-2</v>
      </c>
      <c r="R19" s="2424"/>
      <c r="S19" s="2423">
        <f>B19/B20-1</f>
        <v>1.6999999999999904E-2</v>
      </c>
      <c r="T19" s="2408">
        <f t="shared" ref="T19" si="169">C19/C20-1</f>
        <v>1.9200000000000106E-2</v>
      </c>
      <c r="U19" s="2408">
        <f t="shared" ref="U19" si="170">D19/D20-1</f>
        <v>1.9200000000000106E-2</v>
      </c>
      <c r="V19" s="2408">
        <f t="shared" ref="V19" si="171">E19/E20-1</f>
        <v>1.639999999999997E-2</v>
      </c>
      <c r="W19" s="2425"/>
      <c r="X19" s="2425">
        <f>ROUND(SUMPRODUCT(PRODUCT(1+N19:N$34)),4)</f>
        <v>1.4517</v>
      </c>
      <c r="Y19" s="2425">
        <f>ROUND(SUMPRODUCT(PRODUCT(1+O19:O$34)),4)</f>
        <v>1.2928999999999999</v>
      </c>
      <c r="Z19" s="2425">
        <f t="shared" ref="Z19" si="172">Y19</f>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ref="AF19" si="173">AE19</f>
        <v>1.66E-2</v>
      </c>
      <c r="AG19" s="2426">
        <f>ROUND(AVERAGE(K19:K$35)/100,4)</f>
        <v>2.6499999999999999E-2</v>
      </c>
      <c r="AH19" s="2426">
        <f>ROUND(AVERAGE(L19:L$35)/100,4)</f>
        <v>1.43E-2</v>
      </c>
    </row>
    <row r="20" spans="1:34">
      <c r="A20" s="2420" t="s">
        <v>2852</v>
      </c>
      <c r="B20" s="2435">
        <v>439</v>
      </c>
      <c r="C20" s="2435">
        <v>327</v>
      </c>
      <c r="D20" s="2435">
        <f>C20</f>
        <v>327</v>
      </c>
      <c r="E20" s="2435">
        <v>627</v>
      </c>
      <c r="F20" s="2436">
        <v>283</v>
      </c>
      <c r="G20" s="3612">
        <v>2017</v>
      </c>
      <c r="H20" s="2429">
        <v>4</v>
      </c>
      <c r="I20" s="2429">
        <v>1.71</v>
      </c>
      <c r="J20" s="2429">
        <v>1.78</v>
      </c>
      <c r="K20" s="2429">
        <v>1.71</v>
      </c>
      <c r="L20" s="2430">
        <v>1.43</v>
      </c>
      <c r="N20" s="2423">
        <f t="shared" si="165"/>
        <v>1.7100000000000001E-2</v>
      </c>
      <c r="O20" s="2408">
        <f t="shared" ref="O20" si="174">J20/100</f>
        <v>1.78E-2</v>
      </c>
      <c r="P20" s="2408">
        <f t="shared" ref="P20" si="175">K20/100</f>
        <v>1.7100000000000001E-2</v>
      </c>
      <c r="Q20" s="2408">
        <f t="shared" ref="Q20" si="176">L20/100</f>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5" customHeight="1">
      <c r="A21" s="2420" t="s">
        <v>2853</v>
      </c>
      <c r="B21" s="2421">
        <f t="shared" ref="B21:B22" si="177">B22*(1+N21)</f>
        <v>431.80730811680002</v>
      </c>
      <c r="C21" s="2421">
        <f t="shared" ref="C21:C22" si="178">C22*(1+O21)</f>
        <v>320.57880516480003</v>
      </c>
      <c r="D21" s="2421">
        <f t="shared" ref="D21:D22" si="179">C21</f>
        <v>320.57880516480003</v>
      </c>
      <c r="E21" s="2421">
        <f t="shared" ref="E21:E22" si="180">E22*(1+P21)</f>
        <v>615.96110553196797</v>
      </c>
      <c r="F21" s="2421">
        <f t="shared" ref="F21:F22" si="181">F22*(1+Q21)</f>
        <v>279.46777300108801</v>
      </c>
      <c r="G21" s="3609"/>
      <c r="H21" s="2422">
        <v>3</v>
      </c>
      <c r="I21" s="2422">
        <v>2.98</v>
      </c>
      <c r="J21" s="2422">
        <v>2.11</v>
      </c>
      <c r="K21" s="2422">
        <v>3.24</v>
      </c>
      <c r="L21" s="2428">
        <v>1.72</v>
      </c>
      <c r="M21" s="2407"/>
      <c r="N21" s="2423">
        <f t="shared" si="165"/>
        <v>2.98E-2</v>
      </c>
      <c r="O21" s="2408">
        <f t="shared" ref="O21" si="182">J21/100</f>
        <v>2.1099999999999997E-2</v>
      </c>
      <c r="P21" s="2408">
        <f t="shared" ref="P21" si="183">K21/100</f>
        <v>3.2400000000000005E-2</v>
      </c>
      <c r="Q21" s="2408">
        <f t="shared" ref="Q21" si="184">L21/100</f>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5" customHeight="1">
      <c r="A22" s="2420" t="s">
        <v>1351</v>
      </c>
      <c r="B22" s="2421">
        <f t="shared" si="177"/>
        <v>419.31181600000002</v>
      </c>
      <c r="C22" s="2421">
        <f t="shared" si="178"/>
        <v>313.95436800000004</v>
      </c>
      <c r="D22" s="2421">
        <f t="shared" si="179"/>
        <v>313.95436800000004</v>
      </c>
      <c r="E22" s="2421">
        <f t="shared" si="180"/>
        <v>596.63028431999999</v>
      </c>
      <c r="F22" s="2421">
        <f t="shared" si="181"/>
        <v>274.74220703999998</v>
      </c>
      <c r="G22" s="3609"/>
      <c r="H22" s="2433">
        <v>2</v>
      </c>
      <c r="I22" s="2433">
        <v>3.4</v>
      </c>
      <c r="J22" s="2433">
        <v>2</v>
      </c>
      <c r="K22" s="2433">
        <v>3.82</v>
      </c>
      <c r="L22" s="2434">
        <v>1.68</v>
      </c>
      <c r="M22" s="2407"/>
      <c r="N22" s="2423">
        <f t="shared" si="165"/>
        <v>3.4000000000000002E-2</v>
      </c>
      <c r="O22" s="2408">
        <f t="shared" ref="O22" si="185">J22/100</f>
        <v>0.02</v>
      </c>
      <c r="P22" s="2408">
        <f t="shared" ref="P22" si="186">K22/100</f>
        <v>3.8199999999999998E-2</v>
      </c>
      <c r="Q22" s="2408">
        <f t="shared" ref="Q22" si="187">L22/100</f>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B24*(1+N23)</f>
        <v>405.524</v>
      </c>
      <c r="C23" s="2421">
        <f>C24*(1+O23)</f>
        <v>307.79840000000002</v>
      </c>
      <c r="D23" s="2421">
        <f>C23</f>
        <v>307.79840000000002</v>
      </c>
      <c r="E23" s="2421">
        <f>E24*(1+P23)</f>
        <v>574.67759999999998</v>
      </c>
      <c r="F23" s="2421">
        <f>F24*(1+Q23)</f>
        <v>270.20280000000002</v>
      </c>
      <c r="G23" s="3616"/>
      <c r="H23" s="2422">
        <v>1</v>
      </c>
      <c r="I23" s="2422">
        <v>3.45</v>
      </c>
      <c r="J23" s="2422">
        <v>1.92</v>
      </c>
      <c r="K23" s="2422">
        <v>3.92</v>
      </c>
      <c r="L23" s="2428">
        <v>1.58</v>
      </c>
      <c r="M23" s="2407"/>
      <c r="N23" s="2423">
        <f t="shared" si="165"/>
        <v>3.4500000000000003E-2</v>
      </c>
      <c r="O23" s="2408">
        <f t="shared" ref="O23:Q38" si="188">J23/100</f>
        <v>1.9199999999999998E-2</v>
      </c>
      <c r="P23" s="2408">
        <f t="shared" si="188"/>
        <v>3.9199999999999999E-2</v>
      </c>
      <c r="Q23" s="2408">
        <f t="shared" si="188"/>
        <v>1.5800000000000002E-2</v>
      </c>
      <c r="R23" s="2424"/>
      <c r="S23" s="2423">
        <f>B23/B24-1</f>
        <v>3.4499999999999975E-2</v>
      </c>
      <c r="T23" s="2408">
        <f t="shared" ref="T23:V23" si="189">C23/C24-1</f>
        <v>1.9200000000000106E-2</v>
      </c>
      <c r="U23" s="2408">
        <f t="shared" si="189"/>
        <v>1.9200000000000106E-2</v>
      </c>
      <c r="V23" s="2408">
        <f t="shared" si="189"/>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C24</f>
        <v>302</v>
      </c>
      <c r="E24" s="2435">
        <v>553</v>
      </c>
      <c r="F24" s="2436">
        <v>266</v>
      </c>
      <c r="G24" s="3612">
        <v>2016</v>
      </c>
      <c r="H24" s="2429">
        <v>4</v>
      </c>
      <c r="I24" s="2429">
        <v>4.5599999999999996</v>
      </c>
      <c r="J24" s="2429">
        <v>2.15</v>
      </c>
      <c r="K24" s="2429">
        <v>5.32</v>
      </c>
      <c r="L24" s="2430">
        <v>1.57</v>
      </c>
      <c r="N24" s="2423">
        <f t="shared" si="165"/>
        <v>4.5599999999999995E-2</v>
      </c>
      <c r="O24" s="2408">
        <f t="shared" si="188"/>
        <v>2.1499999999999998E-2</v>
      </c>
      <c r="P24" s="2408">
        <f t="shared" si="188"/>
        <v>5.3200000000000004E-2</v>
      </c>
      <c r="Q24" s="2408">
        <f t="shared" si="18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190">B24/(1+N24)</f>
        <v>374.90436113236416</v>
      </c>
      <c r="C25" s="2421">
        <f t="shared" si="190"/>
        <v>295.64366128242779</v>
      </c>
      <c r="D25" s="2421">
        <f t="shared" ref="D25:D84" si="191">C25</f>
        <v>295.64366128242779</v>
      </c>
      <c r="E25" s="2421">
        <f t="shared" ref="E25:F27" si="192">E24/(1+P24)</f>
        <v>525.06646410938095</v>
      </c>
      <c r="F25" s="2421">
        <f t="shared" si="192"/>
        <v>261.88835286009646</v>
      </c>
      <c r="G25" s="3609"/>
      <c r="H25" s="2422">
        <v>3</v>
      </c>
      <c r="I25" s="2422">
        <v>4.12</v>
      </c>
      <c r="J25" s="2422">
        <v>2</v>
      </c>
      <c r="K25" s="2422">
        <v>4.79</v>
      </c>
      <c r="L25" s="2428">
        <v>1.97</v>
      </c>
      <c r="N25" s="2423">
        <f t="shared" ref="N25:Q59" si="193">I25/100</f>
        <v>4.1200000000000001E-2</v>
      </c>
      <c r="O25" s="2408">
        <f t="shared" si="188"/>
        <v>0.02</v>
      </c>
      <c r="P25" s="2408">
        <f t="shared" si="188"/>
        <v>4.7899999999999998E-2</v>
      </c>
      <c r="Q25" s="2408">
        <f t="shared" si="18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190"/>
        <v>360.06949782209392</v>
      </c>
      <c r="C26" s="2421">
        <f t="shared" si="190"/>
        <v>289.84672674747821</v>
      </c>
      <c r="D26" s="2421">
        <f t="shared" si="191"/>
        <v>289.84672674747821</v>
      </c>
      <c r="E26" s="2421">
        <f t="shared" si="192"/>
        <v>501.06543001181495</v>
      </c>
      <c r="F26" s="2421">
        <f t="shared" si="192"/>
        <v>256.82882500744967</v>
      </c>
      <c r="G26" s="3609"/>
      <c r="H26" s="2433">
        <v>2</v>
      </c>
      <c r="I26" s="2433">
        <v>3.85</v>
      </c>
      <c r="J26" s="2433">
        <v>1.95</v>
      </c>
      <c r="K26" s="2433">
        <v>4.4800000000000004</v>
      </c>
      <c r="L26" s="2434">
        <v>1.41</v>
      </c>
      <c r="N26" s="2423">
        <f t="shared" si="193"/>
        <v>3.85E-2</v>
      </c>
      <c r="O26" s="2408">
        <f t="shared" si="188"/>
        <v>1.95E-2</v>
      </c>
      <c r="P26" s="2408">
        <f t="shared" si="188"/>
        <v>4.4800000000000006E-2</v>
      </c>
      <c r="Q26" s="2408">
        <f t="shared" si="18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5" thickBot="1">
      <c r="A27" s="2420" t="s">
        <v>152</v>
      </c>
      <c r="B27" s="2421">
        <f t="shared" si="190"/>
        <v>346.720748986128</v>
      </c>
      <c r="C27" s="2421">
        <f t="shared" si="190"/>
        <v>284.30282172386285</v>
      </c>
      <c r="D27" s="2421">
        <f t="shared" si="191"/>
        <v>284.30282172386285</v>
      </c>
      <c r="E27" s="2421">
        <f t="shared" si="192"/>
        <v>479.58023546306947</v>
      </c>
      <c r="F27" s="2421">
        <f t="shared" si="192"/>
        <v>253.25788877571213</v>
      </c>
      <c r="G27" s="3610"/>
      <c r="H27" s="2422">
        <v>1</v>
      </c>
      <c r="I27" s="2422">
        <v>4.09</v>
      </c>
      <c r="J27" s="2422">
        <v>2.93</v>
      </c>
      <c r="K27" s="2422">
        <v>4.54</v>
      </c>
      <c r="L27" s="2428">
        <v>1.48</v>
      </c>
      <c r="N27" s="2423">
        <f t="shared" si="193"/>
        <v>4.0899999999999999E-2</v>
      </c>
      <c r="O27" s="2408">
        <f t="shared" si="188"/>
        <v>2.9300000000000003E-2</v>
      </c>
      <c r="P27" s="2408">
        <f t="shared" si="188"/>
        <v>4.5400000000000003E-2</v>
      </c>
      <c r="Q27" s="2408">
        <f t="shared" si="18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5" thickBot="1">
      <c r="A28" s="2420" t="s">
        <v>151</v>
      </c>
      <c r="B28" s="2435">
        <v>333</v>
      </c>
      <c r="C28" s="2435">
        <v>277</v>
      </c>
      <c r="D28" s="2435">
        <f t="shared" si="191"/>
        <v>277</v>
      </c>
      <c r="E28" s="2435">
        <v>459</v>
      </c>
      <c r="F28" s="2436">
        <v>249</v>
      </c>
      <c r="G28" s="3608">
        <v>2015</v>
      </c>
      <c r="H28" s="2441">
        <v>4</v>
      </c>
      <c r="I28" s="2441">
        <v>1.63</v>
      </c>
      <c r="J28" s="2441">
        <v>1.1100000000000001</v>
      </c>
      <c r="K28" s="2441">
        <v>1.77</v>
      </c>
      <c r="L28" s="2442">
        <v>1.89</v>
      </c>
      <c r="N28" s="2443">
        <f t="shared" si="193"/>
        <v>1.6299999999999999E-2</v>
      </c>
      <c r="O28" s="2444">
        <f t="shared" si="188"/>
        <v>1.11E-2</v>
      </c>
      <c r="P28" s="2444">
        <f t="shared" si="188"/>
        <v>1.77E-2</v>
      </c>
      <c r="Q28" s="2444">
        <f t="shared" si="18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194">B28/(1+N28)</f>
        <v>327.65915576109415</v>
      </c>
      <c r="C29" s="2421">
        <f t="shared" si="194"/>
        <v>273.95905449510434</v>
      </c>
      <c r="D29" s="2421">
        <f t="shared" si="191"/>
        <v>273.95905449510434</v>
      </c>
      <c r="E29" s="2421">
        <f t="shared" ref="E29:F31" si="195">E28/(1+P28)</f>
        <v>451.01699911565294</v>
      </c>
      <c r="F29" s="2421">
        <f t="shared" si="195"/>
        <v>244.38119540681129</v>
      </c>
      <c r="G29" s="3609"/>
      <c r="H29" s="2446">
        <v>3</v>
      </c>
      <c r="I29" s="2446">
        <v>1.65</v>
      </c>
      <c r="J29" s="2446">
        <v>0.92</v>
      </c>
      <c r="K29" s="2446">
        <v>1.88</v>
      </c>
      <c r="L29" s="2447">
        <v>1.26</v>
      </c>
      <c r="N29" s="2423">
        <f t="shared" si="193"/>
        <v>1.6500000000000001E-2</v>
      </c>
      <c r="O29" s="2448">
        <f t="shared" si="188"/>
        <v>9.1999999999999998E-3</v>
      </c>
      <c r="P29" s="2448">
        <f t="shared" si="188"/>
        <v>1.8799999999999997E-2</v>
      </c>
      <c r="Q29" s="2448">
        <f t="shared" si="18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194"/>
        <v>322.34053690220776</v>
      </c>
      <c r="C30" s="2421">
        <f t="shared" si="194"/>
        <v>271.46160770422546</v>
      </c>
      <c r="D30" s="2421">
        <f t="shared" si="191"/>
        <v>271.46160770422546</v>
      </c>
      <c r="E30" s="2421">
        <f t="shared" si="195"/>
        <v>442.69434542172456</v>
      </c>
      <c r="F30" s="2421">
        <f t="shared" si="195"/>
        <v>241.34030753190925</v>
      </c>
      <c r="G30" s="3609"/>
      <c r="H30" s="2433">
        <v>2</v>
      </c>
      <c r="I30" s="2433">
        <v>0.77</v>
      </c>
      <c r="J30" s="2433">
        <v>0.69</v>
      </c>
      <c r="K30" s="2433">
        <v>0.8</v>
      </c>
      <c r="L30" s="2434">
        <v>0.88</v>
      </c>
      <c r="N30" s="2423">
        <f t="shared" si="193"/>
        <v>7.7000000000000002E-3</v>
      </c>
      <c r="O30" s="2448">
        <f t="shared" si="188"/>
        <v>6.8999999999999999E-3</v>
      </c>
      <c r="P30" s="2448">
        <f t="shared" si="188"/>
        <v>8.0000000000000002E-3</v>
      </c>
      <c r="Q30" s="2448">
        <f t="shared" si="18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194"/>
        <v>319.87748030386797</v>
      </c>
      <c r="C31" s="2421">
        <f t="shared" si="194"/>
        <v>269.60135833173649</v>
      </c>
      <c r="D31" s="2421">
        <f t="shared" si="191"/>
        <v>269.60135833173649</v>
      </c>
      <c r="E31" s="2421">
        <f t="shared" si="195"/>
        <v>439.18089823583784</v>
      </c>
      <c r="F31" s="2421">
        <f t="shared" si="195"/>
        <v>239.23503918706311</v>
      </c>
      <c r="G31" s="3610"/>
      <c r="H31" s="2422">
        <v>1</v>
      </c>
      <c r="I31" s="2422">
        <v>0.51</v>
      </c>
      <c r="J31" s="2422">
        <v>0.54</v>
      </c>
      <c r="K31" s="2422">
        <v>0.48</v>
      </c>
      <c r="L31" s="2428">
        <v>0.93</v>
      </c>
      <c r="N31" s="2439">
        <f t="shared" si="193"/>
        <v>5.1000000000000004E-3</v>
      </c>
      <c r="O31" s="2440">
        <f t="shared" si="188"/>
        <v>5.4000000000000003E-3</v>
      </c>
      <c r="P31" s="2440">
        <f t="shared" si="188"/>
        <v>4.7999999999999996E-3</v>
      </c>
      <c r="Q31" s="2440">
        <f t="shared" si="18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5" thickBot="1">
      <c r="A32" s="2420" t="s">
        <v>147</v>
      </c>
      <c r="B32" s="2449">
        <v>318</v>
      </c>
      <c r="C32" s="2449">
        <v>268</v>
      </c>
      <c r="D32" s="2449">
        <f t="shared" si="191"/>
        <v>268</v>
      </c>
      <c r="E32" s="2449">
        <v>437</v>
      </c>
      <c r="F32" s="2450">
        <v>237</v>
      </c>
      <c r="G32" s="3608">
        <v>2014</v>
      </c>
      <c r="H32" s="2441">
        <v>4</v>
      </c>
      <c r="I32" s="2441">
        <v>0.21</v>
      </c>
      <c r="J32" s="2441">
        <v>0.41</v>
      </c>
      <c r="K32" s="2441">
        <v>0.12</v>
      </c>
      <c r="L32" s="2442">
        <v>0.89</v>
      </c>
      <c r="N32" s="2423">
        <f t="shared" si="193"/>
        <v>2.0999999999999999E-3</v>
      </c>
      <c r="O32" s="2408">
        <f t="shared" si="188"/>
        <v>4.0999999999999995E-3</v>
      </c>
      <c r="P32" s="2408">
        <f t="shared" si="188"/>
        <v>1.1999999999999999E-3</v>
      </c>
      <c r="Q32" s="2408">
        <f t="shared" si="18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196">B32/(1+N32)</f>
        <v>317.33359944117353</v>
      </c>
      <c r="C33" s="2421">
        <f t="shared" si="196"/>
        <v>266.90568668459315</v>
      </c>
      <c r="D33" s="2421">
        <f t="shared" si="191"/>
        <v>266.90568668459315</v>
      </c>
      <c r="E33" s="2421">
        <f t="shared" ref="E33:F35" si="197">E32/(1+P32)</f>
        <v>436.47622852576905</v>
      </c>
      <c r="F33" s="2421">
        <f t="shared" si="197"/>
        <v>234.90930716622066</v>
      </c>
      <c r="G33" s="3609"/>
      <c r="H33" s="2451">
        <v>3</v>
      </c>
      <c r="I33" s="2451">
        <v>0.83</v>
      </c>
      <c r="J33" s="2451">
        <v>1.47</v>
      </c>
      <c r="K33" s="2451">
        <v>0.65</v>
      </c>
      <c r="L33" s="2452">
        <v>0.72</v>
      </c>
      <c r="N33" s="2423">
        <f t="shared" si="193"/>
        <v>8.3000000000000001E-3</v>
      </c>
      <c r="O33" s="2408">
        <f t="shared" si="188"/>
        <v>1.47E-2</v>
      </c>
      <c r="P33" s="2408">
        <f t="shared" si="188"/>
        <v>6.5000000000000006E-3</v>
      </c>
      <c r="Q33" s="2408">
        <f t="shared" si="188"/>
        <v>7.1999999999999998E-3</v>
      </c>
      <c r="R33" s="2424"/>
      <c r="S33" s="2423"/>
      <c r="T33" s="2408"/>
      <c r="U33" s="2408"/>
      <c r="V33" s="2408"/>
      <c r="X33" s="2407">
        <f>ROUND(SUMPRODUCT(PRODUCT(1+N33:N$34)),4)</f>
        <v>1.0325</v>
      </c>
      <c r="Y33" s="2407">
        <f>ROUND(SUMPRODUCT(PRODUCT(1+O33:O$34)),4)</f>
        <v>1.0353000000000001</v>
      </c>
      <c r="Z33" s="2407">
        <f t="shared" ref="Z33:Z34" si="198">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5" thickBot="1">
      <c r="A34" s="2420" t="s">
        <v>145</v>
      </c>
      <c r="B34" s="2421">
        <f t="shared" si="196"/>
        <v>314.72141172386546</v>
      </c>
      <c r="C34" s="2421">
        <f t="shared" si="196"/>
        <v>263.03901319069001</v>
      </c>
      <c r="D34" s="2421">
        <f t="shared" si="191"/>
        <v>263.03901319069001</v>
      </c>
      <c r="E34" s="2421">
        <f t="shared" si="197"/>
        <v>433.65745506782821</v>
      </c>
      <c r="F34" s="2421">
        <f t="shared" si="197"/>
        <v>233.23005080045735</v>
      </c>
      <c r="G34" s="3609"/>
      <c r="H34" s="2441">
        <v>2</v>
      </c>
      <c r="I34" s="2441">
        <v>2.4</v>
      </c>
      <c r="J34" s="2441">
        <v>2.0299999999999998</v>
      </c>
      <c r="K34" s="2441">
        <v>2.59</v>
      </c>
      <c r="L34" s="2442">
        <v>1.52</v>
      </c>
      <c r="N34" s="2423">
        <f t="shared" si="193"/>
        <v>2.4E-2</v>
      </c>
      <c r="O34" s="2408">
        <f t="shared" si="188"/>
        <v>2.0299999999999999E-2</v>
      </c>
      <c r="P34" s="2408">
        <f t="shared" si="188"/>
        <v>2.5899999999999999E-2</v>
      </c>
      <c r="Q34" s="2408">
        <f t="shared" si="188"/>
        <v>1.52E-2</v>
      </c>
      <c r="R34" s="2424"/>
      <c r="S34" s="2423"/>
      <c r="T34" s="2408"/>
      <c r="U34" s="2408"/>
      <c r="V34" s="2408"/>
      <c r="X34" s="2407">
        <f>1+N34</f>
        <v>1.024</v>
      </c>
      <c r="Y34" s="2407">
        <f>1+O34</f>
        <v>1.0203</v>
      </c>
      <c r="Z34" s="2407">
        <f t="shared" si="198"/>
        <v>1.0203</v>
      </c>
      <c r="AA34" s="2407">
        <f>1+P34</f>
        <v>1.0259</v>
      </c>
      <c r="AB34" s="2407">
        <f>1+Q34</f>
        <v>1.0152000000000001</v>
      </c>
      <c r="AD34" s="2408">
        <f>ROUND(AVERAGE(I34:I$35)/100,4)</f>
        <v>2.69E-2</v>
      </c>
      <c r="AE34" s="2408">
        <f>ROUND(AVERAGE(J34:J$35)/100,4)</f>
        <v>2.1899999999999999E-2</v>
      </c>
      <c r="AF34" s="2408">
        <f t="shared" ref="AF34" si="199">AE34</f>
        <v>2.1899999999999999E-2</v>
      </c>
      <c r="AG34" s="2408">
        <f>ROUND(AVERAGE(K34:K$35)/100,4)</f>
        <v>2.9399999999999999E-2</v>
      </c>
      <c r="AH34" s="2408">
        <f>ROUND(AVERAGE(L34:L$35)/100,4)</f>
        <v>1.44E-2</v>
      </c>
    </row>
    <row r="35" spans="1:34" s="2457" customFormat="1" ht="13.5" thickBot="1">
      <c r="A35" s="2453" t="s">
        <v>144</v>
      </c>
      <c r="B35" s="2454">
        <f t="shared" si="196"/>
        <v>307.34512863658733</v>
      </c>
      <c r="C35" s="2454">
        <f t="shared" si="196"/>
        <v>257.80556031626975</v>
      </c>
      <c r="D35" s="2454">
        <f t="shared" si="191"/>
        <v>257.80556031626975</v>
      </c>
      <c r="E35" s="2454">
        <f t="shared" si="197"/>
        <v>422.70928459677179</v>
      </c>
      <c r="F35" s="2454">
        <f t="shared" si="197"/>
        <v>229.73803270336617</v>
      </c>
      <c r="G35" s="3610"/>
      <c r="H35" s="2455">
        <v>1</v>
      </c>
      <c r="I35" s="2455">
        <v>2.97</v>
      </c>
      <c r="J35" s="2455">
        <v>2.34</v>
      </c>
      <c r="K35" s="2455">
        <v>3.28</v>
      </c>
      <c r="L35" s="2456">
        <v>1.36</v>
      </c>
      <c r="N35" s="2458">
        <f t="shared" si="193"/>
        <v>2.9700000000000001E-2</v>
      </c>
      <c r="O35" s="2459">
        <f t="shared" si="188"/>
        <v>2.3399999999999997E-2</v>
      </c>
      <c r="P35" s="2459">
        <f t="shared" si="188"/>
        <v>3.2799999999999996E-2</v>
      </c>
      <c r="Q35" s="2459">
        <f t="shared" si="18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5" thickBot="1">
      <c r="A36" s="2420" t="s">
        <v>1130</v>
      </c>
      <c r="B36" s="2435">
        <v>299</v>
      </c>
      <c r="C36" s="2435">
        <v>252</v>
      </c>
      <c r="D36" s="2435">
        <f t="shared" si="191"/>
        <v>252</v>
      </c>
      <c r="E36" s="2435">
        <v>409</v>
      </c>
      <c r="F36" s="2436">
        <v>227</v>
      </c>
      <c r="G36" s="3613">
        <v>2013</v>
      </c>
      <c r="H36" s="2465">
        <v>4</v>
      </c>
      <c r="I36" s="2465">
        <v>1.83</v>
      </c>
      <c r="J36" s="2465">
        <v>1.68</v>
      </c>
      <c r="K36" s="2465">
        <v>1.97</v>
      </c>
      <c r="L36" s="2466">
        <v>0.87</v>
      </c>
      <c r="N36" s="2443">
        <f t="shared" si="193"/>
        <v>1.83E-2</v>
      </c>
      <c r="O36" s="2444">
        <f t="shared" si="188"/>
        <v>1.6799999999999999E-2</v>
      </c>
      <c r="P36" s="2444">
        <f t="shared" si="188"/>
        <v>1.9699999999999999E-2</v>
      </c>
      <c r="Q36" s="2444">
        <f t="shared" si="188"/>
        <v>8.6999999999999994E-3</v>
      </c>
      <c r="R36" s="2424"/>
      <c r="S36" s="2437"/>
      <c r="T36" s="2438"/>
      <c r="U36" s="2438"/>
      <c r="V36" s="2438"/>
      <c r="X36" s="2438"/>
      <c r="Y36" s="2438"/>
      <c r="Z36" s="2438"/>
    </row>
    <row r="37" spans="1:34">
      <c r="A37" s="2420" t="s">
        <v>1131</v>
      </c>
      <c r="B37" s="2421">
        <f t="shared" ref="B37:C39" si="200">B36/(1+N36)</f>
        <v>293.62663262299913</v>
      </c>
      <c r="C37" s="2421">
        <f t="shared" si="200"/>
        <v>247.83634933123525</v>
      </c>
      <c r="D37" s="2421">
        <f t="shared" si="191"/>
        <v>247.83634933123525</v>
      </c>
      <c r="E37" s="2421">
        <f t="shared" ref="E37:F39" si="201">E36/(1+P36)</f>
        <v>401.09836226341076</v>
      </c>
      <c r="F37" s="2421">
        <f t="shared" si="201"/>
        <v>225.04213343908003</v>
      </c>
      <c r="G37" s="3614"/>
      <c r="H37" s="2446">
        <v>3</v>
      </c>
      <c r="I37" s="2446">
        <v>1.86</v>
      </c>
      <c r="J37" s="2446">
        <v>1.72</v>
      </c>
      <c r="K37" s="2446">
        <v>1.98</v>
      </c>
      <c r="L37" s="2447">
        <v>0.88</v>
      </c>
      <c r="N37" s="2423">
        <f t="shared" si="193"/>
        <v>1.8600000000000002E-2</v>
      </c>
      <c r="O37" s="2448">
        <f t="shared" si="188"/>
        <v>1.72E-2</v>
      </c>
      <c r="P37" s="2448">
        <f t="shared" si="188"/>
        <v>1.9799999999999998E-2</v>
      </c>
      <c r="Q37" s="2448">
        <f t="shared" si="188"/>
        <v>8.8000000000000005E-3</v>
      </c>
      <c r="R37" s="2424"/>
      <c r="S37" s="2423"/>
      <c r="T37" s="2408"/>
      <c r="U37" s="2408"/>
      <c r="V37" s="2408"/>
    </row>
    <row r="38" spans="1:34">
      <c r="A38" s="2420" t="s">
        <v>1132</v>
      </c>
      <c r="B38" s="2421">
        <f t="shared" si="200"/>
        <v>288.2649053828776</v>
      </c>
      <c r="C38" s="2421">
        <f t="shared" si="200"/>
        <v>243.64564425013293</v>
      </c>
      <c r="D38" s="2421">
        <f t="shared" si="191"/>
        <v>243.64564425013293</v>
      </c>
      <c r="E38" s="2421">
        <f t="shared" si="201"/>
        <v>393.31080825986544</v>
      </c>
      <c r="F38" s="2421">
        <f t="shared" si="201"/>
        <v>223.07903790551154</v>
      </c>
      <c r="G38" s="3614"/>
      <c r="H38" s="2433">
        <v>2</v>
      </c>
      <c r="I38" s="2433">
        <v>2.04</v>
      </c>
      <c r="J38" s="2433">
        <v>2.33</v>
      </c>
      <c r="K38" s="2433">
        <v>2.0699999999999998</v>
      </c>
      <c r="L38" s="2434">
        <v>0.69</v>
      </c>
      <c r="N38" s="2423">
        <f t="shared" si="193"/>
        <v>2.0400000000000001E-2</v>
      </c>
      <c r="O38" s="2448">
        <f t="shared" si="188"/>
        <v>2.3300000000000001E-2</v>
      </c>
      <c r="P38" s="2448">
        <f t="shared" si="188"/>
        <v>2.07E-2</v>
      </c>
      <c r="Q38" s="2448">
        <f t="shared" si="188"/>
        <v>6.8999999999999999E-3</v>
      </c>
      <c r="R38" s="2424"/>
      <c r="S38" s="2423"/>
      <c r="T38" s="2408"/>
      <c r="U38" s="2408"/>
      <c r="V38" s="2408"/>
      <c r="X38" s="2467"/>
      <c r="Y38" s="2468"/>
    </row>
    <row r="39" spans="1:34">
      <c r="A39" s="2420" t="s">
        <v>1133</v>
      </c>
      <c r="B39" s="2421">
        <f t="shared" si="200"/>
        <v>282.50186729015837</v>
      </c>
      <c r="C39" s="2421">
        <f t="shared" si="200"/>
        <v>238.09796174155468</v>
      </c>
      <c r="D39" s="2421">
        <f t="shared" si="191"/>
        <v>238.09796174155468</v>
      </c>
      <c r="E39" s="2421">
        <f t="shared" si="201"/>
        <v>385.33438646014054</v>
      </c>
      <c r="F39" s="2421">
        <f t="shared" si="201"/>
        <v>221.55034055567739</v>
      </c>
      <c r="G39" s="3615"/>
      <c r="H39" s="2422">
        <v>1</v>
      </c>
      <c r="I39" s="2422">
        <v>1.67</v>
      </c>
      <c r="J39" s="2422">
        <v>1.31</v>
      </c>
      <c r="K39" s="2422">
        <v>1.85</v>
      </c>
      <c r="L39" s="2428">
        <v>0.96</v>
      </c>
      <c r="N39" s="2439">
        <f t="shared" si="193"/>
        <v>1.67E-2</v>
      </c>
      <c r="O39" s="2440">
        <f t="shared" si="193"/>
        <v>1.3100000000000001E-2</v>
      </c>
      <c r="P39" s="2440">
        <f t="shared" si="193"/>
        <v>1.8500000000000003E-2</v>
      </c>
      <c r="Q39" s="2440">
        <f t="shared" si="193"/>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5" thickBot="1">
      <c r="A40" s="2420" t="s">
        <v>1134</v>
      </c>
      <c r="B40" s="2470">
        <v>278</v>
      </c>
      <c r="C40" s="2470">
        <v>234</v>
      </c>
      <c r="D40" s="2470">
        <f t="shared" si="191"/>
        <v>234</v>
      </c>
      <c r="E40" s="2470">
        <v>379</v>
      </c>
      <c r="F40" s="2471">
        <v>220</v>
      </c>
      <c r="G40" s="3608">
        <v>2012</v>
      </c>
      <c r="H40" s="2441">
        <v>4</v>
      </c>
      <c r="I40" s="2441">
        <v>0.91</v>
      </c>
      <c r="J40" s="2441">
        <v>0.68</v>
      </c>
      <c r="K40" s="2441">
        <v>0.98</v>
      </c>
      <c r="L40" s="2442">
        <v>0.9</v>
      </c>
      <c r="N40" s="2423">
        <f t="shared" si="193"/>
        <v>9.1000000000000004E-3</v>
      </c>
      <c r="O40" s="2408">
        <f t="shared" si="193"/>
        <v>6.8000000000000005E-3</v>
      </c>
      <c r="P40" s="2408">
        <f t="shared" si="193"/>
        <v>9.7999999999999997E-3</v>
      </c>
      <c r="Q40" s="2408">
        <f t="shared" si="193"/>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191"/>
        <v>232.41954707985698</v>
      </c>
      <c r="E41" s="2421">
        <f t="shared" ref="E41:F43" si="202">E40/(1+P40)</f>
        <v>375.32184591008121</v>
      </c>
      <c r="F41" s="2421">
        <f t="shared" si="202"/>
        <v>218.03766105054513</v>
      </c>
      <c r="G41" s="3609"/>
      <c r="H41" s="2446">
        <v>3</v>
      </c>
      <c r="I41" s="2446">
        <v>0.09</v>
      </c>
      <c r="J41" s="2446">
        <v>0.28999999999999998</v>
      </c>
      <c r="K41" s="2446">
        <v>-0.01</v>
      </c>
      <c r="L41" s="2447">
        <v>0.57999999999999996</v>
      </c>
      <c r="N41" s="2423">
        <f t="shared" si="193"/>
        <v>8.9999999999999998E-4</v>
      </c>
      <c r="O41" s="2408">
        <f t="shared" si="193"/>
        <v>2.8999999999999998E-3</v>
      </c>
      <c r="P41" s="2408">
        <f t="shared" si="193"/>
        <v>-1E-4</v>
      </c>
      <c r="Q41" s="2408">
        <f t="shared" si="193"/>
        <v>5.7999999999999996E-3</v>
      </c>
      <c r="R41" s="2424"/>
      <c r="S41" s="2423"/>
      <c r="T41" s="2408"/>
      <c r="U41" s="2408"/>
      <c r="V41" s="2408"/>
    </row>
    <row r="42" spans="1:34">
      <c r="A42" s="2420" t="s">
        <v>1136</v>
      </c>
      <c r="B42" s="2421">
        <f>B41/(1+N41)</f>
        <v>275.24529281292263</v>
      </c>
      <c r="C42" s="2421">
        <f>C41/(1+O41)</f>
        <v>231.74747938962707</v>
      </c>
      <c r="D42" s="2421">
        <f t="shared" si="191"/>
        <v>231.74747938962707</v>
      </c>
      <c r="E42" s="2421">
        <f t="shared" si="202"/>
        <v>375.35938184826603</v>
      </c>
      <c r="F42" s="2421">
        <f t="shared" si="202"/>
        <v>216.78033510692495</v>
      </c>
      <c r="G42" s="3609"/>
      <c r="H42" s="2433">
        <v>2</v>
      </c>
      <c r="I42" s="2433">
        <v>0.02</v>
      </c>
      <c r="J42" s="2433">
        <v>0.12</v>
      </c>
      <c r="K42" s="2433">
        <v>-0.08</v>
      </c>
      <c r="L42" s="2434">
        <v>1.24</v>
      </c>
      <c r="N42" s="2423">
        <f t="shared" si="193"/>
        <v>2.0000000000000001E-4</v>
      </c>
      <c r="O42" s="2408">
        <f t="shared" si="193"/>
        <v>1.1999999999999999E-3</v>
      </c>
      <c r="P42" s="2408">
        <f t="shared" si="193"/>
        <v>-8.0000000000000004E-4</v>
      </c>
      <c r="Q42" s="2408">
        <f t="shared" si="193"/>
        <v>1.24E-2</v>
      </c>
      <c r="R42" s="2424"/>
      <c r="S42" s="2423"/>
      <c r="T42" s="2408"/>
      <c r="U42" s="2408"/>
      <c r="V42" s="2408"/>
    </row>
    <row r="43" spans="1:34" ht="13.5" thickBot="1">
      <c r="A43" s="2420" t="s">
        <v>1137</v>
      </c>
      <c r="B43" s="2421">
        <f>B42/(1+N42)</f>
        <v>275.19025476197027</v>
      </c>
      <c r="C43" s="2472">
        <v>232</v>
      </c>
      <c r="D43" s="2472">
        <f t="shared" si="191"/>
        <v>232</v>
      </c>
      <c r="E43" s="2421">
        <f t="shared" si="202"/>
        <v>375.65990977608692</v>
      </c>
      <c r="F43" s="2421">
        <f t="shared" si="202"/>
        <v>214.12518283971252</v>
      </c>
      <c r="G43" s="3610"/>
      <c r="H43" s="2422">
        <v>1</v>
      </c>
      <c r="I43" s="2422">
        <v>0.02</v>
      </c>
      <c r="J43" s="2422">
        <v>0.13</v>
      </c>
      <c r="K43" s="2422">
        <v>-0.04</v>
      </c>
      <c r="L43" s="2428">
        <v>0.46</v>
      </c>
      <c r="N43" s="2423">
        <f t="shared" si="193"/>
        <v>2.0000000000000001E-4</v>
      </c>
      <c r="O43" s="2408">
        <f t="shared" si="193"/>
        <v>1.2999999999999999E-3</v>
      </c>
      <c r="P43" s="2408">
        <f t="shared" si="193"/>
        <v>-4.0000000000000002E-4</v>
      </c>
      <c r="Q43" s="2408">
        <f t="shared" si="193"/>
        <v>4.5999999999999999E-3</v>
      </c>
      <c r="R43" s="2424"/>
      <c r="S43" s="2439">
        <f>B43/B44-1</f>
        <v>6.9183549807361189E-4</v>
      </c>
      <c r="T43" s="2440">
        <f>C43/C44-1</f>
        <v>0</v>
      </c>
      <c r="U43" s="2440">
        <f>E43/E44-1</f>
        <v>-9.0449527636460303E-4</v>
      </c>
      <c r="V43" s="2440">
        <f>F43/F44-1</f>
        <v>5.2825485432512753E-3</v>
      </c>
      <c r="X43" s="2408"/>
      <c r="Y43" s="2408"/>
      <c r="Z43" s="2408"/>
    </row>
    <row r="44" spans="1:34" ht="13.5" thickBot="1">
      <c r="A44" s="2420" t="s">
        <v>1138</v>
      </c>
      <c r="B44" s="2435">
        <v>275</v>
      </c>
      <c r="C44" s="2435">
        <v>232</v>
      </c>
      <c r="D44" s="2435">
        <f t="shared" si="191"/>
        <v>232</v>
      </c>
      <c r="E44" s="2435">
        <v>376</v>
      </c>
      <c r="F44" s="2436">
        <v>213</v>
      </c>
      <c r="G44" s="3608">
        <v>2011</v>
      </c>
      <c r="H44" s="2441">
        <v>4</v>
      </c>
      <c r="I44" s="2441">
        <v>-0.2</v>
      </c>
      <c r="J44" s="2441">
        <v>0.04</v>
      </c>
      <c r="K44" s="2441">
        <v>-0.34</v>
      </c>
      <c r="L44" s="2442">
        <v>0.46</v>
      </c>
      <c r="N44" s="2443">
        <f t="shared" si="193"/>
        <v>-2E-3</v>
      </c>
      <c r="O44" s="2444">
        <f t="shared" si="193"/>
        <v>4.0000000000000002E-4</v>
      </c>
      <c r="P44" s="2444">
        <f t="shared" si="193"/>
        <v>-3.4000000000000002E-3</v>
      </c>
      <c r="Q44" s="2444">
        <f t="shared" si="193"/>
        <v>4.5999999999999999E-3</v>
      </c>
      <c r="R44" s="2424"/>
      <c r="S44" s="2437"/>
      <c r="T44" s="2438"/>
      <c r="U44" s="2438"/>
      <c r="V44" s="2438"/>
      <c r="X44" s="2438"/>
      <c r="Y44" s="2438"/>
      <c r="Z44" s="2438"/>
    </row>
    <row r="45" spans="1:34">
      <c r="A45" s="2420" t="s">
        <v>1139</v>
      </c>
      <c r="B45" s="2421">
        <f t="shared" ref="B45:C47" si="203">B44/(1+N44)</f>
        <v>275.55110220440883</v>
      </c>
      <c r="C45" s="2421">
        <f t="shared" si="203"/>
        <v>231.90723710515795</v>
      </c>
      <c r="D45" s="2421">
        <f t="shared" si="191"/>
        <v>231.90723710515795</v>
      </c>
      <c r="E45" s="2421">
        <f t="shared" ref="E45:F47" si="204">E44/(1+P44)</f>
        <v>377.28276138872161</v>
      </c>
      <c r="F45" s="2421">
        <f t="shared" si="204"/>
        <v>212.02468644236512</v>
      </c>
      <c r="G45" s="3609">
        <v>2011</v>
      </c>
      <c r="H45" s="2446">
        <v>3</v>
      </c>
      <c r="I45" s="2446">
        <v>0.13</v>
      </c>
      <c r="J45" s="2446">
        <v>0.75</v>
      </c>
      <c r="K45" s="2446">
        <v>-0.08</v>
      </c>
      <c r="L45" s="2447">
        <v>0.53</v>
      </c>
      <c r="N45" s="2423">
        <f t="shared" si="193"/>
        <v>1.2999999999999999E-3</v>
      </c>
      <c r="O45" s="2448">
        <f t="shared" si="193"/>
        <v>7.4999999999999997E-3</v>
      </c>
      <c r="P45" s="2448">
        <f t="shared" si="193"/>
        <v>-8.0000000000000004E-4</v>
      </c>
      <c r="Q45" s="2448">
        <f t="shared" si="193"/>
        <v>5.3E-3</v>
      </c>
      <c r="R45" s="2424"/>
      <c r="S45" s="2423"/>
      <c r="T45" s="2408"/>
      <c r="U45" s="2408"/>
      <c r="V45" s="2408"/>
    </row>
    <row r="46" spans="1:34">
      <c r="A46" s="2420" t="s">
        <v>1140</v>
      </c>
      <c r="B46" s="2421">
        <f t="shared" si="203"/>
        <v>275.19335084830601</v>
      </c>
      <c r="C46" s="2421">
        <f t="shared" si="203"/>
        <v>230.18088050139744</v>
      </c>
      <c r="D46" s="2421">
        <f t="shared" si="191"/>
        <v>230.18088050139744</v>
      </c>
      <c r="E46" s="2421">
        <f t="shared" si="204"/>
        <v>377.58482925212331</v>
      </c>
      <c r="F46" s="2421">
        <f t="shared" si="204"/>
        <v>210.90687997847917</v>
      </c>
      <c r="G46" s="3609">
        <v>2011</v>
      </c>
      <c r="H46" s="2433">
        <v>2</v>
      </c>
      <c r="I46" s="2433">
        <v>-0.4</v>
      </c>
      <c r="J46" s="2433">
        <v>0.17</v>
      </c>
      <c r="K46" s="2433">
        <v>-0.57999999999999996</v>
      </c>
      <c r="L46" s="2434">
        <v>-0.2</v>
      </c>
      <c r="N46" s="2423">
        <f t="shared" si="193"/>
        <v>-4.0000000000000001E-3</v>
      </c>
      <c r="O46" s="2448">
        <f t="shared" si="193"/>
        <v>1.7000000000000001E-3</v>
      </c>
      <c r="P46" s="2448">
        <f t="shared" si="193"/>
        <v>-5.7999999999999996E-3</v>
      </c>
      <c r="Q46" s="2448">
        <f t="shared" si="193"/>
        <v>-2E-3</v>
      </c>
      <c r="R46" s="2424"/>
      <c r="S46" s="2423"/>
      <c r="T46" s="2408"/>
      <c r="U46" s="2408"/>
      <c r="V46" s="2408"/>
    </row>
    <row r="47" spans="1:34" ht="13.5" thickBot="1">
      <c r="A47" s="2420" t="s">
        <v>1141</v>
      </c>
      <c r="B47" s="2421">
        <f t="shared" si="203"/>
        <v>276.29854502841971</v>
      </c>
      <c r="C47" s="2421">
        <f t="shared" si="203"/>
        <v>229.79023709833027</v>
      </c>
      <c r="D47" s="2421">
        <f t="shared" si="191"/>
        <v>229.79023709833027</v>
      </c>
      <c r="E47" s="2421">
        <f t="shared" si="204"/>
        <v>379.78759731655936</v>
      </c>
      <c r="F47" s="2421">
        <f t="shared" si="204"/>
        <v>211.32953905659235</v>
      </c>
      <c r="G47" s="3610">
        <v>2011</v>
      </c>
      <c r="H47" s="2422">
        <v>1</v>
      </c>
      <c r="I47" s="2422">
        <v>2.65</v>
      </c>
      <c r="J47" s="2422">
        <v>3.76</v>
      </c>
      <c r="K47" s="2422">
        <v>1.89</v>
      </c>
      <c r="L47" s="2428">
        <v>7.95</v>
      </c>
      <c r="N47" s="2439">
        <f t="shared" si="193"/>
        <v>2.6499999999999999E-2</v>
      </c>
      <c r="O47" s="2440">
        <f t="shared" si="193"/>
        <v>3.7599999999999995E-2</v>
      </c>
      <c r="P47" s="2440">
        <f t="shared" si="193"/>
        <v>1.89E-2</v>
      </c>
      <c r="Q47" s="2440">
        <f t="shared" si="193"/>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5" thickBot="1">
      <c r="A48" s="2420" t="s">
        <v>1142</v>
      </c>
      <c r="B48" s="2435">
        <v>269</v>
      </c>
      <c r="C48" s="2435">
        <v>221</v>
      </c>
      <c r="D48" s="2435">
        <f t="shared" si="191"/>
        <v>221</v>
      </c>
      <c r="E48" s="2435">
        <v>373</v>
      </c>
      <c r="F48" s="2436">
        <v>196</v>
      </c>
      <c r="G48" s="3608">
        <v>2010</v>
      </c>
      <c r="H48" s="2441">
        <v>4</v>
      </c>
      <c r="I48" s="2441">
        <v>5.72</v>
      </c>
      <c r="J48" s="2441">
        <v>6.57</v>
      </c>
      <c r="K48" s="2441">
        <v>5.72</v>
      </c>
      <c r="L48" s="2442">
        <v>2.72</v>
      </c>
      <c r="N48" s="2423">
        <f t="shared" si="193"/>
        <v>5.7200000000000001E-2</v>
      </c>
      <c r="O48" s="2408">
        <f t="shared" si="193"/>
        <v>6.5700000000000008E-2</v>
      </c>
      <c r="P48" s="2408">
        <f t="shared" si="193"/>
        <v>5.7200000000000001E-2</v>
      </c>
      <c r="Q48" s="2408">
        <f t="shared" si="193"/>
        <v>2.7200000000000002E-2</v>
      </c>
      <c r="R48" s="2424"/>
      <c r="S48" s="2437"/>
      <c r="T48" s="2438"/>
      <c r="U48" s="2438"/>
      <c r="V48" s="2438"/>
      <c r="X48" s="2438"/>
      <c r="Y48" s="2438"/>
      <c r="Z48" s="2438"/>
    </row>
    <row r="49" spans="1:26">
      <c r="A49" s="2420" t="s">
        <v>1143</v>
      </c>
      <c r="B49" s="2421">
        <f t="shared" ref="B49:C51" si="205">B48/(1+N48)</f>
        <v>254.44570563753314</v>
      </c>
      <c r="C49" s="2421">
        <f t="shared" si="205"/>
        <v>207.37543398705074</v>
      </c>
      <c r="D49" s="2421">
        <f t="shared" si="191"/>
        <v>207.37543398705074</v>
      </c>
      <c r="E49" s="2421">
        <f t="shared" ref="E49:F51" si="206">E48/(1+P48)</f>
        <v>352.81876655315932</v>
      </c>
      <c r="F49" s="2421">
        <f t="shared" si="206"/>
        <v>190.809968847352</v>
      </c>
      <c r="G49" s="3609">
        <v>2010</v>
      </c>
      <c r="H49" s="2446">
        <v>3</v>
      </c>
      <c r="I49" s="2446">
        <v>4.7300000000000004</v>
      </c>
      <c r="J49" s="2446">
        <v>3.9</v>
      </c>
      <c r="K49" s="2446">
        <v>5.03</v>
      </c>
      <c r="L49" s="2447">
        <v>4.21</v>
      </c>
      <c r="N49" s="2423">
        <f t="shared" si="193"/>
        <v>4.7300000000000002E-2</v>
      </c>
      <c r="O49" s="2408">
        <f t="shared" si="193"/>
        <v>3.9E-2</v>
      </c>
      <c r="P49" s="2408">
        <f t="shared" si="193"/>
        <v>5.0300000000000004E-2</v>
      </c>
      <c r="Q49" s="2408">
        <f t="shared" si="193"/>
        <v>4.2099999999999999E-2</v>
      </c>
      <c r="R49" s="2424"/>
      <c r="S49" s="2423"/>
      <c r="T49" s="2408"/>
      <c r="U49" s="2408"/>
      <c r="V49" s="2408"/>
    </row>
    <row r="50" spans="1:26">
      <c r="A50" s="2420" t="s">
        <v>1144</v>
      </c>
      <c r="B50" s="2421">
        <f t="shared" si="205"/>
        <v>242.95398227588385</v>
      </c>
      <c r="C50" s="2421">
        <f t="shared" si="205"/>
        <v>199.59137053614126</v>
      </c>
      <c r="D50" s="2421">
        <f t="shared" si="191"/>
        <v>199.59137053614126</v>
      </c>
      <c r="E50" s="2421">
        <f t="shared" si="206"/>
        <v>335.92189522342125</v>
      </c>
      <c r="F50" s="2421">
        <f t="shared" si="206"/>
        <v>183.10139991109489</v>
      </c>
      <c r="G50" s="3609">
        <v>2010</v>
      </c>
      <c r="H50" s="2433">
        <v>2</v>
      </c>
      <c r="I50" s="2433">
        <v>4.6900000000000004</v>
      </c>
      <c r="J50" s="2433">
        <v>3.55</v>
      </c>
      <c r="K50" s="2433">
        <v>5.07</v>
      </c>
      <c r="L50" s="2434">
        <v>4.2300000000000004</v>
      </c>
      <c r="N50" s="2423">
        <f t="shared" si="193"/>
        <v>4.6900000000000004E-2</v>
      </c>
      <c r="O50" s="2408">
        <f t="shared" si="193"/>
        <v>3.5499999999999997E-2</v>
      </c>
      <c r="P50" s="2408">
        <f t="shared" si="193"/>
        <v>5.0700000000000002E-2</v>
      </c>
      <c r="Q50" s="2408">
        <f t="shared" si="193"/>
        <v>4.2300000000000004E-2</v>
      </c>
      <c r="R50" s="2424"/>
      <c r="S50" s="2423"/>
      <c r="T50" s="2408"/>
      <c r="U50" s="2408"/>
      <c r="V50" s="2408"/>
    </row>
    <row r="51" spans="1:26" ht="13.5" thickBot="1">
      <c r="A51" s="2420" t="s">
        <v>1145</v>
      </c>
      <c r="B51" s="2421">
        <f t="shared" si="205"/>
        <v>232.06990378821649</v>
      </c>
      <c r="C51" s="2421">
        <f t="shared" si="205"/>
        <v>192.74878854286936</v>
      </c>
      <c r="D51" s="2421">
        <f t="shared" si="191"/>
        <v>192.74878854286936</v>
      </c>
      <c r="E51" s="2421">
        <f t="shared" si="206"/>
        <v>319.71247284992984</v>
      </c>
      <c r="F51" s="2421">
        <f t="shared" si="206"/>
        <v>175.67053622862409</v>
      </c>
      <c r="G51" s="3610">
        <v>2010</v>
      </c>
      <c r="H51" s="2422">
        <v>1</v>
      </c>
      <c r="I51" s="2422">
        <v>5.4</v>
      </c>
      <c r="J51" s="2422">
        <v>3.2</v>
      </c>
      <c r="K51" s="2422">
        <v>6.16</v>
      </c>
      <c r="L51" s="2428">
        <v>4.51</v>
      </c>
      <c r="N51" s="2423">
        <f t="shared" si="193"/>
        <v>5.4000000000000006E-2</v>
      </c>
      <c r="O51" s="2408">
        <f t="shared" si="193"/>
        <v>3.2000000000000001E-2</v>
      </c>
      <c r="P51" s="2408">
        <f t="shared" si="193"/>
        <v>6.1600000000000002E-2</v>
      </c>
      <c r="Q51" s="2408">
        <f t="shared" si="193"/>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5" thickBot="1">
      <c r="A52" s="2420" t="s">
        <v>1146</v>
      </c>
      <c r="B52" s="2435">
        <v>220</v>
      </c>
      <c r="C52" s="2435">
        <v>187</v>
      </c>
      <c r="D52" s="2435">
        <f t="shared" si="191"/>
        <v>187</v>
      </c>
      <c r="E52" s="2435">
        <v>301</v>
      </c>
      <c r="F52" s="2436">
        <v>168</v>
      </c>
      <c r="G52" s="3608">
        <v>2009</v>
      </c>
      <c r="H52" s="2441">
        <v>4</v>
      </c>
      <c r="I52" s="2441">
        <v>2.2999999999999998</v>
      </c>
      <c r="J52" s="2441">
        <v>1.04</v>
      </c>
      <c r="K52" s="2441">
        <v>2.84</v>
      </c>
      <c r="L52" s="2442">
        <v>0.67</v>
      </c>
      <c r="N52" s="2443">
        <f t="shared" si="193"/>
        <v>2.3E-2</v>
      </c>
      <c r="O52" s="2444">
        <f t="shared" si="193"/>
        <v>1.04E-2</v>
      </c>
      <c r="P52" s="2444">
        <f t="shared" si="193"/>
        <v>2.8399999999999998E-2</v>
      </c>
      <c r="Q52" s="2444">
        <f t="shared" si="193"/>
        <v>6.7000000000000002E-3</v>
      </c>
      <c r="R52" s="2424"/>
      <c r="S52" s="2437"/>
      <c r="T52" s="2438"/>
      <c r="U52" s="2438"/>
      <c r="V52" s="2438"/>
      <c r="X52" s="2438"/>
      <c r="Y52" s="2438"/>
      <c r="Z52" s="2438"/>
    </row>
    <row r="53" spans="1:26">
      <c r="A53" s="2420" t="s">
        <v>1147</v>
      </c>
      <c r="B53" s="2421">
        <f t="shared" ref="B53:C55" si="207">B52/(1+N52)</f>
        <v>215.05376344086022</v>
      </c>
      <c r="C53" s="2421">
        <f t="shared" si="207"/>
        <v>185.0752177355503</v>
      </c>
      <c r="D53" s="2421">
        <f t="shared" si="191"/>
        <v>185.0752177355503</v>
      </c>
      <c r="E53" s="2421">
        <f t="shared" ref="E53:F55" si="208">E52/(1+P52)</f>
        <v>292.68767016725008</v>
      </c>
      <c r="F53" s="2421">
        <f t="shared" si="208"/>
        <v>166.88189132810174</v>
      </c>
      <c r="G53" s="3609">
        <v>2009</v>
      </c>
      <c r="H53" s="2446">
        <v>3</v>
      </c>
      <c r="I53" s="2446">
        <v>2.1</v>
      </c>
      <c r="J53" s="2446">
        <v>1.86</v>
      </c>
      <c r="K53" s="2446">
        <v>2.29</v>
      </c>
      <c r="L53" s="2447">
        <v>0.85</v>
      </c>
      <c r="N53" s="2423">
        <f t="shared" si="193"/>
        <v>2.1000000000000001E-2</v>
      </c>
      <c r="O53" s="2448">
        <f t="shared" si="193"/>
        <v>1.8600000000000002E-2</v>
      </c>
      <c r="P53" s="2448">
        <f t="shared" si="193"/>
        <v>2.29E-2</v>
      </c>
      <c r="Q53" s="2448">
        <f t="shared" si="193"/>
        <v>8.5000000000000006E-3</v>
      </c>
      <c r="R53" s="2424"/>
      <c r="S53" s="2423"/>
      <c r="T53" s="2408"/>
      <c r="U53" s="2408"/>
      <c r="V53" s="2408"/>
    </row>
    <row r="54" spans="1:26">
      <c r="A54" s="2420" t="s">
        <v>1148</v>
      </c>
      <c r="B54" s="2421">
        <f t="shared" si="207"/>
        <v>210.630522469011</v>
      </c>
      <c r="C54" s="2421">
        <f t="shared" si="207"/>
        <v>181.69567812247232</v>
      </c>
      <c r="D54" s="2421">
        <f t="shared" si="191"/>
        <v>181.69567812247232</v>
      </c>
      <c r="E54" s="2421">
        <f t="shared" si="208"/>
        <v>286.13517466736738</v>
      </c>
      <c r="F54" s="2421">
        <f t="shared" si="208"/>
        <v>165.47535084591149</v>
      </c>
      <c r="G54" s="3609">
        <v>2009</v>
      </c>
      <c r="H54" s="2433">
        <v>2</v>
      </c>
      <c r="I54" s="2433">
        <v>0.86</v>
      </c>
      <c r="J54" s="2433">
        <v>-1.1299999999999999</v>
      </c>
      <c r="K54" s="2433">
        <v>1.79</v>
      </c>
      <c r="L54" s="2434">
        <v>-2.0699999999999998</v>
      </c>
      <c r="N54" s="2423">
        <f t="shared" si="193"/>
        <v>8.6E-3</v>
      </c>
      <c r="O54" s="2448">
        <f t="shared" si="193"/>
        <v>-1.1299999999999999E-2</v>
      </c>
      <c r="P54" s="2448">
        <f t="shared" si="193"/>
        <v>1.7899999999999999E-2</v>
      </c>
      <c r="Q54" s="2448">
        <f t="shared" si="193"/>
        <v>-2.07E-2</v>
      </c>
      <c r="R54" s="2424"/>
      <c r="S54" s="2423"/>
      <c r="T54" s="2408"/>
      <c r="U54" s="2408"/>
      <c r="V54" s="2408"/>
    </row>
    <row r="55" spans="1:26">
      <c r="A55" s="2420" t="s">
        <v>1149</v>
      </c>
      <c r="B55" s="2421">
        <f t="shared" si="207"/>
        <v>208.83454537875372</v>
      </c>
      <c r="C55" s="2421">
        <f t="shared" si="207"/>
        <v>183.77230517090351</v>
      </c>
      <c r="D55" s="2421">
        <f t="shared" si="191"/>
        <v>183.77230517090351</v>
      </c>
      <c r="E55" s="2421">
        <f t="shared" si="208"/>
        <v>281.10342338870947</v>
      </c>
      <c r="F55" s="2421">
        <f t="shared" si="208"/>
        <v>168.97309388942256</v>
      </c>
      <c r="G55" s="3610">
        <v>2009</v>
      </c>
      <c r="H55" s="2422">
        <v>1</v>
      </c>
      <c r="I55" s="2422">
        <v>-2.64</v>
      </c>
      <c r="J55" s="2422">
        <v>-2.5299999999999998</v>
      </c>
      <c r="K55" s="2422">
        <v>-3.02</v>
      </c>
      <c r="L55" s="2428">
        <v>1.52</v>
      </c>
      <c r="N55" s="2439">
        <f t="shared" si="193"/>
        <v>-2.64E-2</v>
      </c>
      <c r="O55" s="2440">
        <f t="shared" si="193"/>
        <v>-2.53E-2</v>
      </c>
      <c r="P55" s="2440">
        <f t="shared" si="193"/>
        <v>-3.0200000000000001E-2</v>
      </c>
      <c r="Q55" s="2440">
        <f t="shared" si="193"/>
        <v>1.52E-2</v>
      </c>
      <c r="R55" s="2424"/>
      <c r="S55" s="2439">
        <f>B55/B56-1</f>
        <v>-2.4137638417038754E-2</v>
      </c>
      <c r="T55" s="2440">
        <f>C55/C56-1</f>
        <v>-2.248773845264096E-2</v>
      </c>
      <c r="U55" s="2440">
        <f>E55/E56-1</f>
        <v>-2.7323794502735366E-2</v>
      </c>
      <c r="V55" s="2440">
        <f>F55/F56-1</f>
        <v>1.7910204153148035E-2</v>
      </c>
      <c r="X55" s="2408"/>
      <c r="Y55" s="2408"/>
      <c r="Z55" s="2408"/>
    </row>
    <row r="56" spans="1:26" ht="13.5" thickBot="1">
      <c r="A56" s="2420" t="s">
        <v>1150</v>
      </c>
      <c r="B56" s="2470">
        <v>214</v>
      </c>
      <c r="C56" s="2470">
        <v>188</v>
      </c>
      <c r="D56" s="2470">
        <f t="shared" si="191"/>
        <v>188</v>
      </c>
      <c r="E56" s="2470">
        <v>289</v>
      </c>
      <c r="F56" s="2471">
        <v>166</v>
      </c>
      <c r="G56" s="3608">
        <v>2008</v>
      </c>
      <c r="H56" s="2441">
        <v>4</v>
      </c>
      <c r="I56" s="2441">
        <v>1.73</v>
      </c>
      <c r="J56" s="2441">
        <v>0.03</v>
      </c>
      <c r="K56" s="2441">
        <v>2.59</v>
      </c>
      <c r="L56" s="2442">
        <v>-1.66</v>
      </c>
      <c r="N56" s="2423">
        <f t="shared" si="193"/>
        <v>1.7299999999999999E-2</v>
      </c>
      <c r="O56" s="2408">
        <f t="shared" si="193"/>
        <v>2.9999999999999997E-4</v>
      </c>
      <c r="P56" s="2408">
        <f t="shared" si="193"/>
        <v>2.5899999999999999E-2</v>
      </c>
      <c r="Q56" s="2408">
        <f t="shared" si="193"/>
        <v>-1.66E-2</v>
      </c>
      <c r="R56" s="2424"/>
      <c r="S56" s="2437"/>
      <c r="T56" s="2438"/>
      <c r="U56" s="2438"/>
      <c r="V56" s="2438"/>
      <c r="X56" s="2438"/>
      <c r="Y56" s="2438"/>
      <c r="Z56" s="2438"/>
    </row>
    <row r="57" spans="1:26">
      <c r="A57" s="2420" t="s">
        <v>1151</v>
      </c>
      <c r="B57" s="2421">
        <f t="shared" ref="B57:C59" si="209">B56/(1+N56)</f>
        <v>210.36075887152265</v>
      </c>
      <c r="C57" s="2421">
        <f t="shared" si="209"/>
        <v>187.94361691492554</v>
      </c>
      <c r="D57" s="2421">
        <f t="shared" si="191"/>
        <v>187.94361691492554</v>
      </c>
      <c r="E57" s="2421">
        <f t="shared" ref="E57:F59" si="210">E56/(1+P56)</f>
        <v>281.70386977288234</v>
      </c>
      <c r="F57" s="2421">
        <f t="shared" si="210"/>
        <v>168.80211511083994</v>
      </c>
      <c r="G57" s="3609">
        <v>2008</v>
      </c>
      <c r="H57" s="2446">
        <v>3</v>
      </c>
      <c r="I57" s="2446">
        <v>1.96</v>
      </c>
      <c r="J57" s="2446">
        <v>2.36</v>
      </c>
      <c r="K57" s="2446">
        <v>1.82</v>
      </c>
      <c r="L57" s="2447">
        <v>2.2200000000000002</v>
      </c>
      <c r="N57" s="2423">
        <f t="shared" si="193"/>
        <v>1.9599999999999999E-2</v>
      </c>
      <c r="O57" s="2408">
        <f t="shared" si="193"/>
        <v>2.3599999999999999E-2</v>
      </c>
      <c r="P57" s="2408">
        <f t="shared" si="193"/>
        <v>1.8200000000000001E-2</v>
      </c>
      <c r="Q57" s="2408">
        <f t="shared" si="193"/>
        <v>2.2200000000000001E-2</v>
      </c>
      <c r="R57" s="2424"/>
      <c r="S57" s="2423"/>
      <c r="T57" s="2408"/>
      <c r="U57" s="2408"/>
      <c r="V57" s="2408"/>
    </row>
    <row r="58" spans="1:26">
      <c r="A58" s="2420" t="s">
        <v>1152</v>
      </c>
      <c r="B58" s="2421">
        <f t="shared" si="209"/>
        <v>206.31694671589116</v>
      </c>
      <c r="C58" s="2421">
        <f t="shared" si="209"/>
        <v>183.61041121036101</v>
      </c>
      <c r="D58" s="2421">
        <f t="shared" si="191"/>
        <v>183.61041121036101</v>
      </c>
      <c r="E58" s="2421">
        <f t="shared" si="210"/>
        <v>276.66850301795557</v>
      </c>
      <c r="F58" s="2421">
        <f t="shared" si="210"/>
        <v>165.1360938278614</v>
      </c>
      <c r="G58" s="3609">
        <v>2008</v>
      </c>
      <c r="H58" s="2433">
        <v>2</v>
      </c>
      <c r="I58" s="2433">
        <v>4.93</v>
      </c>
      <c r="J58" s="2433">
        <v>7.38</v>
      </c>
      <c r="K58" s="2433">
        <v>3.98</v>
      </c>
      <c r="L58" s="2434">
        <v>6.86</v>
      </c>
      <c r="N58" s="2423">
        <f t="shared" si="193"/>
        <v>4.9299999999999997E-2</v>
      </c>
      <c r="O58" s="2408">
        <f t="shared" si="193"/>
        <v>7.3800000000000004E-2</v>
      </c>
      <c r="P58" s="2408">
        <f t="shared" si="193"/>
        <v>3.9800000000000002E-2</v>
      </c>
      <c r="Q58" s="2408">
        <f t="shared" si="193"/>
        <v>6.8600000000000008E-2</v>
      </c>
      <c r="R58" s="2424"/>
      <c r="S58" s="2423"/>
      <c r="T58" s="2408"/>
      <c r="U58" s="2408"/>
      <c r="V58" s="2408"/>
    </row>
    <row r="59" spans="1:26" s="2476" customFormat="1" ht="13.5" thickBot="1">
      <c r="A59" s="2420" t="s">
        <v>1153</v>
      </c>
      <c r="B59" s="2473">
        <f t="shared" si="209"/>
        <v>196.62341248059772</v>
      </c>
      <c r="C59" s="2473">
        <f t="shared" si="209"/>
        <v>170.99125648199012</v>
      </c>
      <c r="D59" s="2473">
        <f t="shared" si="191"/>
        <v>170.99125648199012</v>
      </c>
      <c r="E59" s="2473">
        <f t="shared" si="210"/>
        <v>266.07857570490052</v>
      </c>
      <c r="F59" s="2473">
        <f t="shared" si="210"/>
        <v>154.53499328828505</v>
      </c>
      <c r="G59" s="3610">
        <v>2008</v>
      </c>
      <c r="H59" s="2474">
        <v>1</v>
      </c>
      <c r="I59" s="2474">
        <v>4.1399999999999997</v>
      </c>
      <c r="J59" s="2474">
        <v>3.45</v>
      </c>
      <c r="K59" s="2474">
        <v>4.95</v>
      </c>
      <c r="L59" s="2475">
        <v>4.82</v>
      </c>
      <c r="N59" s="2477">
        <f t="shared" si="193"/>
        <v>4.1399999999999999E-2</v>
      </c>
      <c r="O59" s="2478">
        <f t="shared" si="193"/>
        <v>3.4500000000000003E-2</v>
      </c>
      <c r="P59" s="2478">
        <f t="shared" si="193"/>
        <v>4.9500000000000002E-2</v>
      </c>
      <c r="Q59" s="2478">
        <f t="shared" si="193"/>
        <v>4.82E-2</v>
      </c>
      <c r="R59" s="2479"/>
      <c r="S59" s="2477">
        <f>B59/B60-1</f>
        <v>4.5869215322328349E-2</v>
      </c>
      <c r="T59" s="2478">
        <f>C59/C60-1</f>
        <v>3.6310645345394743E-2</v>
      </c>
      <c r="U59" s="2478">
        <f>E59/E60-1</f>
        <v>4.7553447657088688E-2</v>
      </c>
      <c r="V59" s="2478">
        <f>F59/F60-1</f>
        <v>4.4155360055980086E-2</v>
      </c>
      <c r="X59" s="2478"/>
      <c r="Y59" s="2478"/>
      <c r="Z59" s="2478"/>
    </row>
    <row r="60" spans="1:26" ht="13.5" thickBot="1">
      <c r="A60" s="2420" t="s">
        <v>1154</v>
      </c>
      <c r="B60" s="2435">
        <v>188</v>
      </c>
      <c r="C60" s="2435">
        <v>165</v>
      </c>
      <c r="D60" s="2435">
        <f t="shared" si="191"/>
        <v>165</v>
      </c>
      <c r="E60" s="2435">
        <v>254</v>
      </c>
      <c r="F60" s="2436">
        <v>148</v>
      </c>
      <c r="G60" s="3608">
        <v>2007</v>
      </c>
      <c r="H60" s="2480">
        <v>4</v>
      </c>
      <c r="I60" s="2480">
        <v>5.51</v>
      </c>
      <c r="J60" s="2480">
        <v>4.8899999999999997</v>
      </c>
      <c r="K60" s="2480">
        <v>6.43</v>
      </c>
      <c r="L60" s="2481">
        <v>5.36</v>
      </c>
      <c r="N60" s="2482">
        <f t="shared" ref="N60:O63" si="211">B60/B61-1</f>
        <v>4.1339718365245526E-2</v>
      </c>
      <c r="O60" s="2483">
        <f t="shared" si="211"/>
        <v>4.0324492593776018E-2</v>
      </c>
      <c r="P60" s="2483">
        <f t="shared" ref="P60:Q63" si="212">E60/E61-1</f>
        <v>6.1625555347990968E-2</v>
      </c>
      <c r="Q60" s="2483">
        <f t="shared" si="212"/>
        <v>4.6757569250590603E-2</v>
      </c>
      <c r="R60" s="2424"/>
      <c r="S60" s="2437"/>
      <c r="T60" s="2438"/>
      <c r="U60" s="2438"/>
      <c r="V60" s="2438"/>
      <c r="X60" s="2438"/>
      <c r="Y60" s="2438"/>
      <c r="Z60" s="2438"/>
    </row>
    <row r="61" spans="1:26">
      <c r="A61" s="2420" t="s">
        <v>1155</v>
      </c>
      <c r="B61" s="2421">
        <f t="shared" ref="B61:C63" si="213">B62+(B$60-B$64)*I61/SUM(I$60:I$63)</f>
        <v>180.5366651097618</v>
      </c>
      <c r="C61" s="2421">
        <f t="shared" si="213"/>
        <v>158.60435967302453</v>
      </c>
      <c r="D61" s="2421">
        <f t="shared" si="191"/>
        <v>158.60435967302453</v>
      </c>
      <c r="E61" s="2421">
        <f t="shared" ref="E61:F63" si="214">E62+(E$60-E$64)*K61/SUM(K$60:K$63)</f>
        <v>239.25573260785075</v>
      </c>
      <c r="F61" s="2421">
        <f t="shared" si="214"/>
        <v>141.38899430740037</v>
      </c>
      <c r="G61" s="3609">
        <v>2007</v>
      </c>
      <c r="H61" s="2446">
        <v>3</v>
      </c>
      <c r="I61" s="2446">
        <v>8.65</v>
      </c>
      <c r="J61" s="2446">
        <v>8.06</v>
      </c>
      <c r="K61" s="2446">
        <v>9.94</v>
      </c>
      <c r="L61" s="2447">
        <v>5.8</v>
      </c>
      <c r="N61" s="2482">
        <f t="shared" si="211"/>
        <v>6.940217571740015E-2</v>
      </c>
      <c r="O61" s="2483">
        <f t="shared" si="211"/>
        <v>7.1197482471153428E-2</v>
      </c>
      <c r="P61" s="2483">
        <f t="shared" si="212"/>
        <v>0.10529679922579582</v>
      </c>
      <c r="Q61" s="2483">
        <f t="shared" si="212"/>
        <v>5.3292245059512133E-2</v>
      </c>
      <c r="R61" s="2424"/>
      <c r="S61" s="2423"/>
      <c r="T61" s="2408"/>
      <c r="U61" s="2408"/>
      <c r="V61" s="2408"/>
      <c r="X61" s="2484"/>
      <c r="Y61" s="2484"/>
      <c r="Z61" s="2484"/>
    </row>
    <row r="62" spans="1:26">
      <c r="A62" s="2420" t="s">
        <v>1156</v>
      </c>
      <c r="B62" s="2421">
        <f t="shared" si="213"/>
        <v>168.82017748715555</v>
      </c>
      <c r="C62" s="2421">
        <f t="shared" si="213"/>
        <v>148.06267029972753</v>
      </c>
      <c r="D62" s="2421">
        <f t="shared" si="191"/>
        <v>148.06267029972753</v>
      </c>
      <c r="E62" s="2421">
        <f t="shared" si="214"/>
        <v>216.46288379323747</v>
      </c>
      <c r="F62" s="2421">
        <f t="shared" si="214"/>
        <v>134.23529411764704</v>
      </c>
      <c r="G62" s="3609">
        <v>2007</v>
      </c>
      <c r="H62" s="2433">
        <v>2</v>
      </c>
      <c r="I62" s="2433">
        <v>3.67</v>
      </c>
      <c r="J62" s="2433">
        <v>2.3199999999999998</v>
      </c>
      <c r="K62" s="2433">
        <v>5.0199999999999996</v>
      </c>
      <c r="L62" s="2434">
        <v>6.71</v>
      </c>
      <c r="N62" s="2482">
        <f t="shared" si="211"/>
        <v>3.0339138143848032E-2</v>
      </c>
      <c r="O62" s="2483">
        <f t="shared" si="211"/>
        <v>2.0922341588790472E-2</v>
      </c>
      <c r="P62" s="2483">
        <f t="shared" si="212"/>
        <v>5.6164796592717003E-2</v>
      </c>
      <c r="Q62" s="2483">
        <f t="shared" si="212"/>
        <v>6.5704536723887319E-2</v>
      </c>
      <c r="R62" s="2424"/>
      <c r="S62" s="2423"/>
      <c r="T62" s="2408"/>
      <c r="U62" s="2408"/>
      <c r="V62" s="2408"/>
      <c r="X62" s="2484"/>
      <c r="Y62" s="2484"/>
      <c r="Z62" s="2484"/>
    </row>
    <row r="63" spans="1:26">
      <c r="A63" s="2420" t="s">
        <v>1157</v>
      </c>
      <c r="B63" s="2421">
        <f t="shared" si="213"/>
        <v>163.84913591779542</v>
      </c>
      <c r="C63" s="2421">
        <f t="shared" si="213"/>
        <v>145.0283378746594</v>
      </c>
      <c r="D63" s="2421">
        <f t="shared" si="191"/>
        <v>145.0283378746594</v>
      </c>
      <c r="E63" s="2421">
        <f t="shared" si="214"/>
        <v>204.95180722891567</v>
      </c>
      <c r="F63" s="2421">
        <f t="shared" si="214"/>
        <v>125.95920303605313</v>
      </c>
      <c r="G63" s="3610">
        <v>2007</v>
      </c>
      <c r="H63" s="2422">
        <v>1</v>
      </c>
      <c r="I63" s="2422">
        <v>3.58</v>
      </c>
      <c r="J63" s="2422">
        <v>3.08</v>
      </c>
      <c r="K63" s="2422">
        <v>4.34</v>
      </c>
      <c r="L63" s="2428">
        <v>3.21</v>
      </c>
      <c r="N63" s="2485">
        <f t="shared" si="211"/>
        <v>3.0497710174814063E-2</v>
      </c>
      <c r="O63" s="2486">
        <f t="shared" si="211"/>
        <v>2.8569772160704998E-2</v>
      </c>
      <c r="P63" s="2486">
        <f t="shared" si="212"/>
        <v>5.1034908866234296E-2</v>
      </c>
      <c r="Q63" s="2486">
        <f t="shared" si="212"/>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5" thickBot="1">
      <c r="A64" s="2420" t="s">
        <v>1158</v>
      </c>
      <c r="B64" s="2449">
        <v>159</v>
      </c>
      <c r="C64" s="2449">
        <v>141</v>
      </c>
      <c r="D64" s="2449">
        <f t="shared" si="191"/>
        <v>141</v>
      </c>
      <c r="E64" s="2449">
        <v>195</v>
      </c>
      <c r="F64" s="2450">
        <v>122</v>
      </c>
      <c r="G64" s="3608">
        <v>2006</v>
      </c>
      <c r="H64" s="2441">
        <v>4</v>
      </c>
      <c r="I64" s="2441">
        <v>3.79</v>
      </c>
      <c r="J64" s="2441">
        <v>2.21</v>
      </c>
      <c r="K64" s="2441">
        <v>5.65</v>
      </c>
      <c r="L64" s="2442">
        <v>5.41</v>
      </c>
      <c r="N64" s="2482">
        <f t="shared" ref="N64:O67" si="215">I64/SUM(I$64:I$67)*(B$64/B$68-1)</f>
        <v>7.245466462748526E-2</v>
      </c>
      <c r="O64" s="2483">
        <f t="shared" si="215"/>
        <v>2.3237230038062766E-2</v>
      </c>
      <c r="P64" s="2483">
        <f t="shared" ref="P64:Q67" si="216">K64/SUM(K$64:K$67)*(E$64/E$68-1)</f>
        <v>0.16146893866323722</v>
      </c>
      <c r="Q64" s="2483">
        <f t="shared" si="216"/>
        <v>5.0755230321793784E-2</v>
      </c>
      <c r="R64" s="2424"/>
      <c r="S64" s="2437"/>
      <c r="T64" s="2438"/>
      <c r="U64" s="2438"/>
      <c r="V64" s="2438"/>
      <c r="X64" s="2484"/>
      <c r="Y64" s="2484"/>
      <c r="Z64" s="2484"/>
    </row>
    <row r="65" spans="1:26">
      <c r="A65" s="2420" t="s">
        <v>1159</v>
      </c>
      <c r="B65" s="2421">
        <f t="shared" ref="B65:C67" si="217">B66+(B$64-B$68)*I65/SUM(I$64:I$67)</f>
        <v>149.00125628140702</v>
      </c>
      <c r="C65" s="2421">
        <f t="shared" si="217"/>
        <v>137.95592286501378</v>
      </c>
      <c r="D65" s="2421">
        <f t="shared" si="191"/>
        <v>137.95592286501378</v>
      </c>
      <c r="E65" s="2421">
        <f t="shared" ref="E65:F67" si="218">E66+(E$64-E$68)*K65/SUM(K$64:K$67)</f>
        <v>169.97231450719823</v>
      </c>
      <c r="F65" s="2421">
        <f t="shared" si="218"/>
        <v>116.21390374331551</v>
      </c>
      <c r="G65" s="3609">
        <v>2006</v>
      </c>
      <c r="H65" s="2446">
        <v>3</v>
      </c>
      <c r="I65" s="2446">
        <v>0.92</v>
      </c>
      <c r="J65" s="2446">
        <v>1.08</v>
      </c>
      <c r="K65" s="2446">
        <v>0.73</v>
      </c>
      <c r="L65" s="2447">
        <v>1.08</v>
      </c>
      <c r="N65" s="2482">
        <f t="shared" si="215"/>
        <v>1.7587939698492462E-2</v>
      </c>
      <c r="O65" s="2483">
        <f t="shared" si="215"/>
        <v>1.1355750425840628E-2</v>
      </c>
      <c r="P65" s="2483">
        <f t="shared" si="216"/>
        <v>2.0862358446754544E-2</v>
      </c>
      <c r="Q65" s="2483">
        <f t="shared" si="216"/>
        <v>1.0132282578103011E-2</v>
      </c>
      <c r="R65" s="2424"/>
      <c r="S65" s="2423"/>
      <c r="T65" s="2408"/>
      <c r="U65" s="2408"/>
      <c r="V65" s="2408"/>
      <c r="X65" s="2484"/>
      <c r="Y65" s="2484"/>
      <c r="Z65" s="2484"/>
    </row>
    <row r="66" spans="1:26">
      <c r="A66" s="2420" t="s">
        <v>1160</v>
      </c>
      <c r="B66" s="2421">
        <f t="shared" si="217"/>
        <v>146.57412060301507</v>
      </c>
      <c r="C66" s="2421">
        <f t="shared" si="217"/>
        <v>136.46831955922866</v>
      </c>
      <c r="D66" s="2421">
        <f t="shared" si="191"/>
        <v>136.46831955922866</v>
      </c>
      <c r="E66" s="2421">
        <f t="shared" si="218"/>
        <v>166.73864894795128</v>
      </c>
      <c r="F66" s="2421">
        <f t="shared" si="218"/>
        <v>115.05882352941177</v>
      </c>
      <c r="G66" s="3609">
        <v>2006</v>
      </c>
      <c r="H66" s="2433">
        <v>2</v>
      </c>
      <c r="I66" s="2433">
        <v>0.96</v>
      </c>
      <c r="J66" s="2433">
        <v>0.25</v>
      </c>
      <c r="K66" s="2433">
        <v>1.9</v>
      </c>
      <c r="L66" s="2434">
        <v>0.95</v>
      </c>
      <c r="N66" s="2482">
        <f t="shared" si="215"/>
        <v>1.8352632728861701E-2</v>
      </c>
      <c r="O66" s="2483">
        <f t="shared" si="215"/>
        <v>2.6286459319075526E-3</v>
      </c>
      <c r="P66" s="2483">
        <f t="shared" si="216"/>
        <v>5.4299289107991269E-2</v>
      </c>
      <c r="Q66" s="2483">
        <f t="shared" si="216"/>
        <v>8.9126559714794995E-3</v>
      </c>
      <c r="R66" s="2424"/>
      <c r="S66" s="2423"/>
      <c r="T66" s="2408"/>
      <c r="U66" s="2408"/>
      <c r="V66" s="2408"/>
      <c r="X66" s="2484"/>
      <c r="Y66" s="2484"/>
      <c r="Z66" s="2484"/>
    </row>
    <row r="67" spans="1:26">
      <c r="A67" s="2420" t="s">
        <v>1161</v>
      </c>
      <c r="B67" s="2421">
        <f t="shared" si="217"/>
        <v>144.04145728643215</v>
      </c>
      <c r="C67" s="2421">
        <f t="shared" si="217"/>
        <v>136.12396694214877</v>
      </c>
      <c r="D67" s="2421">
        <f t="shared" si="191"/>
        <v>136.12396694214877</v>
      </c>
      <c r="E67" s="2421">
        <f t="shared" si="218"/>
        <v>158.32225913621264</v>
      </c>
      <c r="F67" s="2421">
        <f t="shared" si="218"/>
        <v>114.04278074866311</v>
      </c>
      <c r="G67" s="3610">
        <v>2006</v>
      </c>
      <c r="H67" s="2422">
        <v>1</v>
      </c>
      <c r="I67" s="2422">
        <v>2.29</v>
      </c>
      <c r="J67" s="2422">
        <v>3.72</v>
      </c>
      <c r="K67" s="2422">
        <v>0.75</v>
      </c>
      <c r="L67" s="2428">
        <v>0.04</v>
      </c>
      <c r="N67" s="2485">
        <f t="shared" si="215"/>
        <v>4.3778675988638847E-2</v>
      </c>
      <c r="O67" s="2486">
        <f t="shared" si="215"/>
        <v>3.9114251466784385E-2</v>
      </c>
      <c r="P67" s="2486">
        <f t="shared" si="216"/>
        <v>2.1433929911049188E-2</v>
      </c>
      <c r="Q67" s="2486">
        <f t="shared" si="216"/>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5" thickBot="1">
      <c r="A68" s="2420" t="s">
        <v>1162</v>
      </c>
      <c r="B68" s="2449">
        <v>138</v>
      </c>
      <c r="C68" s="2449">
        <v>131</v>
      </c>
      <c r="D68" s="2449">
        <f t="shared" si="191"/>
        <v>131</v>
      </c>
      <c r="E68" s="2449">
        <v>155</v>
      </c>
      <c r="F68" s="2450">
        <v>114</v>
      </c>
      <c r="G68" s="3608">
        <v>2005</v>
      </c>
      <c r="H68" s="2441">
        <v>4</v>
      </c>
      <c r="I68" s="2441">
        <v>3.29</v>
      </c>
      <c r="J68" s="2441">
        <v>1.44</v>
      </c>
      <c r="K68" s="2441">
        <v>0.66</v>
      </c>
      <c r="L68" s="2442">
        <v>7.78</v>
      </c>
      <c r="N68" s="2482">
        <f t="shared" ref="N68:O71" si="219">I68/SUM(I$68:I$71)*(B$68/B$72-1)</f>
        <v>9.9404603216919935E-2</v>
      </c>
      <c r="O68" s="2483">
        <f t="shared" si="219"/>
        <v>4.7636550760861554E-2</v>
      </c>
      <c r="P68" s="2483">
        <f t="shared" ref="P68:Q71" si="220">K68/SUM(K$68:K$71)*(E$68/E$72-1)</f>
        <v>8.3756345177664976E-2</v>
      </c>
      <c r="Q68" s="2483">
        <f t="shared" si="220"/>
        <v>5.2148766661559584E-2</v>
      </c>
      <c r="R68" s="2424"/>
      <c r="S68" s="2437"/>
      <c r="T68" s="2438"/>
      <c r="U68" s="2438"/>
      <c r="V68" s="2438"/>
      <c r="X68" s="2484"/>
      <c r="Y68" s="2484"/>
      <c r="Z68" s="2484"/>
    </row>
    <row r="69" spans="1:26">
      <c r="A69" s="2420" t="s">
        <v>1163</v>
      </c>
      <c r="B69" s="2421">
        <f t="shared" ref="B69:C71" si="221">B70+(B$68-B$72)*I69/SUM(I$68:I$71)</f>
        <v>125.9720430107527</v>
      </c>
      <c r="C69" s="2421">
        <f t="shared" si="221"/>
        <v>125.1883408071749</v>
      </c>
      <c r="D69" s="2421">
        <f t="shared" si="191"/>
        <v>125.1883408071749</v>
      </c>
      <c r="E69" s="2421">
        <f t="shared" ref="E69:F71" si="222">E70+(E$68-E$72)*K69/SUM(K$68:K$71)</f>
        <v>144.61421319796952</v>
      </c>
      <c r="F69" s="2421">
        <f t="shared" si="222"/>
        <v>108.42008196721311</v>
      </c>
      <c r="G69" s="3609">
        <v>2005</v>
      </c>
      <c r="H69" s="2446">
        <v>3</v>
      </c>
      <c r="I69" s="2446">
        <v>0.46</v>
      </c>
      <c r="J69" s="2446">
        <v>0.32</v>
      </c>
      <c r="K69" s="2446">
        <v>0.42</v>
      </c>
      <c r="L69" s="2447">
        <v>0.64</v>
      </c>
      <c r="N69" s="2482">
        <f t="shared" si="219"/>
        <v>1.3898515951301874E-2</v>
      </c>
      <c r="O69" s="2483">
        <f t="shared" si="219"/>
        <v>1.0585900169080346E-2</v>
      </c>
      <c r="P69" s="2483">
        <f t="shared" si="220"/>
        <v>5.3299492385786795E-2</v>
      </c>
      <c r="Q69" s="2483">
        <f t="shared" si="220"/>
        <v>4.2898728359123568E-3</v>
      </c>
      <c r="R69" s="2424"/>
      <c r="S69" s="2423"/>
      <c r="T69" s="2408"/>
      <c r="U69" s="2408"/>
      <c r="V69" s="2408"/>
      <c r="X69" s="2484"/>
      <c r="Y69" s="2484"/>
      <c r="Z69" s="2484"/>
    </row>
    <row r="70" spans="1:26">
      <c r="A70" s="2420" t="s">
        <v>1164</v>
      </c>
      <c r="B70" s="2421">
        <f t="shared" si="221"/>
        <v>124.29032258064517</v>
      </c>
      <c r="C70" s="2421">
        <f t="shared" si="221"/>
        <v>123.8968609865471</v>
      </c>
      <c r="D70" s="2421">
        <f t="shared" si="191"/>
        <v>123.8968609865471</v>
      </c>
      <c r="E70" s="2421">
        <f t="shared" si="222"/>
        <v>138.00507614213197</v>
      </c>
      <c r="F70" s="2421">
        <f t="shared" si="222"/>
        <v>107.96106557377048</v>
      </c>
      <c r="G70" s="3609">
        <v>2005</v>
      </c>
      <c r="H70" s="2433">
        <v>2</v>
      </c>
      <c r="I70" s="2433">
        <v>0.47</v>
      </c>
      <c r="J70" s="2433">
        <v>0.1</v>
      </c>
      <c r="K70" s="2433">
        <v>0.52</v>
      </c>
      <c r="L70" s="2434">
        <v>0.79</v>
      </c>
      <c r="N70" s="2482">
        <f t="shared" si="219"/>
        <v>1.420065760241713E-2</v>
      </c>
      <c r="O70" s="2483">
        <f t="shared" si="219"/>
        <v>3.3080938028376083E-3</v>
      </c>
      <c r="P70" s="2483">
        <f t="shared" si="220"/>
        <v>6.598984771573603E-2</v>
      </c>
      <c r="Q70" s="2483">
        <f t="shared" si="220"/>
        <v>5.2953117818293153E-3</v>
      </c>
      <c r="R70" s="2424"/>
      <c r="S70" s="2423"/>
      <c r="T70" s="2408"/>
      <c r="U70" s="2408"/>
      <c r="V70" s="2408"/>
      <c r="X70" s="2484"/>
      <c r="Y70" s="2484"/>
      <c r="Z70" s="2484"/>
    </row>
    <row r="71" spans="1:26">
      <c r="A71" s="2420" t="s">
        <v>1165</v>
      </c>
      <c r="B71" s="2421">
        <f t="shared" si="221"/>
        <v>122.57204301075269</v>
      </c>
      <c r="C71" s="2421">
        <f t="shared" si="221"/>
        <v>123.4932735426009</v>
      </c>
      <c r="D71" s="2421">
        <f t="shared" si="191"/>
        <v>123.4932735426009</v>
      </c>
      <c r="E71" s="2421">
        <f t="shared" si="222"/>
        <v>129.82233502538071</v>
      </c>
      <c r="F71" s="2421">
        <f t="shared" si="222"/>
        <v>107.39446721311475</v>
      </c>
      <c r="G71" s="3610">
        <v>2005</v>
      </c>
      <c r="H71" s="2422">
        <v>1</v>
      </c>
      <c r="I71" s="2422">
        <v>0.43</v>
      </c>
      <c r="J71" s="2422">
        <v>0.37</v>
      </c>
      <c r="K71" s="2422">
        <v>0.37</v>
      </c>
      <c r="L71" s="2428">
        <v>0.55000000000000004</v>
      </c>
      <c r="N71" s="2485">
        <f t="shared" si="219"/>
        <v>1.2992090997956099E-2</v>
      </c>
      <c r="O71" s="2486">
        <f t="shared" si="219"/>
        <v>1.2239947070499151E-2</v>
      </c>
      <c r="P71" s="2486">
        <f t="shared" si="220"/>
        <v>4.6954314720812178E-2</v>
      </c>
      <c r="Q71" s="2486">
        <f t="shared" si="220"/>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5" thickBot="1">
      <c r="A72" s="2420" t="s">
        <v>1166</v>
      </c>
      <c r="B72" s="2470">
        <v>121</v>
      </c>
      <c r="C72" s="2470">
        <v>122</v>
      </c>
      <c r="D72" s="2470">
        <f t="shared" si="191"/>
        <v>122</v>
      </c>
      <c r="E72" s="2470">
        <v>124</v>
      </c>
      <c r="F72" s="2471">
        <v>107</v>
      </c>
      <c r="G72" s="3608">
        <v>2004</v>
      </c>
      <c r="H72" s="2441">
        <v>4</v>
      </c>
      <c r="I72" s="2441">
        <v>0.33</v>
      </c>
      <c r="J72" s="2441">
        <v>0.5</v>
      </c>
      <c r="K72" s="2441">
        <v>0.5</v>
      </c>
      <c r="L72" s="2442">
        <v>0</v>
      </c>
      <c r="N72" s="2482">
        <f t="shared" ref="N72:O75" si="223">I72/SUM(I$72:I$75)*(B$72/B$76-1)</f>
        <v>1.3391770148526898E-2</v>
      </c>
      <c r="O72" s="2483">
        <f t="shared" si="223"/>
        <v>1.063264221158958E-2</v>
      </c>
      <c r="P72" s="2483">
        <f t="shared" ref="P72:Q75" si="224">K72/SUM(K$72:K$75)*(E$72/E$76-1)</f>
        <v>2.2244466688911134E-2</v>
      </c>
      <c r="Q72" s="2483">
        <f t="shared" si="224"/>
        <v>0</v>
      </c>
      <c r="R72" s="2424"/>
      <c r="S72" s="2437"/>
      <c r="T72" s="2438"/>
      <c r="U72" s="2438"/>
      <c r="V72" s="2438"/>
      <c r="X72" s="2484"/>
      <c r="Y72" s="2484"/>
      <c r="Z72" s="2484"/>
    </row>
    <row r="73" spans="1:26">
      <c r="A73" s="2420" t="s">
        <v>1167</v>
      </c>
      <c r="B73" s="2421">
        <f t="shared" ref="B73:C75" si="225">B74+(B$72-B$76)*I73/SUM(I$72:I$75)</f>
        <v>119.51351351351352</v>
      </c>
      <c r="C73" s="2421">
        <f t="shared" si="225"/>
        <v>120.7878787878788</v>
      </c>
      <c r="D73" s="2421">
        <f t="shared" si="191"/>
        <v>120.7878787878788</v>
      </c>
      <c r="E73" s="2421">
        <f t="shared" ref="E73:F75" si="226">E74+(E$72-E$76)*K73/SUM(K$72:K$75)</f>
        <v>121.5975975975976</v>
      </c>
      <c r="F73" s="2421">
        <f t="shared" si="226"/>
        <v>107</v>
      </c>
      <c r="G73" s="3609">
        <v>2004</v>
      </c>
      <c r="H73" s="2446">
        <v>3</v>
      </c>
      <c r="I73" s="2446">
        <v>0.56000000000000005</v>
      </c>
      <c r="J73" s="2446">
        <v>0.8</v>
      </c>
      <c r="K73" s="2446">
        <v>0.83</v>
      </c>
      <c r="L73" s="2447">
        <v>0.06</v>
      </c>
      <c r="N73" s="2482">
        <f t="shared" si="223"/>
        <v>2.2725428130833527E-2</v>
      </c>
      <c r="O73" s="2483">
        <f t="shared" si="223"/>
        <v>1.7012227538543329E-2</v>
      </c>
      <c r="P73" s="2483">
        <f t="shared" si="224"/>
        <v>3.6925814703592477E-2</v>
      </c>
      <c r="Q73" s="2483">
        <f t="shared" si="224"/>
        <v>2.8846153846153744E-2</v>
      </c>
      <c r="R73" s="2424"/>
      <c r="S73" s="2423"/>
      <c r="T73" s="2408"/>
      <c r="U73" s="2408"/>
      <c r="V73" s="2408"/>
      <c r="X73" s="2484"/>
      <c r="Y73" s="2484"/>
      <c r="Z73" s="2484"/>
    </row>
    <row r="74" spans="1:26">
      <c r="A74" s="2420" t="s">
        <v>1168</v>
      </c>
      <c r="B74" s="2421">
        <f t="shared" si="225"/>
        <v>116.99099099099099</v>
      </c>
      <c r="C74" s="2421">
        <f t="shared" si="225"/>
        <v>118.84848484848486</v>
      </c>
      <c r="D74" s="2421">
        <f t="shared" si="191"/>
        <v>118.84848484848486</v>
      </c>
      <c r="E74" s="2421">
        <f t="shared" si="226"/>
        <v>117.60960960960961</v>
      </c>
      <c r="F74" s="2421">
        <f t="shared" si="226"/>
        <v>104</v>
      </c>
      <c r="G74" s="3609">
        <v>2004</v>
      </c>
      <c r="H74" s="2433">
        <v>2</v>
      </c>
      <c r="I74" s="2433">
        <v>1</v>
      </c>
      <c r="J74" s="2433">
        <v>1.5</v>
      </c>
      <c r="K74" s="2433">
        <v>1.5</v>
      </c>
      <c r="L74" s="2434">
        <v>0</v>
      </c>
      <c r="N74" s="2482">
        <f t="shared" si="223"/>
        <v>4.0581121662202721E-2</v>
      </c>
      <c r="O74" s="2483">
        <f t="shared" si="223"/>
        <v>3.1897926634768738E-2</v>
      </c>
      <c r="P74" s="2483">
        <f t="shared" si="224"/>
        <v>6.6733400066733395E-2</v>
      </c>
      <c r="Q74" s="2483">
        <f t="shared" si="224"/>
        <v>0</v>
      </c>
      <c r="R74" s="2424"/>
      <c r="S74" s="2423"/>
      <c r="T74" s="2408"/>
      <c r="U74" s="2408"/>
      <c r="V74" s="2408"/>
      <c r="X74" s="2484"/>
      <c r="Y74" s="2484"/>
      <c r="Z74" s="2484"/>
    </row>
    <row r="75" spans="1:26" s="2476" customFormat="1" ht="13.5" thickBot="1">
      <c r="A75" s="2420" t="s">
        <v>1169</v>
      </c>
      <c r="B75" s="2473">
        <f t="shared" si="225"/>
        <v>112.48648648648648</v>
      </c>
      <c r="C75" s="2473">
        <f t="shared" si="225"/>
        <v>115.21212121212122</v>
      </c>
      <c r="D75" s="2473">
        <f t="shared" si="191"/>
        <v>115.21212121212122</v>
      </c>
      <c r="E75" s="2473">
        <f t="shared" si="226"/>
        <v>110.4024024024024</v>
      </c>
      <c r="F75" s="2473">
        <f t="shared" si="226"/>
        <v>104</v>
      </c>
      <c r="G75" s="3610">
        <v>2004</v>
      </c>
      <c r="H75" s="2474">
        <v>1</v>
      </c>
      <c r="I75" s="2474">
        <v>0.33</v>
      </c>
      <c r="J75" s="2474">
        <v>0.5</v>
      </c>
      <c r="K75" s="2474">
        <v>0.5</v>
      </c>
      <c r="L75" s="2475">
        <v>0</v>
      </c>
      <c r="N75" s="2487">
        <f t="shared" si="223"/>
        <v>1.3391770148526898E-2</v>
      </c>
      <c r="O75" s="2488">
        <f t="shared" si="223"/>
        <v>1.063264221158958E-2</v>
      </c>
      <c r="P75" s="2488">
        <f t="shared" si="224"/>
        <v>2.2244466688911134E-2</v>
      </c>
      <c r="Q75" s="2488">
        <f t="shared" si="224"/>
        <v>0</v>
      </c>
      <c r="R75" s="2479"/>
      <c r="S75" s="2477">
        <f>B75/B76-1</f>
        <v>1.3391770148526883E-2</v>
      </c>
      <c r="T75" s="2478">
        <f>C75/C76-1</f>
        <v>1.063264221158966E-2</v>
      </c>
      <c r="U75" s="2478">
        <f>E75/E76-1</f>
        <v>2.2244466688911224E-2</v>
      </c>
      <c r="V75" s="2478">
        <f>F75/F76-1</f>
        <v>0</v>
      </c>
      <c r="X75" s="2489"/>
      <c r="Y75" s="2489"/>
      <c r="Z75" s="2489"/>
    </row>
    <row r="76" spans="1:26" ht="13.5" thickBot="1">
      <c r="A76" s="2420" t="s">
        <v>1170</v>
      </c>
      <c r="B76" s="2490">
        <v>111</v>
      </c>
      <c r="C76" s="2490">
        <v>114</v>
      </c>
      <c r="D76" s="2490">
        <f t="shared" si="191"/>
        <v>114</v>
      </c>
      <c r="E76" s="2490">
        <v>108</v>
      </c>
      <c r="F76" s="2491">
        <v>104</v>
      </c>
      <c r="G76" s="3608">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227">B78+(B$76-B$80)/4</f>
        <v>109.75</v>
      </c>
      <c r="C77" s="2494">
        <f t="shared" si="227"/>
        <v>112.25</v>
      </c>
      <c r="D77" s="2494">
        <f t="shared" si="191"/>
        <v>112.25</v>
      </c>
      <c r="E77" s="2494">
        <f t="shared" ref="E77:F79" si="228">E78+(E$76-E$80)/4</f>
        <v>107.25</v>
      </c>
      <c r="F77" s="2494">
        <f t="shared" si="228"/>
        <v>103.5</v>
      </c>
      <c r="G77" s="3609">
        <v>2003</v>
      </c>
      <c r="H77" s="2446">
        <v>3</v>
      </c>
      <c r="I77" s="2492"/>
      <c r="J77" s="2492"/>
      <c r="K77" s="2492"/>
      <c r="L77" s="2492"/>
      <c r="X77" s="2484"/>
      <c r="Y77" s="2484"/>
      <c r="Z77" s="2484"/>
    </row>
    <row r="78" spans="1:26">
      <c r="A78" s="2420" t="s">
        <v>1172</v>
      </c>
      <c r="B78" s="2494">
        <f t="shared" si="227"/>
        <v>108.5</v>
      </c>
      <c r="C78" s="2494">
        <f t="shared" si="227"/>
        <v>110.5</v>
      </c>
      <c r="D78" s="2494">
        <f t="shared" si="191"/>
        <v>110.5</v>
      </c>
      <c r="E78" s="2494">
        <f t="shared" si="228"/>
        <v>106.5</v>
      </c>
      <c r="F78" s="2494">
        <f t="shared" si="228"/>
        <v>103</v>
      </c>
      <c r="G78" s="3609">
        <v>2003</v>
      </c>
      <c r="H78" s="2433">
        <v>2</v>
      </c>
      <c r="I78" s="2492"/>
      <c r="J78" s="2492"/>
      <c r="K78" s="2492"/>
      <c r="L78" s="2492"/>
      <c r="X78" s="2484"/>
      <c r="Y78" s="2484"/>
      <c r="Z78" s="2484"/>
    </row>
    <row r="79" spans="1:26" ht="13.5" thickBot="1">
      <c r="A79" s="2420" t="s">
        <v>1173</v>
      </c>
      <c r="B79" s="2494">
        <f t="shared" si="227"/>
        <v>107.25</v>
      </c>
      <c r="C79" s="2494">
        <f t="shared" si="227"/>
        <v>108.75</v>
      </c>
      <c r="D79" s="2494">
        <f t="shared" si="191"/>
        <v>108.75</v>
      </c>
      <c r="E79" s="2494">
        <f t="shared" si="228"/>
        <v>105.75</v>
      </c>
      <c r="F79" s="2494">
        <f t="shared" si="228"/>
        <v>102.5</v>
      </c>
      <c r="G79" s="3610">
        <v>2003</v>
      </c>
      <c r="H79" s="2495">
        <v>1</v>
      </c>
      <c r="I79" s="2492"/>
      <c r="J79" s="2492"/>
      <c r="K79" s="2492"/>
      <c r="L79" s="2492"/>
      <c r="S79" s="2423"/>
      <c r="T79" s="2408"/>
      <c r="U79" s="2408"/>
      <c r="X79" s="2484"/>
      <c r="Y79" s="2484"/>
      <c r="Z79" s="2484"/>
    </row>
    <row r="80" spans="1:26" ht="13.5" thickBot="1">
      <c r="A80" s="2420" t="s">
        <v>1174</v>
      </c>
      <c r="B80" s="2496">
        <v>106</v>
      </c>
      <c r="C80" s="2496">
        <v>107</v>
      </c>
      <c r="D80" s="2496">
        <f t="shared" si="191"/>
        <v>107</v>
      </c>
      <c r="E80" s="2496">
        <v>105</v>
      </c>
      <c r="F80" s="2497">
        <v>102</v>
      </c>
      <c r="G80" s="3608">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229">B82+(B$80-B$84)/4</f>
        <v>105</v>
      </c>
      <c r="C81" s="2494">
        <f t="shared" si="229"/>
        <v>106</v>
      </c>
      <c r="D81" s="2494">
        <f t="shared" si="191"/>
        <v>106</v>
      </c>
      <c r="E81" s="2494">
        <f t="shared" ref="E81:F83" si="230">E82+(E$80-E$84)/4</f>
        <v>104.5</v>
      </c>
      <c r="F81" s="2494">
        <f t="shared" si="230"/>
        <v>101.5</v>
      </c>
      <c r="G81" s="3609">
        <v>2002</v>
      </c>
      <c r="H81" s="2446">
        <v>3</v>
      </c>
      <c r="I81" s="2492"/>
      <c r="J81" s="2492"/>
      <c r="K81" s="2492"/>
      <c r="L81" s="2492"/>
      <c r="X81" s="2484"/>
      <c r="Y81" s="2484"/>
      <c r="Z81" s="2484"/>
    </row>
    <row r="82" spans="1:26">
      <c r="A82" s="2420" t="s">
        <v>1176</v>
      </c>
      <c r="B82" s="2494">
        <f t="shared" si="229"/>
        <v>104</v>
      </c>
      <c r="C82" s="2494">
        <f t="shared" si="229"/>
        <v>105</v>
      </c>
      <c r="D82" s="2494">
        <f t="shared" si="191"/>
        <v>105</v>
      </c>
      <c r="E82" s="2494">
        <f t="shared" si="230"/>
        <v>104</v>
      </c>
      <c r="F82" s="2494">
        <f t="shared" si="230"/>
        <v>101</v>
      </c>
      <c r="G82" s="3609">
        <v>2002</v>
      </c>
      <c r="H82" s="2433">
        <v>2</v>
      </c>
      <c r="I82" s="2492"/>
      <c r="J82" s="2492"/>
      <c r="K82" s="2492"/>
      <c r="L82" s="2492"/>
      <c r="X82" s="2484"/>
      <c r="Y82" s="2484"/>
      <c r="Z82" s="2484"/>
    </row>
    <row r="83" spans="1:26" s="2457" customFormat="1" ht="13.5" thickBot="1">
      <c r="A83" s="2453" t="s">
        <v>1177</v>
      </c>
      <c r="B83" s="2460">
        <f t="shared" si="229"/>
        <v>103</v>
      </c>
      <c r="C83" s="2460">
        <f t="shared" si="229"/>
        <v>104</v>
      </c>
      <c r="D83" s="2460">
        <f t="shared" si="191"/>
        <v>104</v>
      </c>
      <c r="E83" s="2460">
        <f t="shared" si="230"/>
        <v>103.5</v>
      </c>
      <c r="F83" s="2460">
        <f t="shared" si="230"/>
        <v>100.5</v>
      </c>
      <c r="G83" s="3610">
        <v>2002</v>
      </c>
      <c r="H83" s="2498">
        <v>1</v>
      </c>
      <c r="I83" s="2499"/>
      <c r="J83" s="2499"/>
      <c r="K83" s="2499"/>
      <c r="L83" s="2499"/>
      <c r="N83" s="2500"/>
      <c r="S83" s="2500"/>
      <c r="X83" s="2501"/>
      <c r="Y83" s="2501"/>
      <c r="Z83" s="2501"/>
    </row>
    <row r="84" spans="1:26" ht="13.5" thickBot="1">
      <c r="B84" s="2502">
        <v>102</v>
      </c>
      <c r="C84" s="2503">
        <v>103</v>
      </c>
      <c r="D84" s="2503">
        <f t="shared" si="191"/>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5"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5"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1606</v>
      </c>
      <c r="B2" s="3249" t="s">
        <v>1607</v>
      </c>
      <c r="C2" s="3249" t="s">
        <v>1608</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962" t="s">
        <v>1603</v>
      </c>
      <c r="E3" s="962" t="s">
        <v>1609</v>
      </c>
      <c r="F3" s="962" t="s">
        <v>1603</v>
      </c>
      <c r="G3" s="962" t="s">
        <v>1604</v>
      </c>
      <c r="H3" s="962" t="s">
        <v>1603</v>
      </c>
      <c r="I3" s="962" t="s">
        <v>1604</v>
      </c>
    </row>
    <row r="4" spans="1:9" ht="30">
      <c r="A4" s="1688" t="str">
        <f>项目基本情况!S2</f>
        <v>北京市0331地块部分现房房地产</v>
      </c>
      <c r="B4" s="962">
        <f>项目基本情况!C17</f>
        <v>46306.38</v>
      </c>
      <c r="C4" s="962">
        <f>项目基本情况!C18</f>
        <v>23188.07</v>
      </c>
      <c r="D4" s="962">
        <f ca="1">结果表!D118</f>
        <v>78334</v>
      </c>
      <c r="E4" s="962">
        <f ca="1">结果表!E118</f>
        <v>49867</v>
      </c>
      <c r="F4" s="962">
        <f ca="1">结果表!F118</f>
        <v>6997</v>
      </c>
      <c r="G4" s="962">
        <f ca="1">结果表!G118</f>
        <v>4454</v>
      </c>
      <c r="H4" s="962">
        <f ca="1">结果表!H118</f>
        <v>85331</v>
      </c>
      <c r="I4" s="962">
        <f ca="1">结果表!I118</f>
        <v>54321</v>
      </c>
    </row>
    <row r="5" spans="1:9" ht="30" customHeight="1">
      <c r="A5" s="3250" t="s">
        <v>1605</v>
      </c>
      <c r="B5" s="3250"/>
      <c r="C5" s="3250"/>
      <c r="D5" s="3251" t="str">
        <f ca="1">结果表!D119</f>
        <v>柒亿捌仟叁佰叁拾肆万元整</v>
      </c>
      <c r="E5" s="3251"/>
      <c r="F5" s="3251" t="str">
        <f ca="1">结果表!F119</f>
        <v>陆仟玖佰玖拾柒万元整</v>
      </c>
      <c r="G5" s="3251"/>
      <c r="H5" s="3251" t="str">
        <f ca="1">结果表!H119</f>
        <v>捌亿伍仟叁佰叁拾壹万元整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1605</v>
      </c>
      <c r="B7" s="3250"/>
      <c r="C7" s="3250"/>
      <c r="D7" s="3253" t="str">
        <f>结果表!D121</f>
        <v>零元整</v>
      </c>
      <c r="E7" s="3254"/>
      <c r="F7" s="3254"/>
      <c r="G7" s="3254"/>
      <c r="H7" s="3254"/>
      <c r="I7" s="3255"/>
    </row>
    <row r="8" spans="1:9" ht="15.75">
      <c r="A8" s="3252" t="str">
        <f>结果表!A122</f>
        <v>房地产抵押价值</v>
      </c>
      <c r="B8" s="3252"/>
      <c r="C8" s="3252"/>
      <c r="D8" s="3252">
        <f ca="1">结果表!D122</f>
        <v>85331</v>
      </c>
      <c r="E8" s="3252"/>
      <c r="F8" s="3252"/>
      <c r="G8" s="3252"/>
      <c r="H8" s="3252"/>
      <c r="I8" s="3252"/>
    </row>
    <row r="9" spans="1:9" ht="15">
      <c r="A9" s="3250" t="s">
        <v>1605</v>
      </c>
      <c r="B9" s="3250"/>
      <c r="C9" s="3250"/>
      <c r="D9" s="3251" t="str">
        <f ca="1">结果表!D123</f>
        <v>捌亿伍仟叁佰叁拾壹万元整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1605</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75" thickBot="1">
      <c r="A13" s="3256" t="s">
        <v>1605</v>
      </c>
      <c r="B13" s="3256"/>
      <c r="C13" s="3256"/>
      <c r="D13" s="3257" t="e">
        <f>结果表!D127</f>
        <v>#VALUE!</v>
      </c>
      <c r="E13" s="3257"/>
      <c r="F13" s="3257"/>
      <c r="G13" s="3257"/>
      <c r="H13" s="3257"/>
      <c r="I13" s="3257"/>
    </row>
    <row r="14" spans="1:9" ht="15" thickTop="1">
      <c r="A14" s="3258" t="s">
        <v>1610</v>
      </c>
      <c r="B14" s="3258"/>
      <c r="C14" s="3258"/>
      <c r="D14" s="3258"/>
      <c r="E14" s="3258"/>
      <c r="F14" s="3258"/>
      <c r="G14" s="3258"/>
      <c r="H14" s="3258"/>
      <c r="I14" s="325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2824</v>
      </c>
      <c r="C1" s="3620" t="s">
        <v>2825</v>
      </c>
      <c r="D1" s="3621"/>
      <c r="E1" s="3621"/>
      <c r="F1" s="3621"/>
      <c r="G1" s="3621"/>
      <c r="H1" s="3621"/>
      <c r="I1" s="3621"/>
      <c r="J1" s="3621"/>
      <c r="K1" s="3621"/>
      <c r="L1" s="3621"/>
      <c r="M1" s="3621"/>
      <c r="N1" s="3621"/>
      <c r="O1" s="3621"/>
      <c r="P1" s="3621"/>
      <c r="Q1" s="3621"/>
      <c r="R1" s="3621"/>
      <c r="S1" s="3622"/>
      <c r="T1" s="1113" t="s">
        <v>2826</v>
      </c>
    </row>
    <row r="2" spans="1:45" s="662" customFormat="1">
      <c r="A2" s="1114"/>
      <c r="B2" s="658" t="s">
        <v>2827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2834</v>
      </c>
      <c r="B17" s="2362"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2836</v>
      </c>
      <c r="E19" s="1522"/>
      <c r="F19" s="1522"/>
      <c r="G19" s="1522"/>
      <c r="H19" s="1189"/>
      <c r="I19" s="163"/>
      <c r="J19" s="163"/>
      <c r="K19" s="163"/>
      <c r="L19" s="163"/>
      <c r="M19" s="163"/>
      <c r="N19" s="163"/>
      <c r="O19" s="163"/>
      <c r="P19" s="163"/>
      <c r="Q19" s="163"/>
      <c r="R19" s="726"/>
      <c r="S19" s="133"/>
    </row>
    <row r="20" spans="1:45" ht="16.5" thickBot="1">
      <c r="A20" s="670" t="s">
        <v>2837</v>
      </c>
      <c r="B20" s="299" t="e">
        <f ca="1">IF(D20="——",S22,S22-F20)</f>
        <v>#REF!</v>
      </c>
      <c r="C20" s="163"/>
      <c r="D20" s="2364"/>
      <c r="E20" s="1523"/>
      <c r="F20" s="1113" t="e">
        <f ca="1">SUMIF(INDIRECT("'"&amp;H20&amp;"'"&amp;"!A:A"),"承租人权益价值",INDIRECT("'"&amp;H20&amp;"'"&amp;"!c:c"))</f>
        <v>#REF!</v>
      </c>
      <c r="G20" s="1113" t="s">
        <v>2838</v>
      </c>
      <c r="H20" s="2365"/>
      <c r="I20" s="163"/>
      <c r="J20" s="163"/>
      <c r="K20" s="163"/>
      <c r="L20" s="163"/>
      <c r="M20" s="163"/>
      <c r="N20" s="163"/>
      <c r="O20" s="163"/>
      <c r="P20" s="163"/>
      <c r="Q20" s="163"/>
      <c r="R20" s="726"/>
      <c r="S20" s="133"/>
    </row>
    <row r="21" spans="1:45" ht="15.75">
      <c r="A21" s="670" t="s">
        <v>2839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2840</v>
      </c>
      <c r="B22" s="23">
        <f>SUM(B24:B10000)</f>
        <v>100</v>
      </c>
      <c r="C22" s="3617" t="s">
        <v>33</v>
      </c>
      <c r="D22" s="3618"/>
      <c r="E22" s="3618"/>
      <c r="F22" s="3618"/>
      <c r="G22" s="3618"/>
      <c r="H22" s="3618"/>
      <c r="I22" s="3618"/>
      <c r="J22" s="3618"/>
      <c r="K22" s="3618"/>
      <c r="L22" s="3618"/>
      <c r="M22" s="3618"/>
      <c r="N22" s="3618"/>
      <c r="O22" s="3618"/>
      <c r="P22" s="3618"/>
      <c r="Q22" s="3619"/>
      <c r="R22" s="671">
        <f>ROUND(S22*10000/B22,0)</f>
        <v>10000</v>
      </c>
      <c r="S22" s="23">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v>100</v>
      </c>
      <c r="C24" s="3034">
        <v>1</v>
      </c>
      <c r="D24" s="3035"/>
      <c r="E24" s="3034">
        <v>1</v>
      </c>
      <c r="F24" s="3035"/>
      <c r="G24" s="3034">
        <v>1</v>
      </c>
      <c r="H24" s="3035"/>
      <c r="I24" s="3034">
        <v>1</v>
      </c>
      <c r="J24" s="3035"/>
      <c r="K24" s="3034">
        <v>1</v>
      </c>
      <c r="L24" s="3035"/>
      <c r="M24" s="3034">
        <v>1</v>
      </c>
      <c r="N24" s="3035"/>
      <c r="O24" s="3034">
        <v>1</v>
      </c>
      <c r="P24" s="3035"/>
      <c r="Q24" s="3034">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D20" xr:uid="{00000000-0002-0000-3100-000007000000}">
      <formula1>"需扣减承租人权益,——"</formula1>
    </dataValidation>
    <dataValidation type="list" allowBlank="1" showInputMessage="1" showErrorMessage="1" sqref="H20" xr:uid="{00000000-0002-0000-3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48981</v>
      </c>
      <c r="C2" s="2" t="s">
        <v>133</v>
      </c>
      <c r="D2" s="204"/>
      <c r="E2" s="204"/>
      <c r="F2" s="204"/>
      <c r="G2" s="204"/>
    </row>
    <row r="3" spans="1:7" s="205" customFormat="1" ht="18" customHeight="1" thickBot="1">
      <c r="A3" s="208" t="s">
        <v>85</v>
      </c>
      <c r="B3" s="209">
        <f ca="1">ROUND(B2*10000/'数据-汇总表'!E3,0)</f>
        <v>10578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15708.62</v>
      </c>
      <c r="E9" s="230">
        <f>'数据-取费表'!B27</f>
        <v>0</v>
      </c>
      <c r="F9" s="226"/>
      <c r="G9" s="231"/>
    </row>
    <row r="10" spans="1:7" s="219" customFormat="1" ht="13.5" customHeight="1">
      <c r="A10" s="886" t="s">
        <v>801</v>
      </c>
      <c r="B10" s="229" t="s">
        <v>94</v>
      </c>
      <c r="C10" s="230">
        <f>ROUND(D10*E10/10000,0)</f>
        <v>0</v>
      </c>
      <c r="D10" s="953">
        <f>'数据-汇总表'!E6</f>
        <v>30597.759999999995</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926</v>
      </c>
      <c r="D19" s="957">
        <f>'数据-汇总表'!E3</f>
        <v>46306.38</v>
      </c>
      <c r="E19" s="216">
        <f>'数据-取费表'!B31</f>
        <v>200</v>
      </c>
      <c r="F19" s="236"/>
      <c r="G19" s="1" t="s">
        <v>1042</v>
      </c>
    </row>
    <row r="20" spans="1:7" s="219" customFormat="1" ht="13.5" customHeight="1">
      <c r="A20" s="884" t="s">
        <v>1025</v>
      </c>
      <c r="B20" s="215" t="s">
        <v>104</v>
      </c>
      <c r="C20" s="237">
        <f>ROUND((C5+C19)*F20,0)</f>
        <v>646</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1942</v>
      </c>
      <c r="D22" s="240">
        <f ca="1">C26</f>
        <v>1.2999999999999999E-3</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1832</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82</v>
      </c>
      <c r="D24" s="243"/>
      <c r="E24" s="243"/>
      <c r="F24" s="244"/>
      <c r="G24" s="245" t="s">
        <v>109</v>
      </c>
    </row>
    <row r="25" spans="1:7" s="219" customFormat="1" ht="24">
      <c r="A25" s="887" t="s">
        <v>793</v>
      </c>
      <c r="B25" s="220" t="s">
        <v>1026</v>
      </c>
      <c r="C25" s="1264">
        <f ca="1">ROUND(IF('数据-取费表'!B22&lt;=1,C20*F22*'数据-取费表'!B23/2,C20*(POWER((1+F22),'数据-取费表'!B23/2)-1)),0)</f>
        <v>28</v>
      </c>
      <c r="D25" s="243"/>
      <c r="E25" s="246"/>
      <c r="F25" s="244"/>
      <c r="G25" s="247" t="s">
        <v>110</v>
      </c>
    </row>
    <row r="26" spans="1:7" s="219" customFormat="1">
      <c r="A26" s="887" t="s">
        <v>795</v>
      </c>
      <c r="B26" s="220" t="s">
        <v>1028</v>
      </c>
      <c r="C26" s="243">
        <f ca="1">ROUND(IF('数据-取费表'!B22&lt;=1,F21*F22*'数据-取费表'!B23/2,F21*(POWER((1+F22),'数据-取费表'!B23/2)-1)),4)</f>
        <v>1.2999999999999999E-3</v>
      </c>
      <c r="D26" s="243"/>
      <c r="E26" s="246"/>
      <c r="F26" s="244"/>
      <c r="G26" s="248"/>
    </row>
    <row r="27" spans="1:7" s="219" customFormat="1" ht="24.75">
      <c r="A27" s="884" t="s">
        <v>787</v>
      </c>
      <c r="B27" s="249" t="s">
        <v>112</v>
      </c>
      <c r="C27" s="250">
        <f>C28</f>
        <v>1996</v>
      </c>
      <c r="D27" s="240">
        <f>C29</f>
        <v>2.7000000000000001E-3</v>
      </c>
      <c r="E27" s="241" t="s">
        <v>126</v>
      </c>
      <c r="F27" s="251">
        <f>'数据-取费表'!Q16</f>
        <v>0.09</v>
      </c>
      <c r="G27" s="252" t="s">
        <v>1037</v>
      </c>
    </row>
    <row r="28" spans="1:7" s="219" customFormat="1" ht="13.5" customHeight="1">
      <c r="A28" s="887" t="s">
        <v>794</v>
      </c>
      <c r="B28" s="253" t="s">
        <v>1030</v>
      </c>
      <c r="C28" s="254">
        <f>ROUND((C5+C19+C20)*F27*'数据-取费表'!B21/'数据-取费表'!B20,0)</f>
        <v>1996</v>
      </c>
      <c r="D28" s="240"/>
      <c r="E28" s="241"/>
      <c r="F28" s="251"/>
      <c r="G28" s="252"/>
    </row>
    <row r="29" spans="1:7" s="219" customFormat="1" ht="13.5" customHeight="1">
      <c r="A29" s="887" t="s">
        <v>792</v>
      </c>
      <c r="B29" s="253" t="s">
        <v>1031</v>
      </c>
      <c r="C29" s="243">
        <f>ROUND(C21*F27*'数据-取费表'!B21/'数据-取费表'!B20,4)</f>
        <v>2.7000000000000001E-3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28590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15957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13892</v>
      </c>
      <c r="D34" s="222"/>
      <c r="E34" s="225"/>
      <c r="F34" s="262">
        <f>IF('数据-取费表'!B24=0,1,'数据-取费表'!N16)</f>
        <v>1</v>
      </c>
      <c r="G34" s="224" t="s">
        <v>116</v>
      </c>
    </row>
    <row r="35" spans="1:7" ht="13.5" customHeight="1">
      <c r="A35" s="887" t="s">
        <v>796</v>
      </c>
      <c r="B35" s="220" t="s">
        <v>60</v>
      </c>
      <c r="C35" s="225">
        <f>ROUND(C34*F35,0)</f>
        <v>695</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236</v>
      </c>
      <c r="D36" s="225"/>
      <c r="E36" s="225"/>
      <c r="F36" s="264">
        <f>'数据-取费表'!B34</f>
        <v>0.05</v>
      </c>
      <c r="G36" s="265" t="s">
        <v>62</v>
      </c>
    </row>
    <row r="37" spans="1:7" s="263" customFormat="1" ht="13.5" customHeight="1">
      <c r="A37" s="887" t="s">
        <v>798</v>
      </c>
      <c r="B37" s="220" t="s">
        <v>118</v>
      </c>
      <c r="C37" s="254">
        <f>ROUND(E37*D37*F34/10000,0)</f>
        <v>926</v>
      </c>
      <c r="D37" s="222">
        <f>'数据-汇总表'!E3</f>
        <v>46306.38</v>
      </c>
      <c r="E37" s="254">
        <f>'数据-取费表'!B35</f>
        <v>200</v>
      </c>
      <c r="F37" s="264"/>
      <c r="G37" s="266" t="s">
        <v>119</v>
      </c>
    </row>
    <row r="38" spans="1:7" ht="13.5" customHeight="1">
      <c r="A38" s="887" t="s">
        <v>799</v>
      </c>
      <c r="B38" s="220" t="s">
        <v>63</v>
      </c>
      <c r="C38" s="225">
        <f>ROUND(C34*F38,0)</f>
        <v>208</v>
      </c>
      <c r="D38" s="225"/>
      <c r="E38" s="225"/>
      <c r="F38" s="264">
        <f>'数据-取费表'!B36</f>
        <v>1.4999999999999999E-2</v>
      </c>
      <c r="G38" s="224" t="s">
        <v>117</v>
      </c>
    </row>
    <row r="39" spans="1:7" s="219" customFormat="1" ht="13.5" customHeight="1">
      <c r="A39" s="884" t="s">
        <v>783</v>
      </c>
      <c r="B39" s="215" t="s">
        <v>104</v>
      </c>
      <c r="C39" s="237">
        <f>ROUND(C33*F20,0)</f>
        <v>479</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715</v>
      </c>
      <c r="D41" s="240">
        <f ca="1">C44</f>
        <v>1.2999999999999999E-3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694</v>
      </c>
      <c r="D42" s="243"/>
      <c r="E42" s="243"/>
      <c r="F42" s="244"/>
      <c r="G42" s="3467" t="s">
        <v>121</v>
      </c>
    </row>
    <row r="43" spans="1:7" ht="13.5" customHeight="1">
      <c r="A43" s="887" t="s">
        <v>792</v>
      </c>
      <c r="B43" s="220" t="s">
        <v>1032</v>
      </c>
      <c r="C43" s="243">
        <f ca="1">ROUND(IF('数据-取费表'!B22&lt;=1,C39*F22*'数据-取费表'!B21/2,C39*(POWER((1+F22),'数据-取费表'!B21/2)-1)),0)</f>
        <v>21</v>
      </c>
      <c r="D43" s="243"/>
      <c r="E43" s="243"/>
      <c r="F43" s="244"/>
      <c r="G43" s="3468"/>
    </row>
    <row r="44" spans="1:7" ht="13.5" customHeight="1">
      <c r="A44" s="887" t="s">
        <v>793</v>
      </c>
      <c r="B44" s="220" t="s">
        <v>1034</v>
      </c>
      <c r="C44" s="243">
        <f ca="1">ROUND(IF('数据-取费表'!B22&lt;=1,C40*F22*'数据-取费表'!B21/2,C40*(POWER((1+F22),'数据-取费表'!B21/2)-1)),4)</f>
        <v>1.2999999999999999E-3</v>
      </c>
      <c r="D44" s="243"/>
      <c r="E44" s="243"/>
      <c r="F44" s="244"/>
      <c r="G44" s="3469"/>
    </row>
    <row r="45" spans="1:7" s="219" customFormat="1" ht="13.5" customHeight="1">
      <c r="A45" s="884" t="s">
        <v>786</v>
      </c>
      <c r="B45" s="249" t="s">
        <v>112</v>
      </c>
      <c r="C45" s="250">
        <f>C46</f>
        <v>1479</v>
      </c>
      <c r="D45" s="240">
        <f>C47</f>
        <v>2.7000000000000001E-3</v>
      </c>
      <c r="E45" s="241" t="s">
        <v>129</v>
      </c>
      <c r="F45" s="251"/>
      <c r="G45" s="252" t="s">
        <v>1040</v>
      </c>
    </row>
    <row r="46" spans="1:7" s="219" customFormat="1" ht="13.5" customHeight="1">
      <c r="A46" s="887" t="s">
        <v>794</v>
      </c>
      <c r="B46" s="253" t="s">
        <v>1033</v>
      </c>
      <c r="C46" s="254">
        <f>ROUND((C33+C39)*F27,0)</f>
        <v>1479</v>
      </c>
      <c r="D46" s="268"/>
      <c r="E46" s="241"/>
      <c r="F46" s="251"/>
      <c r="G46" s="252"/>
    </row>
    <row r="47" spans="1:7" s="219" customFormat="1" ht="13.5" customHeight="1">
      <c r="A47" s="887" t="s">
        <v>792</v>
      </c>
      <c r="B47" s="253" t="s">
        <v>1035</v>
      </c>
      <c r="C47" s="243">
        <f>ROUND(C40*F27,4)</f>
        <v>2.7000000000000001E-3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20391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20391</v>
      </c>
      <c r="D51" s="237"/>
      <c r="E51" s="237"/>
      <c r="F51" s="269"/>
      <c r="G51" s="239" t="s">
        <v>64</v>
      </c>
    </row>
    <row r="52" spans="1:7" s="213" customFormat="1" ht="16.5" thickBot="1">
      <c r="A52" s="270" t="s">
        <v>65</v>
      </c>
      <c r="B52" s="271"/>
      <c r="C52" s="272">
        <f ca="1">C31+C51</f>
        <v>48981</v>
      </c>
      <c r="D52" s="271"/>
      <c r="E52" s="271"/>
      <c r="F52" s="271"/>
      <c r="G52" s="273"/>
    </row>
    <row r="55" spans="1:7" ht="15">
      <c r="B55" s="275" t="s">
        <v>66</v>
      </c>
      <c r="C55" s="276"/>
    </row>
    <row r="56" spans="1:7">
      <c r="B56" s="278" t="s">
        <v>67</v>
      </c>
      <c r="C56" s="279">
        <f ca="1">ROUND(C51/C52,3)</f>
        <v>0.41599999999999998</v>
      </c>
    </row>
    <row r="57" spans="1:7">
      <c r="B57" s="278" t="s">
        <v>68</v>
      </c>
      <c r="C57" s="280">
        <f ca="1">1-C56</f>
        <v>0.58400000000000007</v>
      </c>
    </row>
  </sheetData>
  <mergeCells count="1">
    <mergeCell ref="G42:G44"/>
  </mergeCells>
  <phoneticPr fontId="18" type="noConversion"/>
  <dataValidations count="2">
    <dataValidation type="list" allowBlank="1" showInputMessage="1" showErrorMessage="1" sqref="G19" xr:uid="{00000000-0002-0000-3200-000000000000}">
      <formula1>"已包含在土地取得成本中,未包含在土地取得成本中"</formula1>
    </dataValidation>
    <dataValidation type="list" allowBlank="1" showInputMessage="1" showErrorMessage="1" sqref="G8" xr:uid="{00000000-0002-0000-32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23" t="s">
        <v>156</v>
      </c>
      <c r="B1" s="3623"/>
      <c r="C1" s="3623"/>
      <c r="D1" s="3623"/>
      <c r="E1" s="3623"/>
      <c r="F1" s="362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24" t="s">
        <v>169</v>
      </c>
      <c r="B2" s="3624"/>
      <c r="C2" s="3624"/>
      <c r="D2" s="3624"/>
      <c r="E2" s="3624"/>
      <c r="F2" s="362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2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2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23" t="s">
        <v>839</v>
      </c>
      <c r="B1" s="362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68"/>
  <sheetViews>
    <sheetView workbookViewId="0">
      <selection activeCell="H3" sqref="H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44495</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5">
        <v>43941</v>
      </c>
      <c r="D13" s="3046">
        <v>3.85</v>
      </c>
      <c r="E13" s="3046">
        <v>3.85</v>
      </c>
      <c r="F13" s="3046">
        <v>3.85</v>
      </c>
      <c r="G13" s="3046">
        <v>3.85</v>
      </c>
      <c r="H13" s="3046">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1"/>
      <c r="C14" s="3042">
        <v>43881</v>
      </c>
      <c r="D14" s="3041">
        <v>4.05</v>
      </c>
      <c r="E14" s="3041">
        <v>4.05</v>
      </c>
      <c r="F14" s="3041">
        <v>4.05</v>
      </c>
      <c r="G14" s="3041">
        <v>4.05</v>
      </c>
      <c r="H14" s="3041">
        <v>4.75</v>
      </c>
      <c r="I14" s="3041"/>
      <c r="J14" s="3041"/>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1"/>
      <c r="C15" s="3042">
        <v>43789</v>
      </c>
      <c r="D15" s="3041">
        <v>4.1500000000000004</v>
      </c>
      <c r="E15" s="3041">
        <v>4.1500000000000004</v>
      </c>
      <c r="F15" s="3041">
        <v>4.1500000000000004</v>
      </c>
      <c r="G15" s="3041">
        <v>4.1500000000000004</v>
      </c>
      <c r="H15" s="3041">
        <v>4.8</v>
      </c>
      <c r="I15" s="3041"/>
      <c r="J15" s="3041"/>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1"/>
      <c r="C16" s="3042">
        <v>43728</v>
      </c>
      <c r="D16" s="3041">
        <v>4.2</v>
      </c>
      <c r="E16" s="3041">
        <v>4.2</v>
      </c>
      <c r="F16" s="3041">
        <v>4.2</v>
      </c>
      <c r="G16" s="3041">
        <v>4.2</v>
      </c>
      <c r="H16" s="3041">
        <v>4.8499999999999996</v>
      </c>
      <c r="I16" s="3041"/>
      <c r="J16" s="3041"/>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0" t="s">
        <v>3054</v>
      </c>
      <c r="C17" s="3043">
        <v>43697</v>
      </c>
      <c r="D17" s="3044">
        <v>4.25</v>
      </c>
      <c r="E17" s="3044">
        <v>4.25</v>
      </c>
      <c r="F17" s="3044">
        <v>4.25</v>
      </c>
      <c r="G17" s="3044">
        <v>4.25</v>
      </c>
      <c r="H17" s="3044">
        <v>4.8499999999999996</v>
      </c>
      <c r="I17" s="3044"/>
      <c r="J17" s="3044"/>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2" customFormat="1" ht="15">
      <c r="A18" s="3047"/>
      <c r="B18" s="3048"/>
      <c r="C18" s="3049">
        <v>42301</v>
      </c>
      <c r="D18" s="3050">
        <v>4.3499999999999996</v>
      </c>
      <c r="E18" s="3050">
        <v>4.3499999999999996</v>
      </c>
      <c r="F18" s="3050">
        <v>4.75</v>
      </c>
      <c r="G18" s="3050">
        <v>4.75</v>
      </c>
      <c r="H18" s="3050">
        <v>4.9000000000000004</v>
      </c>
      <c r="I18" s="3050"/>
      <c r="J18" s="3050"/>
      <c r="K18" s="1444"/>
      <c r="L18" s="3050"/>
      <c r="M18" s="3049">
        <v>41965</v>
      </c>
      <c r="N18" s="3050">
        <v>0.35</v>
      </c>
      <c r="O18" s="3050">
        <v>2.35</v>
      </c>
      <c r="P18" s="3050">
        <v>2.5499999999999998</v>
      </c>
      <c r="Q18" s="3050">
        <v>2.75</v>
      </c>
      <c r="R18" s="3050">
        <v>3.35</v>
      </c>
      <c r="S18" s="3050">
        <v>4</v>
      </c>
      <c r="T18" s="3050">
        <v>4.75</v>
      </c>
      <c r="U18" s="3051">
        <v>2.35</v>
      </c>
      <c r="V18" s="3051">
        <v>2.5499999999999998</v>
      </c>
      <c r="W18" s="3051">
        <v>2.75</v>
      </c>
      <c r="X18" s="3050"/>
      <c r="Y18" s="3051">
        <v>0.8</v>
      </c>
      <c r="Z18" s="3051">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259" t="s">
        <v>1627</v>
      </c>
      <c r="B1" s="3259"/>
      <c r="C1" s="3259"/>
      <c r="D1" s="3259"/>
    </row>
    <row r="2" spans="1:4" ht="18">
      <c r="A2" s="3260" t="s">
        <v>1611</v>
      </c>
      <c r="B2" s="3260"/>
      <c r="C2" s="3260"/>
      <c r="D2" s="3260"/>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260" t="s">
        <v>1617</v>
      </c>
      <c r="B6" s="3260"/>
      <c r="C6" s="3260"/>
      <c r="D6" s="3260"/>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261" t="s">
        <v>1620</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1621</v>
      </c>
      <c r="B16" s="3265"/>
      <c r="C16" s="3265"/>
      <c r="D16" s="3265"/>
    </row>
    <row r="17" spans="1:4" ht="144" customHeight="1">
      <c r="A17" s="3265" t="s">
        <v>1622</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6"/>
      <c r="C21" s="3266"/>
      <c r="D21" s="3266"/>
    </row>
    <row r="22" spans="1:4" ht="18.75" customHeight="1">
      <c r="A22" s="3267" t="s">
        <v>1623</v>
      </c>
      <c r="B22" s="3267"/>
      <c r="C22" s="3267"/>
      <c r="D22" s="3267"/>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273" t="s">
        <v>1634</v>
      </c>
      <c r="B15" s="3268" t="s">
        <v>136</v>
      </c>
      <c r="C15" s="3269"/>
    </row>
    <row r="16" spans="1:7" ht="13.5">
      <c r="A16" s="3274"/>
      <c r="B16" s="3268" t="s">
        <v>69</v>
      </c>
      <c r="C16" s="3269"/>
    </row>
    <row r="17" spans="1:3" ht="13.5">
      <c r="A17" s="3274"/>
      <c r="B17" s="3271" t="s">
        <v>1635</v>
      </c>
      <c r="C17" s="1715" t="s">
        <v>1634</v>
      </c>
    </row>
    <row r="18" spans="1:3" ht="13.5">
      <c r="A18" s="3274"/>
      <c r="B18" s="3271"/>
      <c r="C18" s="1715" t="s">
        <v>1636</v>
      </c>
    </row>
    <row r="19" spans="1:3" ht="13.5">
      <c r="A19" s="3274"/>
      <c r="B19" s="3271"/>
      <c r="C19" s="1715" t="s">
        <v>1637</v>
      </c>
    </row>
    <row r="20" spans="1:3" ht="13.5">
      <c r="A20" s="3275"/>
      <c r="B20" s="3270" t="s">
        <v>1638</v>
      </c>
      <c r="C20" s="3269"/>
    </row>
    <row r="21" spans="1:3" ht="13.5">
      <c r="A21" s="1716" t="s">
        <v>1639</v>
      </c>
      <c r="B21" s="1717"/>
      <c r="C21" s="1718"/>
    </row>
    <row r="22" spans="1:3" ht="13.5">
      <c r="A22" s="3272" t="s">
        <v>1640</v>
      </c>
      <c r="B22" s="3270" t="s">
        <v>1641</v>
      </c>
      <c r="C22" s="3269"/>
    </row>
    <row r="23" spans="1:3" ht="13.5">
      <c r="A23" s="3272"/>
      <c r="B23" s="3270" t="s">
        <v>1642</v>
      </c>
      <c r="C23" s="3269"/>
    </row>
    <row r="24" spans="1:3" ht="13.5">
      <c r="A24" s="3272"/>
      <c r="B24" s="3270" t="s">
        <v>1643</v>
      </c>
      <c r="C24" s="3269"/>
    </row>
    <row r="25" spans="1:3" ht="13.5">
      <c r="A25" s="3272"/>
      <c r="B25" s="3271" t="s">
        <v>1644</v>
      </c>
      <c r="C25" s="1715" t="s">
        <v>1645</v>
      </c>
    </row>
    <row r="26" spans="1:3" ht="13.5">
      <c r="A26" s="3272"/>
      <c r="B26" s="3271"/>
      <c r="C26" s="1715" t="s">
        <v>1646</v>
      </c>
    </row>
    <row r="27" spans="1:3" ht="13.5">
      <c r="A27" s="3272"/>
      <c r="B27" s="3271"/>
      <c r="C27" s="1715" t="s">
        <v>1647</v>
      </c>
    </row>
    <row r="28" spans="1:3" ht="13.5">
      <c r="A28" s="3272"/>
      <c r="B28" s="3271"/>
      <c r="C28" s="1715" t="s">
        <v>1648</v>
      </c>
    </row>
    <row r="29" spans="1:3" ht="13.5">
      <c r="A29" s="3272"/>
      <c r="B29" s="3271"/>
      <c r="C29" s="1715" t="s">
        <v>1649</v>
      </c>
    </row>
    <row r="30" spans="1:3" ht="13.5">
      <c r="A30" s="3272"/>
      <c r="B30" s="3271"/>
      <c r="C30" s="1715" t="s">
        <v>1650</v>
      </c>
    </row>
    <row r="31" spans="1:3" ht="13.5">
      <c r="A31" s="3272"/>
      <c r="B31" s="3271"/>
      <c r="C31" s="1715" t="s">
        <v>1651</v>
      </c>
    </row>
    <row r="32" spans="1:3" ht="13.5">
      <c r="A32" s="3272"/>
      <c r="B32" s="3271"/>
      <c r="C32" s="1715" t="s">
        <v>1652</v>
      </c>
    </row>
    <row r="33" spans="1:3" ht="13.5">
      <c r="A33" s="3272"/>
      <c r="B33" s="3271"/>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44515</v>
      </c>
      <c r="C2" s="2560" t="s">
        <v>2882</v>
      </c>
      <c r="D2" s="2560"/>
      <c r="E2" s="2560"/>
      <c r="F2" s="2556"/>
      <c r="G2" s="2556"/>
      <c r="H2" s="2556"/>
    </row>
    <row r="3" spans="1:8" ht="24" customHeight="1">
      <c r="A3" s="2561" t="s">
        <v>2883</v>
      </c>
      <c r="B3" s="2562" t="s">
        <v>2884</v>
      </c>
      <c r="C3" s="2562" t="s">
        <v>2885</v>
      </c>
      <c r="D3" s="2563" t="s">
        <v>2886</v>
      </c>
      <c r="E3" s="2564" t="s">
        <v>2887</v>
      </c>
      <c r="F3" s="1470" t="s">
        <v>2888</v>
      </c>
      <c r="G3" s="2562" t="s">
        <v>2885</v>
      </c>
      <c r="H3" s="2563" t="s">
        <v>2889</v>
      </c>
    </row>
    <row r="4" spans="1:8" ht="24" customHeight="1">
      <c r="A4" s="1470" t="s">
        <v>2890</v>
      </c>
      <c r="B4" s="1470">
        <f ca="1">IF(C4&lt;B2,"已过期",1119970066)</f>
        <v>1119970066</v>
      </c>
      <c r="C4" s="2565">
        <v>44876</v>
      </c>
      <c r="D4" s="2566" t="str">
        <f ca="1">A4&amp;"（注册号："&amp;B4&amp;"）"</f>
        <v>梁津（注册号：1119970066）</v>
      </c>
      <c r="E4" s="2567" t="s">
        <v>2890</v>
      </c>
      <c r="F4" s="1470">
        <f ca="1">IF(G4&lt;B2,"已过期",96010014)</f>
        <v>96010014</v>
      </c>
      <c r="G4" s="2568">
        <v>47118</v>
      </c>
      <c r="H4" s="2569" t="str">
        <f ca="1">E4&amp;"（注册号："&amp;F4&amp;"）"</f>
        <v>梁津（注册号：96010014）</v>
      </c>
    </row>
    <row r="5" spans="1:8" ht="24" customHeight="1">
      <c r="A5" s="1470" t="s">
        <v>2891</v>
      </c>
      <c r="B5" s="1470">
        <f ca="1">IF(C5&lt;B2,"已过期",1119970111)</f>
        <v>1119970111</v>
      </c>
      <c r="C5" s="2565">
        <v>44876</v>
      </c>
      <c r="D5" s="2566" t="str">
        <f t="shared" ref="D5:D15" ca="1" si="0">A5&amp;"（注册号："&amp;B5&amp;"）"</f>
        <v>叶凌（注册号：1119970111）</v>
      </c>
      <c r="E5" s="2567" t="s">
        <v>2891</v>
      </c>
      <c r="F5" s="1470">
        <f ca="1">IF(G5&lt;B2,"已过期",94010078)</f>
        <v>94010078</v>
      </c>
      <c r="G5" s="2568">
        <v>46387</v>
      </c>
      <c r="H5" s="2569" t="str">
        <f t="shared" ref="H5:H16" ca="1" si="1">E5&amp;"（注册号："&amp;F5&amp;"）"</f>
        <v>叶凌（注册号：94010078）</v>
      </c>
    </row>
    <row r="6" spans="1:8" ht="24" customHeight="1">
      <c r="A6" s="1470" t="s">
        <v>2892</v>
      </c>
      <c r="B6" s="1470" t="str">
        <f ca="1">IF(C6&lt;B2,"已过期",1120050019)</f>
        <v>已过期</v>
      </c>
      <c r="C6" s="2565">
        <v>44395</v>
      </c>
      <c r="D6" s="2566" t="str">
        <f t="shared" ca="1" si="0"/>
        <v>王鹏（注册号：已过期）</v>
      </c>
      <c r="E6" s="2567" t="s">
        <v>2892</v>
      </c>
      <c r="F6" s="1470">
        <f ca="1">IF(G6&lt;B2,"已过期",2002110030)</f>
        <v>2002110030</v>
      </c>
      <c r="G6" s="2568">
        <v>46387</v>
      </c>
      <c r="H6" s="2569" t="str">
        <f t="shared" ca="1" si="1"/>
        <v>王鹏（注册号：2002110030）</v>
      </c>
    </row>
    <row r="7" spans="1:8" ht="24" customHeight="1">
      <c r="A7" s="1470" t="s">
        <v>2893</v>
      </c>
      <c r="B7" s="1470">
        <f ca="1">IF(C7&lt;B2,"已过期",1120000080)</f>
        <v>1120000080</v>
      </c>
      <c r="C7" s="2565">
        <v>44876</v>
      </c>
      <c r="D7" s="2566" t="str">
        <f t="shared" ca="1" si="0"/>
        <v>欧红伟（注册号：1120000080）</v>
      </c>
      <c r="E7" s="2567" t="s">
        <v>2893</v>
      </c>
      <c r="F7" s="1470">
        <f ca="1">IF(G7&lt;B2,"已过期",2000110082)</f>
        <v>2000110082</v>
      </c>
      <c r="G7" s="2568">
        <v>46387</v>
      </c>
      <c r="H7" s="2569" t="str">
        <f t="shared" ca="1" si="1"/>
        <v>欧红伟（注册号：2000110082）</v>
      </c>
    </row>
    <row r="8" spans="1:8" ht="24" customHeight="1">
      <c r="A8" s="1470" t="s">
        <v>2894</v>
      </c>
      <c r="B8" s="1470">
        <f ca="1">IF(C8&lt;B2,"已过期",1419970001)</f>
        <v>1419970001</v>
      </c>
      <c r="C8" s="2565">
        <v>44899</v>
      </c>
      <c r="D8" s="2566" t="str">
        <f t="shared" ca="1" si="0"/>
        <v>吴薇（注册号：1419970001）</v>
      </c>
      <c r="E8" s="2567" t="s">
        <v>2894</v>
      </c>
      <c r="F8" s="1470">
        <f ca="1">IF(G8&lt;B2,"已过期",2002110125)</f>
        <v>2002110125</v>
      </c>
      <c r="G8" s="2568">
        <v>47118</v>
      </c>
      <c r="H8" s="2569" t="str">
        <f t="shared" ca="1" si="1"/>
        <v>吴薇（注册号：2002110125）</v>
      </c>
    </row>
    <row r="9" spans="1:8" ht="24" customHeight="1">
      <c r="A9" s="1470" t="s">
        <v>2895</v>
      </c>
      <c r="B9" s="1470">
        <f ca="1">IF(C9&lt;B2,"已过期",1120060040)</f>
        <v>1120060040</v>
      </c>
      <c r="C9" s="2570">
        <v>44554</v>
      </c>
      <c r="D9" s="2566" t="str">
        <f t="shared" ca="1" si="0"/>
        <v>陈颖（注册号：1120060040）</v>
      </c>
      <c r="E9" s="2567" t="s">
        <v>2895</v>
      </c>
      <c r="F9" s="1470">
        <f ca="1">IF(G9&lt;B2,"已过期",2004110096)</f>
        <v>2004110096</v>
      </c>
      <c r="G9" s="2568">
        <v>47118</v>
      </c>
      <c r="H9" s="2569" t="str">
        <f t="shared" ca="1" si="1"/>
        <v>陈颖（注册号：2004110096）</v>
      </c>
    </row>
    <row r="10" spans="1:8" ht="24" customHeight="1">
      <c r="A10" s="1470" t="s">
        <v>2896</v>
      </c>
      <c r="B10" s="1470">
        <f ca="1">IF(C10&lt;B2,"已过期",1120100036)</f>
        <v>1120100036</v>
      </c>
      <c r="C10" s="2570">
        <v>44675</v>
      </c>
      <c r="D10" s="2566" t="str">
        <f t="shared" ca="1" si="0"/>
        <v>崔锴（注册号：1120100036）</v>
      </c>
      <c r="E10" s="2567" t="s">
        <v>2896</v>
      </c>
      <c r="F10" s="1470">
        <f ca="1">IF(G10&lt;B2,"已过期",2010110070)</f>
        <v>2010110070</v>
      </c>
      <c r="G10" s="2568">
        <v>47907</v>
      </c>
      <c r="H10" s="2569" t="str">
        <f t="shared" ca="1" si="1"/>
        <v>崔锴（注册号：2010110070）</v>
      </c>
    </row>
    <row r="11" spans="1:8" ht="24" customHeight="1">
      <c r="A11" s="1470" t="s">
        <v>2897</v>
      </c>
      <c r="B11" s="1470">
        <f ca="1">IF(C11&lt;B2,"已过期",1120070131)</f>
        <v>1120070131</v>
      </c>
      <c r="C11" s="2565">
        <v>44849</v>
      </c>
      <c r="D11" s="2566" t="str">
        <f t="shared" ca="1" si="0"/>
        <v>郑燚（注册号：1120070131）</v>
      </c>
      <c r="E11" s="2567" t="s">
        <v>2897</v>
      </c>
      <c r="F11" s="1470">
        <f ca="1">IF(G11&lt;B2,"已过期",2014110011)</f>
        <v>2014110011</v>
      </c>
      <c r="G11" s="2568">
        <v>49302</v>
      </c>
      <c r="H11" s="2569" t="str">
        <f t="shared" ca="1" si="1"/>
        <v>郑燚（注册号：2014110011）</v>
      </c>
    </row>
    <row r="12" spans="1:8" ht="24" customHeight="1">
      <c r="A12" s="1470" t="s">
        <v>2898</v>
      </c>
      <c r="B12" s="1470">
        <f ca="1">IF(C12&lt;B2,"已过期",1120040230)</f>
        <v>1120040230</v>
      </c>
      <c r="C12" s="2570">
        <v>44864</v>
      </c>
      <c r="D12" s="2566" t="str">
        <f t="shared" ca="1" si="0"/>
        <v>苏海（注册号：1120040230）</v>
      </c>
      <c r="E12" s="2567" t="s">
        <v>2898</v>
      </c>
      <c r="F12" s="1470">
        <f ca="1">IF(G12&lt;B2,"已过期",98030020)</f>
        <v>98030020</v>
      </c>
      <c r="G12" s="2568">
        <v>47118</v>
      </c>
      <c r="H12" s="2569" t="str">
        <f t="shared" ca="1" si="1"/>
        <v>苏海（注册号：98030020）</v>
      </c>
    </row>
    <row r="13" spans="1:8" ht="24" customHeight="1">
      <c r="A13" s="1470" t="s">
        <v>2899</v>
      </c>
      <c r="B13" s="1470" t="str">
        <f ca="1">IF(C13&lt;B2,"已过期",1120020033)</f>
        <v>已过期</v>
      </c>
      <c r="C13" s="2565">
        <v>44339</v>
      </c>
      <c r="D13" s="2566" t="str">
        <f t="shared" ca="1" si="0"/>
        <v>刘敬东（注册号：已过期）</v>
      </c>
      <c r="E13" s="2567" t="s">
        <v>2899</v>
      </c>
      <c r="F13" s="1470">
        <f ca="1">IF(G13&lt;B2,"已过期",2000110137)</f>
        <v>2000110137</v>
      </c>
      <c r="G13" s="2568">
        <v>46387</v>
      </c>
      <c r="H13" s="2569" t="str">
        <f t="shared" ca="1" si="1"/>
        <v>刘敬东（注册号：2000110137）</v>
      </c>
    </row>
    <row r="14" spans="1:8" ht="24" customHeight="1">
      <c r="A14" s="1470" t="s">
        <v>2900</v>
      </c>
      <c r="B14" s="1470">
        <f ca="1">IF(C14&lt;B2,"已过期",1119980106)</f>
        <v>1119980106</v>
      </c>
      <c r="C14" s="2570">
        <v>44969</v>
      </c>
      <c r="D14" s="2566" t="str">
        <f t="shared" ca="1" si="0"/>
        <v>刘俊财（注册号：1119980106）</v>
      </c>
      <c r="E14" s="2567" t="s">
        <v>2900</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2901</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276" t="s">
        <v>2902</v>
      </c>
      <c r="B17" s="3276"/>
      <c r="C17" s="3276"/>
      <c r="D17" s="3276"/>
      <c r="E17" s="3276"/>
      <c r="F17" s="3276"/>
      <c r="G17" s="3276"/>
      <c r="H17" s="3276"/>
    </row>
    <row r="18" spans="1:8" ht="24" customHeight="1">
      <c r="A18" s="3277" t="s">
        <v>2903</v>
      </c>
      <c r="B18" s="3277"/>
      <c r="C18" s="3277"/>
      <c r="D18" s="2563"/>
      <c r="E18" s="3278" t="s">
        <v>2904</v>
      </c>
      <c r="F18" s="3277"/>
      <c r="G18" s="3277"/>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规证</vt:lpstr>
      <vt:lpstr>面积清单</vt:lpstr>
      <vt:lpstr>面积清单整理</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土地比较法-住宅、综合</vt:lpstr>
      <vt:lpstr>土地案例</vt:lpstr>
      <vt:lpstr>比较法-住宅</vt:lpstr>
      <vt:lpstr>比较法-住宅 (精装洋房)</vt:lpstr>
      <vt:lpstr>住宅案例</vt:lpstr>
      <vt:lpstr>比较法-商业</vt:lpstr>
      <vt:lpstr>比较法-办公</vt:lpstr>
      <vt:lpstr>比较法-工业</vt:lpstr>
      <vt:lpstr>结果表 (地下仓储)</vt:lpstr>
      <vt:lpstr>成本法 (地下仓储)</vt:lpstr>
      <vt:lpstr>比较法-仓储</vt:lpstr>
      <vt:lpstr>结果表 (车位)</vt:lpstr>
      <vt:lpstr>成本法 (车位)</vt:lpstr>
      <vt:lpstr>比较法-车位</vt:lpstr>
      <vt:lpstr>车库案例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 (精装洋房)'!Print_Area</vt:lpstr>
      <vt:lpstr>成本法!Print_Area</vt:lpstr>
      <vt:lpstr>'成本法 (车位)'!Print_Area</vt:lpstr>
      <vt:lpstr>'成本法 (地下仓储)'!Print_Area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(车位)'!Print_Area</vt:lpstr>
      <vt:lpstr>'结果表 (地下仓储)'!Print_Area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(精装洋房)'!住宅朝向</vt:lpstr>
      <vt:lpstr>住宅朝向</vt:lpstr>
      <vt:lpstr>'比较法-住宅 (精装洋房)'!住宅房型</vt:lpstr>
      <vt:lpstr>住宅房型</vt:lpstr>
      <vt:lpstr>'比较法-住宅 (精装洋房)'!住宅公共部分装修</vt:lpstr>
      <vt:lpstr>住宅公共部分装修</vt:lpstr>
      <vt:lpstr>'比较法-住宅 (精装洋房)'!住宅基础设施水平</vt:lpstr>
      <vt:lpstr>住宅基础设施水平</vt:lpstr>
      <vt:lpstr>'比较法-住宅 (精装洋房)'!住宅建筑结构</vt:lpstr>
      <vt:lpstr>住宅建筑结构</vt:lpstr>
      <vt:lpstr>'比较法-住宅 (精装洋房)'!住宅建筑类型</vt:lpstr>
      <vt:lpstr>住宅建筑类型</vt:lpstr>
      <vt:lpstr>'比较法-住宅 (精装洋房)'!住宅建筑品质</vt:lpstr>
      <vt:lpstr>住宅建筑品质</vt:lpstr>
      <vt:lpstr>'比较法-住宅 (精装洋房)'!住宅交易情况</vt:lpstr>
      <vt:lpstr>住宅交易情况</vt:lpstr>
      <vt:lpstr>'比较法-住宅 (精装洋房)'!住宅楼层</vt:lpstr>
      <vt:lpstr>住宅楼层</vt:lpstr>
      <vt:lpstr>'比较法-住宅 (精装洋房)'!住宅内部装修</vt:lpstr>
      <vt:lpstr>住宅内部装修</vt:lpstr>
      <vt:lpstr>'比较法-住宅 (精装洋房)'!住宅物业管理</vt:lpstr>
      <vt:lpstr>住宅物业管理</vt:lpstr>
      <vt:lpstr>'比较法-住宅 (精装洋房)'!住宅用途</vt:lpstr>
      <vt:lpstr>住宅用途</vt:lpstr>
      <vt:lpstr>'比较法-住宅 (精装洋房)'!住宅主力户型面积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2021-11-15T09:13:57Z</dcterms:modified>
</cp:coreProperties>
</file>