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法院\2022-1-0584 北京市朝阳区驼房营南路2号院18号楼9层1单元901号\"/>
    </mc:Choice>
  </mc:AlternateContent>
  <xr:revisionPtr revIDLastSave="0" documentId="13_ncr:1_{3F7C221E-77A8-40DB-90FF-8EF871577429}" xr6:coauthVersionLast="45" xr6:coauthVersionMax="45" xr10:uidLastSave="{00000000-0000-0000-0000-000000000000}"/>
  <bookViews>
    <workbookView xWindow="-120" yWindow="-120" windowWidth="21840" windowHeight="1314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9" l="1"/>
  <c r="I37" i="21"/>
  <c r="G37" i="21"/>
  <c r="E37" i="21"/>
  <c r="C37" i="21"/>
  <c r="I28" i="21"/>
  <c r="G28" i="21"/>
  <c r="E28" i="21"/>
  <c r="C28" i="21"/>
  <c r="J59" i="21"/>
  <c r="H59" i="21"/>
  <c r="G59" i="21"/>
  <c r="I5" i="21"/>
  <c r="G5" i="21"/>
  <c r="E5" i="21"/>
  <c r="I27" i="21" l="1"/>
  <c r="G27" i="21"/>
  <c r="E27" i="21"/>
  <c r="C27" i="21"/>
  <c r="C6" i="21"/>
  <c r="B3" i="64" l="1"/>
  <c r="B42"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P29" i="59"/>
  <c r="AA27" i="59" s="1"/>
  <c r="P67" i="59"/>
  <c r="U73" i="59"/>
  <c r="E72" i="59"/>
  <c r="E71" i="59"/>
  <c r="Q29" i="59"/>
  <c r="N68" i="59"/>
  <c r="B67" i="59"/>
  <c r="Q68" i="59"/>
  <c r="T69" i="59"/>
  <c r="O69" i="59"/>
  <c r="D69" i="59"/>
  <c r="C68" i="59"/>
  <c r="C67" i="59" s="1"/>
  <c r="T73" i="59"/>
  <c r="D73" i="59"/>
  <c r="C72" i="59"/>
  <c r="Q69" i="59"/>
  <c r="C76" i="59"/>
  <c r="E76" i="59"/>
  <c r="E75" i="59" s="1"/>
  <c r="D77" i="59"/>
  <c r="C80" i="59"/>
  <c r="E80" i="59"/>
  <c r="E79" i="59" s="1"/>
  <c r="D81" i="59"/>
  <c r="C84" i="59"/>
  <c r="C88" i="59"/>
  <c r="D88" i="59" s="1"/>
  <c r="F29" i="59"/>
  <c r="AB26" i="59"/>
  <c r="AB28" i="59"/>
  <c r="E29" i="59"/>
  <c r="E28" i="59" s="1"/>
  <c r="E27" i="59" s="1"/>
  <c r="AA28" i="59"/>
  <c r="AA3" i="59"/>
  <c r="C28" i="59"/>
  <c r="C27" i="59" s="1"/>
  <c r="D27" i="59" s="1"/>
  <c r="D84" i="59"/>
  <c r="C83" i="59"/>
  <c r="D83" i="59"/>
  <c r="D76" i="59"/>
  <c r="C75" i="59"/>
  <c r="D75" i="59" s="1"/>
  <c r="C71" i="59"/>
  <c r="D71" i="59" s="1"/>
  <c r="D72" i="59"/>
  <c r="C87" i="59"/>
  <c r="D87" i="59" s="1"/>
  <c r="D80" i="59"/>
  <c r="C79" i="59"/>
  <c r="D79" i="59"/>
  <c r="O68" i="59"/>
  <c r="N66" i="59"/>
  <c r="N67" i="59"/>
  <c r="D28" i="59"/>
  <c r="F28" i="59"/>
  <c r="F27" i="59" s="1"/>
  <c r="V29"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C29" i="39" s="1"/>
  <c r="AB25" i="40"/>
  <c r="S18" i="36"/>
  <c r="W18" i="35"/>
  <c r="U18" i="35"/>
  <c r="S18" i="35"/>
  <c r="U21" i="37"/>
  <c r="S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B74" i="43"/>
  <c r="C20" i="20"/>
  <c r="B77" i="43" s="1"/>
  <c r="C18" i="20"/>
  <c r="B71" i="43"/>
  <c r="C17" i="20"/>
  <c r="B59" i="43"/>
  <c r="C16" i="20"/>
  <c r="B48" i="43"/>
  <c r="C15" i="20"/>
  <c r="B70"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J45" i="21" s="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AB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c r="F25" i="21"/>
  <c r="S25" i="21"/>
  <c r="J25" i="21"/>
  <c r="AC25" i="21"/>
  <c r="H17" i="37"/>
  <c r="U17" i="37"/>
  <c r="F73" i="37"/>
  <c r="G73" i="37"/>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3" i="57"/>
  <c r="A131" i="9"/>
  <c r="A14" i="52" s="1"/>
  <c r="B61" i="60" s="1"/>
  <c r="A135" i="57"/>
  <c r="B103" i="57"/>
  <c r="B107" i="57" s="1"/>
  <c r="C112" i="57"/>
  <c r="H107" i="57" s="1"/>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AB12" i="37"/>
  <c r="J37" i="37"/>
  <c r="W37" i="37"/>
  <c r="AB40" i="37"/>
  <c r="U40" i="37"/>
  <c r="U15" i="21"/>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s="1"/>
  <c r="F21" i="39"/>
  <c r="AA21" i="39" s="1"/>
  <c r="F37" i="47"/>
  <c r="B35" i="47"/>
  <c r="F31" i="37"/>
  <c r="AA31" i="37" s="1"/>
  <c r="U25" i="36"/>
  <c r="AC36" i="40"/>
  <c r="F17" i="37"/>
  <c r="AA17" i="37"/>
  <c r="AA29" i="33"/>
  <c r="AB28" i="36"/>
  <c r="AB13" i="40"/>
  <c r="U33" i="40"/>
  <c r="AB13" i="37"/>
  <c r="U44" i="33"/>
  <c r="U11" i="36"/>
  <c r="AB11" i="35"/>
  <c r="U32" i="34"/>
  <c r="AB32" i="34"/>
  <c r="AA30" i="34"/>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AA15" i="33"/>
  <c r="S15" i="33"/>
  <c r="AA35" i="33"/>
  <c r="E117" i="33"/>
  <c r="F117" i="33"/>
  <c r="G117" i="33" s="1"/>
  <c r="J39" i="33"/>
  <c r="AC39" i="33" s="1"/>
  <c r="E125" i="33"/>
  <c r="F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c r="I101" i="21" s="1"/>
  <c r="J101" i="21" s="1"/>
  <c r="K101" i="21" s="1"/>
  <c r="L101" i="21" s="1"/>
  <c r="M101" i="21" s="1"/>
  <c r="F32" i="21"/>
  <c r="S32" i="21" s="1"/>
  <c r="J32" i="21"/>
  <c r="W32" i="21" s="1"/>
  <c r="H32" i="21"/>
  <c r="U32" i="21" s="1"/>
  <c r="F40" i="2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G125" i="33"/>
  <c r="J43" i="33"/>
  <c r="AC43" i="33"/>
  <c r="AB31" i="21"/>
  <c r="U31" i="21"/>
  <c r="S29" i="21"/>
  <c r="AC27" i="21"/>
  <c r="S37" i="34"/>
  <c r="H27" i="36"/>
  <c r="F27" i="36"/>
  <c r="J28" i="34"/>
  <c r="W28" i="34" s="1"/>
  <c r="H11" i="34"/>
  <c r="U11" i="34"/>
  <c r="S17" i="37"/>
  <c r="J11" i="37"/>
  <c r="AC11" i="37" s="1"/>
  <c r="AC36" i="34"/>
  <c r="W12" i="39"/>
  <c r="AC12" i="39"/>
  <c r="W9" i="34"/>
  <c r="AC37" i="37"/>
  <c r="U38" i="40"/>
  <c r="F23" i="39"/>
  <c r="F96" i="39"/>
  <c r="G96" i="39" s="1"/>
  <c r="S26" i="37"/>
  <c r="F44" i="34"/>
  <c r="AA44" i="34" s="1"/>
  <c r="F126" i="34"/>
  <c r="G126" i="34"/>
  <c r="J44" i="34"/>
  <c r="AC44" i="34"/>
  <c r="U31" i="37"/>
  <c r="W27" i="37"/>
  <c r="AB27" i="37"/>
  <c r="H10" i="37"/>
  <c r="U10" i="37" s="1"/>
  <c r="S24" i="35"/>
  <c r="AB43" i="33"/>
  <c r="AB29" i="21"/>
  <c r="W27" i="36"/>
  <c r="U9" i="34"/>
  <c r="F101" i="33"/>
  <c r="G101" i="33" s="1"/>
  <c r="H101" i="33" s="1"/>
  <c r="I101" i="33" s="1"/>
  <c r="J101" i="33" s="1"/>
  <c r="K101" i="33" s="1"/>
  <c r="L101" i="33" s="1"/>
  <c r="M101" i="33" s="1"/>
  <c r="J32" i="33"/>
  <c r="W32" i="33" s="1"/>
  <c r="H32" i="33"/>
  <c r="AB32" i="33" s="1"/>
  <c r="W40" i="34"/>
  <c r="U12" i="36"/>
  <c r="AC13" i="21"/>
  <c r="AB25" i="34"/>
  <c r="J10" i="37"/>
  <c r="AC10" i="37" s="1"/>
  <c r="H23" i="39"/>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27" i="21"/>
  <c r="AB23" i="21"/>
  <c r="U19" i="21"/>
  <c r="U26" i="21"/>
  <c r="U30" i="21"/>
  <c r="S17" i="21"/>
  <c r="AA36" i="21"/>
  <c r="AB21" i="21"/>
  <c r="U21" i="21"/>
  <c r="AC19" i="21"/>
  <c r="U17" i="21"/>
  <c r="S13" i="21"/>
  <c r="U12" i="21"/>
  <c r="AB11" i="21"/>
  <c r="AB8"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32" i="21"/>
  <c r="W23" i="21"/>
  <c r="AB25" i="21"/>
  <c r="AA25" i="21"/>
  <c r="S46" i="21"/>
  <c r="AC4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I14" i="62" s="1"/>
  <c r="B8" i="62" s="1"/>
  <c r="D120" i="57"/>
  <c r="I114" i="9"/>
  <c r="D129" i="9" s="1"/>
  <c r="I112" i="9"/>
  <c r="D39" i="50" s="1"/>
  <c r="D40" i="50" s="1"/>
  <c r="D116" i="9"/>
  <c r="D114" i="9"/>
  <c r="D115" i="9"/>
  <c r="I113" i="9" s="1"/>
  <c r="C19" i="57"/>
  <c r="E2" i="34"/>
  <c r="F6" i="61"/>
  <c r="F4" i="61"/>
  <c r="F7" i="61"/>
  <c r="H23" i="31"/>
  <c r="F5" i="61"/>
  <c r="E2" i="21"/>
  <c r="E2" i="36"/>
  <c r="D20" i="57"/>
  <c r="E2" i="11"/>
  <c r="D19" i="57"/>
  <c r="F3" i="61"/>
  <c r="E2" i="33"/>
  <c r="D6" i="61"/>
  <c r="D5" i="61"/>
  <c r="E2" i="37"/>
  <c r="C20" i="57"/>
  <c r="E2" i="35"/>
  <c r="D3" i="61"/>
  <c r="W45" i="21" l="1"/>
  <c r="AC45" i="21"/>
  <c r="S45" i="21"/>
  <c r="H45" i="21"/>
  <c r="AB45" i="21" s="1"/>
  <c r="W43" i="21"/>
  <c r="AA43" i="21"/>
  <c r="U43" i="21"/>
  <c r="S44" i="21"/>
  <c r="W44" i="21"/>
  <c r="W42" i="21"/>
  <c r="S42" i="21"/>
  <c r="U40" i="21"/>
  <c r="W39" i="21"/>
  <c r="AA39" i="21"/>
  <c r="S38" i="21"/>
  <c r="AB37" i="21"/>
  <c r="AB36" i="21"/>
  <c r="AC35" i="21"/>
  <c r="U35" i="21"/>
  <c r="AB34" i="21"/>
  <c r="AA34" i="21"/>
  <c r="AC32" i="21"/>
  <c r="U42" i="21"/>
  <c r="AB32" i="21"/>
  <c r="U28" i="21"/>
  <c r="I89" i="21"/>
  <c r="J89" i="21" s="1"/>
  <c r="K89" i="21" s="1"/>
  <c r="L89" i="21" s="1"/>
  <c r="M89" i="21" s="1"/>
  <c r="F26" i="21"/>
  <c r="S28" i="21"/>
  <c r="AB44" i="21"/>
  <c r="W40" i="21"/>
  <c r="AB39" i="21"/>
  <c r="AB38" i="21"/>
  <c r="AC38" i="21"/>
  <c r="W34" i="21"/>
  <c r="AC26" i="21"/>
  <c r="AC28" i="21"/>
  <c r="S27" i="21"/>
  <c r="U9" i="21"/>
  <c r="AA9" i="21"/>
  <c r="W8" i="21"/>
  <c r="S8" i="21"/>
  <c r="AA11" i="21"/>
  <c r="U10" i="21"/>
  <c r="W10" i="21"/>
  <c r="C19" i="12"/>
  <c r="C13" i="12"/>
  <c r="C120" i="57"/>
  <c r="H116" i="57" s="1"/>
  <c r="D36" i="57"/>
  <c r="P60" i="15"/>
  <c r="D47" i="15"/>
  <c r="C110" i="57"/>
  <c r="H104" i="57" s="1"/>
  <c r="B23" i="60"/>
  <c r="D42" i="50"/>
  <c r="D43" i="50" s="1"/>
  <c r="C20" i="59"/>
  <c r="T21" i="59"/>
  <c r="D21" i="59"/>
  <c r="B20" i="59"/>
  <c r="B19" i="59" s="1"/>
  <c r="B18" i="59" s="1"/>
  <c r="B17" i="59" s="1"/>
  <c r="S21" i="59"/>
  <c r="F20" i="59"/>
  <c r="F19" i="59" s="1"/>
  <c r="F18" i="59" s="1"/>
  <c r="F17" i="59" s="1"/>
  <c r="V21" i="59"/>
  <c r="S44" i="34"/>
  <c r="AA23" i="39"/>
  <c r="S23" i="39"/>
  <c r="AA27" i="36"/>
  <c r="S27" i="36"/>
  <c r="AA40" i="21"/>
  <c r="S40" i="21"/>
  <c r="D22" i="59"/>
  <c r="AB23" i="39"/>
  <c r="U23" i="39"/>
  <c r="AB27" i="36"/>
  <c r="U27" i="36"/>
  <c r="AA24" i="36"/>
  <c r="S24" i="36"/>
  <c r="U45" i="21"/>
  <c r="S31" i="21"/>
  <c r="AA27" i="33"/>
  <c r="AB13" i="21"/>
  <c r="W29" i="21"/>
  <c r="G103" i="43"/>
  <c r="W17" i="21"/>
  <c r="F9" i="35"/>
  <c r="H9" i="35"/>
  <c r="F12" i="35"/>
  <c r="H12" i="35"/>
  <c r="J36" i="35"/>
  <c r="S21" i="21"/>
  <c r="C25" i="40"/>
  <c r="D43" i="59"/>
  <c r="C44" i="59"/>
  <c r="C48" i="59"/>
  <c r="D48" i="59" s="1"/>
  <c r="D47" i="59"/>
  <c r="C52" i="59"/>
  <c r="D51" i="59"/>
  <c r="C56" i="59"/>
  <c r="D55" i="59"/>
  <c r="C60" i="59"/>
  <c r="D59" i="59"/>
  <c r="C64" i="59"/>
  <c r="D63" i="59"/>
  <c r="Q67" i="59"/>
  <c r="Q66" i="59"/>
  <c r="D4" i="47"/>
  <c r="F4" i="47" s="1"/>
  <c r="B2" i="47" s="1"/>
  <c r="B75" i="43"/>
  <c r="B55" i="43"/>
  <c r="B66" i="43"/>
  <c r="D67" i="59"/>
  <c r="O67" i="59"/>
  <c r="O66" i="59"/>
  <c r="M19" i="43"/>
  <c r="U41" i="59"/>
  <c r="U29" i="59"/>
  <c r="D68" i="59"/>
  <c r="D29" i="59"/>
  <c r="AA26" i="59"/>
  <c r="AA29" i="59"/>
  <c r="AB29" i="59"/>
  <c r="AB27" i="59"/>
  <c r="AB3" i="59"/>
  <c r="S29" i="59"/>
  <c r="X26" i="59"/>
  <c r="X29" i="59"/>
  <c r="B31" i="59"/>
  <c r="B32" i="59" s="1"/>
  <c r="B33" i="59" s="1"/>
  <c r="S33" i="59" s="1"/>
  <c r="C31" i="59"/>
  <c r="X31" i="59"/>
  <c r="AA31" i="59"/>
  <c r="X32" i="59"/>
  <c r="AA32" i="59"/>
  <c r="X33" i="59"/>
  <c r="AA33" i="59"/>
  <c r="B35" i="59"/>
  <c r="B36" i="59" s="1"/>
  <c r="B37" i="59" s="1"/>
  <c r="S37" i="59" s="1"/>
  <c r="C35" i="59"/>
  <c r="AA34" i="59"/>
  <c r="X35" i="59"/>
  <c r="AA35" i="59"/>
  <c r="X36" i="59"/>
  <c r="AA36" i="59"/>
  <c r="X37" i="59"/>
  <c r="AA37" i="59"/>
  <c r="B39" i="59"/>
  <c r="B40" i="59" s="1"/>
  <c r="B41" i="59" s="1"/>
  <c r="S41" i="59" s="1"/>
  <c r="C39" i="59"/>
  <c r="AA38" i="59"/>
  <c r="AA39" i="59"/>
  <c r="X5" i="59"/>
  <c r="X9" i="59"/>
  <c r="X7" i="59"/>
  <c r="X6" i="59"/>
  <c r="X8" i="59"/>
  <c r="X11" i="59"/>
  <c r="X12" i="59"/>
  <c r="X10" i="59"/>
  <c r="AB7" i="59"/>
  <c r="AB6" i="59"/>
  <c r="AB5" i="59"/>
  <c r="AB8"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5" i="59"/>
  <c r="Z25" i="59" s="1"/>
  <c r="AB23" i="59"/>
  <c r="AB22" i="59"/>
  <c r="Y22" i="59"/>
  <c r="Z22" i="59" s="1"/>
  <c r="AA18" i="59"/>
  <c r="AA17" i="59"/>
  <c r="F31" i="59"/>
  <c r="F32" i="59" s="1"/>
  <c r="F33" i="59" s="1"/>
  <c r="V33" i="59" s="1"/>
  <c r="F35" i="59"/>
  <c r="F36" i="59" s="1"/>
  <c r="F37" i="59" s="1"/>
  <c r="V37" i="59" s="1"/>
  <c r="F39" i="59"/>
  <c r="F40" i="59" s="1"/>
  <c r="F41" i="59" s="1"/>
  <c r="V41" i="59" s="1"/>
  <c r="Y8" i="59"/>
  <c r="Z8" i="59" s="1"/>
  <c r="Y7" i="59"/>
  <c r="Z7" i="59" s="1"/>
  <c r="Y6" i="59"/>
  <c r="Z6" i="59" s="1"/>
  <c r="Y5" i="59"/>
  <c r="Z5" i="59" s="1"/>
  <c r="Y10" i="59"/>
  <c r="Z10" i="59" s="1"/>
  <c r="Y9" i="59"/>
  <c r="Z9" i="59" s="1"/>
  <c r="AA7" i="59"/>
  <c r="AA5" i="59"/>
  <c r="AA6" i="59"/>
  <c r="AA8" i="59"/>
  <c r="AA9" i="59"/>
  <c r="AA11" i="59"/>
  <c r="AA10" i="59"/>
  <c r="AC12" i="43"/>
  <c r="AC13" i="43" s="1"/>
  <c r="AC10" i="43"/>
  <c r="AG12" i="43"/>
  <c r="AG13" i="43" s="1"/>
  <c r="AG10" i="43"/>
  <c r="X23" i="59"/>
  <c r="AA20" i="59"/>
  <c r="X22" i="59"/>
  <c r="Y20" i="59"/>
  <c r="Z20" i="59" s="1"/>
  <c r="AB18" i="59"/>
  <c r="X18" i="59"/>
  <c r="AB17" i="59"/>
  <c r="Y19" i="59"/>
  <c r="Z19" i="59" s="1"/>
  <c r="Y12" i="59"/>
  <c r="Z12" i="59" s="1"/>
  <c r="AB14" i="59"/>
  <c r="A8" i="52"/>
  <c r="B65" i="60" s="1"/>
  <c r="Y24" i="59"/>
  <c r="Z24" i="59" s="1"/>
  <c r="X16" i="59"/>
  <c r="AA16" i="59"/>
  <c r="AB13" i="59"/>
  <c r="Y13" i="59"/>
  <c r="Z13" i="59" s="1"/>
  <c r="AA14" i="59"/>
  <c r="AA15" i="59"/>
  <c r="X14" i="59"/>
  <c r="V25" i="59"/>
  <c r="X25" i="59"/>
  <c r="Y18" i="59"/>
  <c r="Z18" i="59" s="1"/>
  <c r="Y16" i="59"/>
  <c r="Z16" i="59" s="1"/>
  <c r="AB16" i="59"/>
  <c r="AB12" i="59"/>
  <c r="AB15" i="59"/>
  <c r="Y14" i="59"/>
  <c r="Z14" i="59" s="1"/>
  <c r="Y11" i="59"/>
  <c r="Z11" i="59" s="1"/>
  <c r="Y15" i="59"/>
  <c r="Z15" i="59" s="1"/>
  <c r="AA12" i="59"/>
  <c r="AA13"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G1" i="61"/>
  <c r="D7" i="61"/>
  <c r="S26" i="21" l="1"/>
  <c r="AA26" i="21"/>
  <c r="J7" i="37"/>
  <c r="H67" i="39"/>
  <c r="F7" i="35"/>
  <c r="AA7" i="35" s="1"/>
  <c r="R38" i="35" s="1"/>
  <c r="D69" i="39"/>
  <c r="D35" i="59"/>
  <c r="C36" i="59"/>
  <c r="D31" i="59"/>
  <c r="C32" i="59"/>
  <c r="C45" i="59"/>
  <c r="D44" i="59"/>
  <c r="AC36" i="35"/>
  <c r="W36" i="35"/>
  <c r="S12" i="35"/>
  <c r="AA12" i="35"/>
  <c r="AA9" i="35"/>
  <c r="S9" i="35"/>
  <c r="F16" i="59"/>
  <c r="F15" i="59" s="1"/>
  <c r="F14" i="59" s="1"/>
  <c r="F13" i="59" s="1"/>
  <c r="V17" i="59"/>
  <c r="B16" i="59"/>
  <c r="B15" i="59" s="1"/>
  <c r="B14" i="59" s="1"/>
  <c r="B13" i="59" s="1"/>
  <c r="S17" i="59"/>
  <c r="H7" i="37"/>
  <c r="AB7" i="37" s="1"/>
  <c r="T42" i="37" s="1"/>
  <c r="G42" i="37" s="1"/>
  <c r="G46" i="37" s="1"/>
  <c r="H46" i="37" s="1"/>
  <c r="D39" i="59"/>
  <c r="C40" i="59"/>
  <c r="C65" i="59"/>
  <c r="D64" i="59"/>
  <c r="C61" i="59"/>
  <c r="D60" i="59"/>
  <c r="C57" i="59"/>
  <c r="D56" i="59"/>
  <c r="D52" i="59"/>
  <c r="C53" i="59"/>
  <c r="U12" i="35"/>
  <c r="AB12" i="35"/>
  <c r="AB9" i="35"/>
  <c r="U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E42" i="37"/>
  <c r="U7" i="37"/>
  <c r="J7" i="36"/>
  <c r="W7" i="36" s="1"/>
  <c r="C18" i="59"/>
  <c r="D19" i="59"/>
  <c r="D57" i="59"/>
  <c r="T57" i="59"/>
  <c r="D61" i="59"/>
  <c r="T61" i="59"/>
  <c r="D65" i="59"/>
  <c r="T65" i="59"/>
  <c r="C33" i="59"/>
  <c r="D32" i="59"/>
  <c r="C37" i="59"/>
  <c r="D36" i="59"/>
  <c r="T53" i="59"/>
  <c r="D53" i="59"/>
  <c r="C41" i="59"/>
  <c r="D40" i="59"/>
  <c r="B12" i="59"/>
  <c r="B11" i="59" s="1"/>
  <c r="B10" i="59" s="1"/>
  <c r="B9" i="59" s="1"/>
  <c r="S13" i="59"/>
  <c r="F12" i="59"/>
  <c r="F11" i="59" s="1"/>
  <c r="F10" i="59" s="1"/>
  <c r="F9" i="59" s="1"/>
  <c r="V13" i="59"/>
  <c r="D45" i="59"/>
  <c r="T45"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8" i="59" l="1"/>
  <c r="F7" i="59" s="1"/>
  <c r="V9" i="59"/>
  <c r="B8" i="59"/>
  <c r="B7" i="59" s="1"/>
  <c r="S9" i="59"/>
  <c r="D41" i="59"/>
  <c r="T41" i="59"/>
  <c r="D37" i="59"/>
  <c r="T37" i="59"/>
  <c r="T33" i="59"/>
  <c r="D33" i="59"/>
  <c r="D18" i="59"/>
  <c r="C17"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AB7" i="21" s="1"/>
  <c r="T48" i="21" s="1"/>
  <c r="G48" i="21" s="1"/>
  <c r="J7" i="21"/>
  <c r="W7" i="21" s="1"/>
  <c r="D15" i="59"/>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J59" i="34"/>
  <c r="M69" i="39"/>
  <c r="N67" i="39"/>
  <c r="S7" i="21"/>
  <c r="AA7" i="21"/>
  <c r="R48" i="21" s="1"/>
  <c r="Q46" i="15"/>
  <c r="C60" i="15"/>
  <c r="C57" i="15"/>
  <c r="C66" i="15" s="1"/>
  <c r="C37" i="15"/>
  <c r="C30" i="15" s="1"/>
  <c r="C39" i="15" s="1"/>
  <c r="Q68" i="15"/>
  <c r="J16" i="15"/>
  <c r="J25" i="15" s="1"/>
  <c r="C56" i="11"/>
  <c r="C57" i="11" s="1"/>
  <c r="B2" i="11"/>
  <c r="B3" i="11"/>
  <c r="AC7" i="21" l="1"/>
  <c r="V48" i="21" s="1"/>
  <c r="I48" i="21" s="1"/>
  <c r="I52" i="21" s="1"/>
  <c r="J52" i="21" s="1"/>
  <c r="U7" i="21"/>
  <c r="C13" i="59"/>
  <c r="D14" i="59"/>
  <c r="N71" i="57"/>
  <c r="O71" i="57" s="1"/>
  <c r="O61" i="57"/>
  <c r="O60" i="57"/>
  <c r="Q59" i="57"/>
  <c r="J64" i="40"/>
  <c r="K62" i="40"/>
  <c r="N69" i="39"/>
  <c r="O67" i="39"/>
  <c r="O69" i="39" s="1"/>
  <c r="G52" i="21"/>
  <c r="H52" i="21" s="1"/>
  <c r="K59" i="34"/>
  <c r="E48" i="21"/>
  <c r="C59" i="15"/>
  <c r="C68" i="15" s="1"/>
  <c r="C69" i="15" s="1"/>
  <c r="C72" i="15" s="1"/>
  <c r="C40" i="15"/>
  <c r="L52" i="15" s="1"/>
  <c r="J38" i="15"/>
  <c r="J39" i="15" s="1"/>
  <c r="Q67" i="15"/>
  <c r="Q66" i="15" s="1"/>
  <c r="G53" i="21" l="1"/>
  <c r="H53" i="21" s="1"/>
  <c r="I53" i="21"/>
  <c r="J53" i="21" s="1"/>
  <c r="R49" i="21"/>
  <c r="C49" i="21" s="1"/>
  <c r="B2" i="21" s="1"/>
  <c r="T13" i="59"/>
  <c r="D13" i="59"/>
  <c r="C12" i="59"/>
  <c r="O63" i="57"/>
  <c r="O62" i="57"/>
  <c r="L62" i="40"/>
  <c r="K64" i="40"/>
  <c r="E52" i="21"/>
  <c r="F52" i="21" s="1"/>
  <c r="E53" i="21"/>
  <c r="F53" i="21" s="1"/>
  <c r="J7" i="39"/>
  <c r="H7" i="39"/>
  <c r="F7" i="39"/>
  <c r="L59" i="34"/>
  <c r="C47" i="15"/>
  <c r="J41" i="15"/>
  <c r="J42" i="15" s="1"/>
  <c r="Q54" i="15"/>
  <c r="C43" i="15"/>
  <c r="Q65" i="15"/>
  <c r="Q45" i="15"/>
  <c r="Q51" i="15" s="1"/>
  <c r="Q63" i="15"/>
  <c r="D19" i="9"/>
  <c r="C48" i="21" l="1"/>
  <c r="D101" i="9"/>
  <c r="B3" i="21"/>
  <c r="C11" i="59"/>
  <c r="D12" i="59"/>
  <c r="D35" i="9"/>
  <c r="D34" i="9" s="1"/>
  <c r="L64" i="40"/>
  <c r="M62" i="40"/>
  <c r="AA7" i="39"/>
  <c r="R47" i="39" s="1"/>
  <c r="R48" i="39" s="1"/>
  <c r="S7" i="39"/>
  <c r="M59" i="34"/>
  <c r="N59" i="34" s="1"/>
  <c r="O59" i="34" s="1"/>
  <c r="H7" i="34" s="1"/>
  <c r="AB7" i="39"/>
  <c r="U7" i="39"/>
  <c r="AC7" i="39"/>
  <c r="W7" i="39"/>
  <c r="L58" i="15"/>
  <c r="L61" i="15" s="1"/>
  <c r="D20" i="9"/>
  <c r="D102" i="9" l="1"/>
  <c r="D11" i="59"/>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C20" i="9"/>
  <c r="C19" i="9"/>
  <c r="C101" i="9" l="1"/>
  <c r="D22" i="9"/>
  <c r="G19" i="9"/>
  <c r="C102" i="9"/>
  <c r="G20" i="9"/>
  <c r="C32" i="9" s="1"/>
  <c r="C35" i="9" s="1"/>
  <c r="C34" i="9" s="1"/>
  <c r="C8" i="59"/>
  <c r="T9" i="59"/>
  <c r="D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8" i="59" l="1"/>
  <c r="C7" i="59"/>
  <c r="AC7" i="40"/>
  <c r="V42" i="40" s="1"/>
  <c r="I42" i="40" s="1"/>
  <c r="I46" i="40" s="1"/>
  <c r="J46" i="40" s="1"/>
  <c r="W7" i="40"/>
  <c r="S7" i="40"/>
  <c r="AA7" i="40"/>
  <c r="R42" i="40" s="1"/>
  <c r="R43" i="40" s="1"/>
  <c r="AB7" i="40"/>
  <c r="T42" i="40" s="1"/>
  <c r="G42" i="40" s="1"/>
  <c r="G46" i="40" s="1"/>
  <c r="H46" i="40" s="1"/>
  <c r="U7" i="40"/>
  <c r="D7" i="59" l="1"/>
  <c r="C6" i="59"/>
  <c r="G47" i="40"/>
  <c r="H47" i="40" s="1"/>
  <c r="E42" i="40"/>
  <c r="C5" i="59" l="1"/>
  <c r="D6"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M66" i="9"/>
  <c r="N66" i="9" s="1"/>
  <c r="M64" i="9"/>
  <c r="N64" i="9" s="1"/>
  <c r="N49" i="9"/>
  <c r="M65" i="9" s="1"/>
  <c r="N65" i="9" s="1"/>
  <c r="M63" i="9"/>
  <c r="N63" i="9" s="1"/>
  <c r="N69" i="9" s="1"/>
  <c r="O69" i="9" s="1"/>
  <c r="M68" i="9" l="1"/>
  <c r="N68" i="9" s="1"/>
  <c r="M67" i="9"/>
  <c r="N67" i="9" s="1"/>
  <c r="G121" i="9"/>
  <c r="F121" i="9" s="1"/>
  <c r="I121" i="9"/>
  <c r="I103" i="9" s="1"/>
  <c r="E121" i="9"/>
  <c r="E4" i="52" s="1"/>
  <c r="B38" i="60" s="1"/>
  <c r="D30" i="50" l="1"/>
  <c r="D9" i="50"/>
  <c r="B21" i="60" s="1"/>
  <c r="F122" i="9"/>
  <c r="F5" i="52" s="1"/>
  <c r="B42" i="60" s="1"/>
  <c r="F4" i="52"/>
  <c r="B40" i="60" s="1"/>
  <c r="I4" i="52"/>
  <c r="D107" i="9"/>
  <c r="D121" i="9"/>
  <c r="H121" i="9"/>
  <c r="G4" i="52"/>
  <c r="B41" i="60" s="1"/>
  <c r="C104" i="9"/>
  <c r="D14" i="62" l="1"/>
  <c r="C103" i="9"/>
  <c r="I102" i="9"/>
  <c r="H122" i="9"/>
  <c r="H5" i="52" s="1"/>
  <c r="H4" i="52"/>
  <c r="D106" i="9"/>
  <c r="D112" i="9" s="1"/>
  <c r="D122" i="9"/>
  <c r="D5" i="52" s="1"/>
  <c r="B39" i="60" s="1"/>
  <c r="D4" i="52"/>
  <c r="B37" i="60" s="1"/>
  <c r="D117" i="9" l="1"/>
  <c r="D113" i="9"/>
  <c r="D7" i="50"/>
  <c r="N48" i="9"/>
  <c r="I110" i="9"/>
  <c r="D28" i="50"/>
  <c r="D29" i="50" s="1"/>
  <c r="D45" i="9"/>
  <c r="B5" i="62"/>
  <c r="E14" i="62"/>
  <c r="F14" i="62"/>
  <c r="D5" i="62" l="1"/>
  <c r="C5" i="62"/>
  <c r="D38" i="50"/>
  <c r="B62" i="60" s="1"/>
  <c r="I111" i="9"/>
  <c r="C64" i="9"/>
  <c r="C63" i="9" s="1"/>
  <c r="C67" i="9" s="1"/>
  <c r="C68" i="9" s="1"/>
  <c r="D54" i="9" s="1"/>
  <c r="C93" i="9"/>
  <c r="C86" i="9" s="1"/>
  <c r="D53" i="9"/>
  <c r="D48" i="9" s="1"/>
  <c r="N52" i="9" s="1"/>
  <c r="O57" i="9" s="1"/>
  <c r="D52" i="9"/>
  <c r="C85" i="9"/>
  <c r="C72" i="9"/>
  <c r="C78" i="9"/>
  <c r="C73" i="9" s="1"/>
  <c r="D15" i="50"/>
  <c r="D36" i="50"/>
  <c r="D37" i="50" s="1"/>
  <c r="D125" i="9"/>
  <c r="D8" i="50"/>
  <c r="B22" i="60" s="1"/>
  <c r="B19" i="60"/>
  <c r="I115" i="9"/>
  <c r="D23" i="50" s="1"/>
  <c r="B34" i="60" s="1"/>
  <c r="D44" i="50"/>
  <c r="C95" i="9" l="1"/>
  <c r="G14" i="62"/>
  <c r="B6" i="62" s="1"/>
  <c r="D8" i="52"/>
  <c r="D16" i="50"/>
  <c r="B30" i="60" s="1"/>
  <c r="B29" i="60"/>
  <c r="C79" i="9"/>
  <c r="D126" i="9"/>
  <c r="D9" i="52" s="1"/>
  <c r="D17" i="50"/>
  <c r="O59" i="9"/>
  <c r="Q57" i="9"/>
  <c r="O58" i="9"/>
  <c r="C96" i="9" l="1"/>
  <c r="E96" i="9" s="1"/>
  <c r="E97" i="9" s="1"/>
  <c r="O61" i="9"/>
  <c r="O60" i="9"/>
  <c r="C80" i="9"/>
  <c r="E80" i="9" s="1"/>
  <c r="E81" i="9" s="1"/>
  <c r="C81" i="9"/>
  <c r="C6" i="62"/>
  <c r="D6" i="62"/>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<sst xmlns="http://schemas.openxmlformats.org/spreadsheetml/2006/main" count="6992" uniqueCount="3085">
  <si>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</si>
  <si>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</si>
  <si>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</si>
  <si>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</si>
  <si>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</si>
  <si>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</si>
  <si>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</si>
  <si>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</si>
  <si>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</si>
  <si>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</si>
  <si>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</si>
  <si>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</si>
  <si>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</si>
  <si>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</si>
  <si>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</si>
  <si>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</si>
  <si>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</si>
  <si>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</si>
  <si>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</si>
  <si>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</si>
  <si>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</si>
  <si>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</si>
  <si>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</si>
  <si>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</si>
  <si>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</si>
  <si>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</si>
  <si>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</si>
  <si>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</si>
  <si>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</si>
  <si>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</si>
  <si>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</si>
  <si>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</si>
  <si>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</si>
  <si>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</si>
  <si>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</si>
  <si>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</si>
  <si>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</si>
  <si>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</si>
  <si>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</si>
  <si>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</si>
  <si>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</si>
  <si>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</si>
  <si>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</si>
  <si>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</si>
  <si>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</si>
  <si>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</si>
  <si>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</si>
  <si>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</si>
  <si>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</si>
  <si>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</si>
  <si>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</si>
  <si>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</si>
  <si>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</si>
  <si>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</si>
  <si>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</si>
  <si>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</si>
  <si>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</si>
  <si>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</si>
  <si>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</si>
  <si>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</si>
  <si>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</si>
  <si>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</si>
  <si>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</si>
  <si>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</si>
  <si>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</si>
  <si>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</si>
  <si>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</si>
  <si>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</si>
  <si>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</si>
  <si>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</si>
  <si>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</si>
  <si>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</si>
  <si>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</si>
  <si>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</si>
  <si>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</si>
  <si>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</si>
  <si>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</si>
  <si>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</si>
  <si>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</si>
  <si>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</si>
  <si>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</si>
  <si>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</si>
  <si>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</si>
  <si>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</si>
  <si>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</si>
  <si>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</si>
  <si>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</si>
  <si>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</si>
  <si>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</si>
  <si>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</si>
  <si>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</si>
  <si>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</si>
  <si>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</si>
  <si>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</si>
  <si>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</si>
  <si>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</si>
  <si>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</si>
  <si>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</si>
  <si>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</si>
  <si>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</si>
  <si>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</si>
  <si>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</si>
  <si>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</si>
  <si>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</si>
  <si>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</si>
  <si>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</si>
  <si>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</si>
  <si>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</si>
  <si>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</si>
  <si>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</si>
  <si>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</si>
  <si>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</si>
  <si>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</si>
  <si>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</si>
  <si>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</si>
  <si>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</si>
  <si>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</si>
  <si>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</si>
  <si>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</si>
  <si>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</si>
  <si>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</si>
  <si>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</si>
  <si>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</si>
  <si>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</si>
  <si>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</si>
  <si>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</si>
  <si>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</si>
  <si>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</si>
  <si>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</si>
  <si>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</si>
  <si>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</si>
  <si>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</si>
  <si>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</si>
  <si>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</si>
  <si>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</si>
  <si>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</si>
  <si>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</si>
  <si>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</si>
  <si>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</si>
  <si>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</si>
  <si>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</si>
  <si>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</si>
  <si>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</si>
  <si>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</si>
  <si>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</si>
  <si>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</si>
  <si>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</si>
  <si>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</si>
  <si>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</si>
  <si>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</si>
  <si>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</si>
  <si>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</si>
  <si>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</si>
  <si>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</si>
  <si>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</si>
  <si>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</si>
  <si>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</si>
  <si>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</si>
  <si>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</si>
  <si>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</si>
  <si>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</si>
  <si>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</si>
  <si>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</si>
  <si>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</si>
  <si>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</si>
  <si>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</si>
  <si>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</si>
  <si>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</si>
  <si>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</si>
  <si>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</si>
  <si>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</si>
  <si>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</si>
  <si>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</si>
  <si>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</si>
  <si>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</si>
  <si>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</si>
  <si>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</si>
  <si>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</si>
  <si>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</si>
  <si>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</si>
  <si>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</si>
  <si>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</si>
  <si>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</si>
  <si>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</si>
  <si>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</si>
  <si>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</si>
  <si>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</si>
  <si>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</si>
  <si>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</si>
  <si>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</si>
  <si>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</si>
  <si>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</si>
  <si>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</si>
  <si>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</si>
  <si>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</si>
  <si>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</si>
  <si>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</si>
  <si>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</si>
  <si>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</si>
  <si>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</si>
  <si>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</si>
  <si>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</si>
  <si>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</si>
  <si>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</si>
  <si>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</si>
  <si>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</si>
  <si>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</si>
  <si>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</si>
  <si>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</si>
  <si>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</si>
  <si>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</si>
  <si>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</si>
  <si>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</si>
  <si>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</si>
  <si>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</si>
  <si>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</si>
  <si>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</si>
  <si>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</si>
  <si>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</si>
  <si>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</si>
  <si>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</si>
  <si>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</si>
  <si>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</si>
  <si>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</si>
  <si>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</si>
  <si>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</si>
  <si>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</si>
  <si>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</si>
  <si>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</si>
  <si>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</si>
  <si>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</si>
  <si>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</si>
  <si>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</si>
  <si>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</si>
  <si>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</si>
  <si>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</si>
  <si>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</si>
  <si>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</si>
  <si>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</si>
  <si>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</si>
  <si>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</si>
  <si>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</si>
  <si>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</si>
  <si>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</si>
  <si>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</si>
  <si>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</si>
  <si>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</si>
  <si>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</si>
  <si>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</si>
  <si>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</si>
  <si>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</si>
  <si>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</si>
  <si>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</si>
  <si>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</si>
  <si>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</si>
  <si>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</si>
  <si>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</si>
  <si>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</si>
  <si>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</si>
  <si>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</si>
  <si>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</si>
  <si>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</si>
  <si>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</si>
  <si>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</si>
  <si>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</si>
  <si>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</si>
  <si>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</si>
  <si>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</si>
  <si>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</si>
  <si>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</si>
  <si>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</si>
  <si>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</si>
  <si>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</si>
  <si>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</si>
  <si>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</si>
  <si>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</si>
  <si>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</si>
  <si>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</si>
  <si>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</si>
  <si>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</si>
  <si>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</si>
  <si>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</si>
  <si>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</si>
  <si>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</si>
  <si>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</si>
  <si>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</si>
  <si>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</si>
  <si>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</si>
  <si>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</si>
  <si>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</si>
  <si>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</si>
  <si>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</si>
  <si>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</si>
  <si>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</si>
  <si>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</si>
  <si>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</si>
  <si>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</si>
  <si>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</si>
  <si>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</si>
  <si>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</si>
  <si>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</si>
  <si>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</si>
  <si>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</si>
  <si>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</si>
  <si>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</si>
  <si>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</si>
  <si>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</si>
  <si>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</si>
  <si>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</si>
  <si>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</si>
  <si>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</si>
  <si>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</si>
  <si>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</si>
  <si>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</si>
  <si>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</si>
  <si>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</si>
  <si>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</si>
  <si>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</si>
  <si>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</si>
  <si>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</si>
  <si>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</si>
  <si>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</si>
  <si>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</si>
  <si>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</si>
  <si>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</si>
  <si>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</si>
  <si>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</si>
  <si>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</si>
  <si>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</si>
  <si>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</si>
  <si>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</si>
  <si>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</si>
  <si>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</si>
  <si>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</si>
  <si>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</si>
  <si>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</si>
  <si>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</si>
  <si>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</si>
  <si>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</si>
  <si>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</si>
  <si>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</si>
  <si>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</si>
  <si>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</si>
  <si>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</si>
  <si>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</si>
  <si>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</si>
  <si>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</si>
  <si>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</si>
  <si>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</si>
  <si>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</si>
  <si>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</si>
  <si>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</si>
  <si>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</si>
  <si>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</si>
  <si>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</si>
  <si>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</si>
  <si>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</si>
  <si>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</si>
  <si>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</si>
  <si>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</si>
  <si>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</si>
  <si>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</si>
  <si>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</si>
  <si>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</si>
  <si>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</si>
  <si>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</si>
  <si>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</si>
  <si>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</si>
  <si>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</si>
  <si>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</si>
  <si>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</si>
  <si>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</si>
  <si>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</si>
  <si>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</si>
  <si>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</si>
  <si>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</si>
  <si>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</si>
  <si>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</si>
  <si>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</si>
  <si>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</si>
  <si>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</si>
  <si>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</si>
  <si>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</si>
  <si>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</si>
  <si>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</si>
  <si>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</si>
  <si>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</si>
  <si>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</si>
  <si>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</si>
  <si>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</si>
  <si>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</si>
  <si>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</si>
  <si>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</si>
  <si>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</si>
  <si>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</si>
  <si>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</si>
  <si>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</si>
  <si>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</si>
  <si>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</si>
  <si>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</si>
  <si>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</si>
  <si>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</si>
  <si>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</si>
  <si>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</si>
  <si>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</si>
  <si>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</si>
  <si>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</si>
  <si>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</si>
  <si>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</si>
  <si>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</si>
  <si>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</si>
  <si>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</si>
  <si>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</si>
  <si>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</si>
  <si>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</si>
  <si>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</si>
  <si>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</si>
  <si>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</si>
  <si>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</si>
  <si>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</si>
  <si>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</si>
  <si>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</si>
  <si>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</si>
  <si>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</si>
  <si>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</si>
  <si>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</si>
  <si>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</si>
  <si>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</si>
  <si>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</si>
  <si>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</si>
  <si>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</si>
  <si>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</si>
  <si>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</si>
  <si>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</si>
  <si>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</si>
  <si>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</si>
  <si>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</si>
  <si>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</si>
  <si>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</si>
  <si>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</si>
  <si>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</si>
  <si>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</si>
  <si>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</si>
  <si>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</si>
  <si>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</si>
  <si>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</si>
  <si>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</si>
  <si>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</si>
  <si>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</si>
  <si>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</si>
  <si>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</si>
  <si>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</si>
  <si>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</si>
  <si>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</si>
  <si>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</si>
  <si>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</si>
  <si>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</si>
  <si>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</si>
  <si>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</si>
  <si>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</si>
  <si>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</si>
  <si>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</si>
  <si>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</si>
  <si>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</si>
  <si>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</si>
  <si>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</si>
  <si>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</si>
  <si>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</si>
  <si>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</si>
  <si>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</si>
  <si>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</si>
  <si>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</si>
  <si>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</si>
  <si>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</si>
  <si>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</si>
  <si>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</si>
  <si>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</si>
  <si>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</si>
  <si>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</si>
  <si>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</si>
  <si>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</si>
  <si>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</si>
  <si>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</si>
  <si>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</si>
  <si>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</si>
  <si>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</si>
  <si>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</si>
  <si>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</si>
  <si>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</si>
  <si>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</si>
  <si>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</si>
  <si>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</si>
  <si>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</si>
  <si>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</si>
  <si>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</si>
  <si>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</si>
  <si>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</si>
  <si>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</si>
  <si>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</si>
  <si>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</si>
  <si>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</si>
  <si>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</si>
  <si>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</si>
  <si>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</si>
  <si>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</si>
  <si>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</si>
  <si>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</si>
  <si>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</si>
  <si>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</si>
  <si>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</si>
  <si>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</si>
  <si>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</si>
  <si>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</si>
  <si>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</si>
  <si>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</si>
  <si>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</si>
  <si>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</si>
  <si>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</si>
  <si>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</si>
  <si>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</si>
  <si>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</si>
  <si>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</si>
  <si>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</si>
  <si>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</si>
  <si>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</si>
  <si>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</si>
  <si>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</si>
  <si>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</si>
  <si>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</si>
  <si>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</si>
  <si>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</si>
  <si>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</si>
  <si>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</si>
  <si>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</si>
  <si>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</si>
  <si>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</si>
  <si>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</si>
  <si>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</si>
  <si>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</si>
  <si>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</si>
  <si>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</si>
  <si>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</si>
  <si>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</si>
  <si>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</si>
  <si>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</si>
  <si>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</si>
  <si>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</si>
  <si>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</si>
  <si>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</si>
  <si>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</si>
  <si>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</si>
  <si>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</si>
  <si>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</si>
  <si>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</si>
  <si>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</si>
  <si>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</si>
  <si>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</si>
  <si>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</si>
  <si>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</si>
  <si>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</si>
  <si>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</si>
  <si>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</si>
  <si>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</si>
  <si>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</si>
  <si>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</si>
  <si>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</si>
  <si>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</si>
  <si>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</si>
  <si>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</si>
  <si>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</si>
  <si>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</si>
  <si>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</si>
  <si>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</si>
  <si>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</si>
  <si>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</si>
  <si>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</si>
  <si>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</si>
  <si>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</si>
  <si>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</si>
  <si>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</si>
  <si>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</si>
  <si>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</si>
  <si>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</si>
  <si>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</si>
  <si>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</si>
  <si>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</si>
  <si>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</si>
  <si>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</si>
  <si>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</si>
  <si>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</si>
  <si>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</si>
  <si>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</si>
  <si>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</si>
  <si>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</si>
  <si>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</si>
  <si>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</si>
  <si>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</si>
  <si>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</si>
  <si>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</si>
  <si>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</si>
  <si>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</si>
  <si>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</si>
  <si>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</si>
  <si>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</si>
  <si>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</si>
  <si>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</si>
  <si>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</si>
  <si>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</si>
  <si>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</si>
  <si>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</si>
  <si>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</si>
  <si>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</si>
  <si>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</si>
  <si>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</si>
  <si>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</si>
  <si>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</si>
  <si>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</si>
  <si>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</si>
  <si>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</si>
  <si>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</si>
  <si>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</si>
  <si>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</si>
  <si>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</si>
  <si>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</si>
  <si>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</si>
  <si>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</si>
  <si>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</si>
  <si>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</si>
  <si>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</si>
  <si>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</si>
  <si>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</si>
  <si>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</si>
  <si>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</si>
  <si>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</si>
  <si>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</si>
  <si>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</si>
  <si>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</si>
  <si>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</si>
  <si>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</si>
  <si>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</si>
  <si>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</si>
  <si>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</si>
  <si>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</si>
  <si>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</si>
  <si>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</si>
  <si>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</si>
  <si>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</si>
  <si>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</si>
  <si>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</si>
  <si>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</si>
  <si>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</si>
  <si>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</si>
  <si>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</si>
  <si>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</si>
  <si>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</si>
  <si>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</si>
  <si>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</si>
  <si>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</si>
  <si>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</si>
  <si>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</si>
  <si>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</si>
  <si>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</si>
  <si>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</si>
  <si>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</si>
  <si>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</si>
  <si>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</si>
  <si>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</si>
  <si>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</si>
  <si>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</si>
  <si>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</si>
  <si>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</si>
  <si>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</si>
  <si>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</si>
  <si>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</si>
  <si>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</si>
  <si>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</si>
  <si>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</si>
  <si>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</si>
  <si>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</si>
  <si>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</si>
  <si>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</si>
  <si>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</si>
  <si>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</si>
  <si>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</si>
  <si>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</si>
  <si>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</si>
  <si>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</si>
  <si>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</si>
  <si>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</si>
  <si>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</si>
  <si>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</si>
  <si>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</si>
  <si>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</si>
  <si>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</si>
  <si>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</si>
  <si>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</si>
  <si>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</si>
  <si>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</si>
  <si>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</si>
  <si>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</si>
  <si>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</si>
  <si>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</si>
  <si>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</si>
  <si>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</si>
  <si>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</si>
  <si>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</si>
  <si>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</si>
  <si>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</si>
  <si>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</si>
  <si>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</si>
  <si>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</si>
  <si>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</si>
  <si>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</si>
  <si>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</si>
  <si>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</si>
  <si>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</si>
  <si>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</si>
  <si>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</si>
  <si>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</si>
  <si>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</si>
  <si>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</si>
  <si>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</si>
  <si>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</si>
  <si>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</si>
  <si>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</si>
  <si>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</si>
  <si>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</si>
  <si>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</si>
  <si>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</si>
  <si>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</si>
  <si>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</si>
  <si>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</si>
  <si>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</si>
  <si>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</si>
  <si>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</si>
  <si>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</si>
  <si>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</si>
  <si>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</si>
  <si>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</si>
  <si>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</si>
  <si>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</si>
  <si>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</si>
  <si>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</si>
  <si>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</si>
  <si>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</si>
  <si>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</si>
  <si>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</si>
  <si>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</si>
  <si>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</si>
  <si>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</si>
  <si>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</si>
  <si>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</si>
  <si>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</si>
  <si>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</si>
  <si>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</si>
  <si>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</si>
  <si>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</si>
  <si>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</si>
  <si>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</si>
  <si>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</si>
  <si>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</si>
  <si>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</si>
  <si>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</si>
  <si>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</si>
  <si>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</si>
  <si>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</si>
  <si>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</si>
  <si>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</si>
  <si>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</si>
  <si>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</si>
  <si>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</si>
  <si>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</si>
  <si>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</si>
  <si>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</si>
  <si>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</si>
  <si>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</si>
  <si>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</si>
  <si>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</si>
  <si>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</si>
  <si>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</si>
  <si>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</si>
  <si>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</si>
  <si>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</si>
  <si>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</si>
  <si>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</si>
  <si>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</si>
  <si>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</si>
  <si>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</si>
  <si>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</si>
  <si>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</si>
  <si>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</si>
  <si>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</si>
  <si>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</si>
  <si>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</si>
  <si>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</si>
  <si>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</si>
  <si>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</si>
  <si>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</si>
  <si>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</si>
  <si>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</si>
  <si>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</si>
  <si>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</si>
  <si>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</si>
  <si>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</si>
  <si>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</si>
  <si>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</si>
  <si>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</si>
  <si>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</si>
  <si>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</si>
  <si>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</si>
  <si>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</si>
  <si>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</si>
  <si>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</si>
  <si>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</si>
  <si>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</si>
  <si>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</si>
  <si>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</si>
  <si>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</si>
  <si>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</si>
  <si>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</si>
  <si>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</si>
  <si>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</si>
  <si>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</si>
  <si>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</si>
  <si>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</si>
  <si>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</si>
  <si>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</si>
  <si>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</si>
  <si>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</si>
  <si>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</si>
  <si>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</si>
  <si>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</si>
  <si>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</si>
  <si>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</si>
  <si>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</si>
  <si>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</si>
  <si>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</si>
  <si>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</si>
  <si>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</si>
  <si>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</si>
  <si>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</si>
  <si>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</si>
  <si>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</si>
  <si>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</si>
  <si>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</si>
  <si>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</si>
  <si>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</si>
  <si>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</si>
  <si>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</si>
  <si>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</si>
  <si>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</si>
  <si>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</si>
  <si>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</si>
  <si>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</si>
  <si>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</si>
  <si>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</si>
  <si>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</si>
  <si>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</si>
  <si>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</si>
  <si>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</si>
  <si>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</si>
  <si>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</si>
  <si>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</si>
  <si>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</si>
  <si>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</si>
  <si>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</si>
  <si>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</si>
  <si>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</si>
  <si>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</si>
  <si>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</si>
  <si>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</si>
  <si>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</si>
  <si>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</si>
  <si>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</si>
  <si>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</si>
  <si>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</si>
  <si>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</si>
  <si>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</si>
  <si>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</si>
  <si>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</si>
  <si>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</si>
  <si>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</si>
  <si>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</si>
  <si>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</si>
  <si>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</si>
  <si>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</si>
  <si>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</si>
  <si>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</si>
  <si>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</si>
  <si>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</si>
  <si>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</si>
  <si>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</si>
  <si>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</si>
  <si>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</si>
  <si>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</si>
  <si>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</si>
  <si>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</si>
  <si>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</si>
  <si>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</si>
  <si>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</si>
  <si>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</si>
  <si>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</si>
  <si>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</si>
  <si>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</si>
  <si>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</si>
  <si>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</si>
  <si>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</si>
  <si>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</si>
  <si>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</si>
  <si>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</si>
  <si>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</si>
  <si>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</si>
  <si>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</si>
  <si>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</si>
  <si>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</si>
  <si>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</si>
  <si>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</si>
  <si>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</si>
  <si>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</si>
  <si>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</si>
  <si>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</si>
  <si>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</si>
  <si>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</si>
  <si>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</si>
  <si>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</si>
  <si>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</si>
  <si>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</si>
  <si>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</si>
  <si>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</si>
  <si>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</si>
  <si>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</si>
  <si>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</si>
  <si>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</si>
  <si>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</si>
  <si>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</si>
  <si>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</si>
  <si>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</si>
  <si>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</si>
  <si>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</si>
  <si>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</si>
  <si>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</si>
  <si>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</si>
  <si>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</si>
  <si>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</si>
  <si>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</si>
  <si>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</si>
  <si>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</si>
  <si>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</si>
  <si>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</si>
  <si>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</si>
  <si>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</si>
  <si>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</si>
  <si>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</si>
  <si>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</si>
  <si>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</si>
  <si>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</si>
  <si>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</si>
  <si>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</si>
  <si>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</si>
  <si>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</si>
  <si>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</si>
  <si>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</si>
  <si>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</si>
  <si>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</si>
  <si>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</si>
  <si>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</si>
  <si>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</si>
  <si>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</si>
  <si>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</si>
  <si>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</si>
  <si>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</si>
  <si>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</si>
  <si>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</si>
  <si>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</si>
  <si>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</si>
  <si>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</si>
  <si>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</si>
  <si>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</si>
  <si>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</si>
  <si>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</si>
  <si>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</si>
  <si>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</si>
  <si>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</si>
  <si>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</si>
  <si>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</si>
  <si>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</si>
  <si>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</si>
  <si>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</si>
  <si>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</si>
  <si>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</si>
  <si>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</si>
  <si>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</si>
  <si>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</si>
  <si>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</si>
  <si>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</si>
  <si>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</si>
  <si>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</si>
  <si>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</si>
  <si>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</si>
  <si>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</si>
  <si>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</si>
  <si>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</si>
  <si>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</si>
  <si>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</si>
  <si>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</si>
  <si>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</si>
  <si>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</si>
  <si>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</si>
  <si>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</si>
  <si>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</si>
  <si>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</si>
  <si>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</si>
  <si>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</si>
  <si>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</si>
  <si>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</si>
  <si>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</si>
  <si>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</si>
  <si>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</si>
  <si>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</si>
  <si>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</si>
  <si>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</si>
  <si>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</si>
  <si>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</si>
  <si>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</si>
  <si>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</si>
  <si>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</si>
  <si>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</si>
  <si>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</si>
  <si>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</si>
  <si>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</si>
  <si>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</si>
  <si>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</si>
  <si>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</si>
  <si>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</si>
  <si>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</si>
  <si>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</si>
  <si>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</si>
  <si>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</si>
  <si>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</si>
  <si>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</si>
  <si>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</si>
  <si>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</si>
  <si>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</si>
  <si>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</si>
  <si>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</si>
  <si>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</si>
  <si>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</si>
  <si>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</si>
  <si>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</si>
  <si>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</si>
  <si>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</si>
  <si>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</si>
  <si>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</si>
  <si>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</si>
  <si>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</si>
  <si>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</si>
  <si>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</si>
  <si>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</si>
  <si>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</si>
  <si>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</si>
  <si>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</si>
  <si>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</si>
  <si>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</si>
  <si>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</si>
  <si>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</si>
  <si>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</si>
  <si>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</si>
  <si>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</si>
  <si>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</si>
  <si>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</si>
  <si>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</si>
  <si>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</si>
  <si>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</si>
  <si>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</si>
  <si>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</si>
  <si>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</si>
  <si>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</si>
  <si>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</si>
  <si>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</si>
  <si>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</si>
  <si>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</si>
  <si>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</si>
  <si>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</si>
  <si>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</si>
  <si>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</si>
  <si>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</si>
  <si>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</si>
  <si>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</si>
  <si>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</si>
  <si>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</si>
  <si>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</si>
  <si>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</si>
  <si>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</si>
  <si>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</si>
  <si>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</si>
  <si>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</si>
  <si>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</si>
  <si>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</si>
  <si>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</si>
  <si>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</si>
  <si>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</si>
  <si>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</si>
  <si>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</si>
  <si>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</si>
  <si>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</si>
  <si>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</si>
  <si>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</si>
  <si>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</si>
  <si>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</si>
  <si>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</si>
  <si>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</si>
  <si>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</si>
  <si>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</si>
  <si>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</si>
  <si>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</si>
  <si>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</si>
  <si>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</si>
  <si>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</si>
  <si>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</si>
  <si>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</si>
  <si>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</si>
  <si>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</si>
  <si>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</si>
  <si>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</si>
  <si>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</si>
  <si>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</si>
  <si>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</si>
  <si>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</si>
  <si>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</si>
  <si>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</si>
  <si>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</si>
  <si>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</si>
  <si>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</si>
  <si>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</si>
  <si>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</si>
  <si>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</si>
  <si>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</si>
  <si>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</si>
  <si>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</si>
  <si>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</si>
  <si>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</si>
  <si>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</si>
  <si>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</si>
  <si>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</si>
  <si>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</si>
  <si>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</si>
  <si>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</si>
  <si>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</si>
  <si>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</si>
  <si>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</si>
  <si>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</si>
  <si>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</si>
  <si>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</si>
  <si>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</si>
  <si>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</si>
  <si>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</si>
  <si>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</si>
  <si>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</si>
  <si>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</si>
  <si>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</si>
  <si>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</si>
  <si>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</si>
  <si>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</si>
  <si>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</si>
  <si>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</si>
  <si>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</si>
  <si>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</si>
  <si>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</si>
  <si>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</si>
  <si>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</si>
  <si>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</si>
  <si>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</si>
  <si>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</si>
  <si>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</si>
  <si>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</si>
  <si>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</si>
  <si>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</si>
  <si>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</si>
  <si>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</si>
  <si>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</si>
  <si>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</si>
  <si>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</si>
  <si>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</si>
  <si>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</si>
  <si>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</si>
  <si>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</si>
  <si>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</si>
  <si>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</si>
  <si>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</si>
  <si>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</si>
  <si>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</si>
  <si>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</si>
  <si>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</si>
  <si>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</si>
  <si>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</si>
  <si>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</si>
  <si>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</si>
  <si>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</si>
  <si>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</si>
  <si>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</si>
  <si>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</si>
  <si>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</si>
  <si>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</si>
  <si>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</si>
  <si>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</si>
  <si>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</si>
  <si>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</si>
  <si>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</si>
  <si>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</si>
  <si>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</si>
  <si>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</si>
  <si>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</si>
  <si>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</si>
  <si>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</si>
  <si>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</si>
  <si>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</si>
  <si>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</si>
  <si>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</si>
  <si>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</si>
  <si>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</si>
  <si>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</si>
  <si>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</si>
  <si>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</si>
  <si>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</si>
  <si>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</si>
  <si>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</si>
  <si>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</si>
  <si>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</si>
  <si>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</si>
  <si>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</si>
  <si>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</si>
  <si>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</si>
  <si>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</si>
  <si>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</si>
  <si>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</si>
  <si>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</si>
  <si>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</si>
  <si>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</si>
  <si>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</si>
  <si>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</si>
  <si>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</si>
  <si>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</si>
  <si>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</si>
  <si>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</si>
  <si>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</si>
  <si>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</si>
  <si>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</si>
  <si>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</si>
  <si>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</si>
  <si>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</si>
  <si>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</si>
  <si>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</si>
  <si>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</si>
  <si>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</si>
  <si>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</si>
  <si>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</si>
  <si>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</si>
  <si>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</si>
  <si>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</si>
  <si>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</si>
  <si>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</si>
  <si>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</si>
  <si>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</si>
  <si>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</si>
  <si>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</si>
  <si>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</si>
  <si>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</si>
  <si>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</si>
  <si>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</si>
  <si>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</si>
  <si>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</si>
  <si>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</si>
  <si>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</si>
  <si>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</si>
  <si>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</si>
  <si>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</si>
  <si>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</si>
  <si>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</si>
  <si>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</si>
  <si>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</si>
  <si>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</si>
  <si>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</si>
  <si>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</si>
  <si>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</si>
  <si>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</si>
  <si>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</si>
  <si>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</si>
  <si>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</si>
  <si>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</si>
  <si>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</si>
  <si>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</si>
  <si>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</si>
  <si>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</si>
  <si>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</si>
  <si>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</si>
  <si>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</si>
  <si>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</si>
  <si>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</si>
  <si>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</si>
  <si>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</si>
  <si>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</si>
  <si>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</si>
  <si>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</si>
  <si>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</si>
  <si>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</si>
  <si>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</si>
  <si>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</si>
  <si>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</si>
  <si>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</si>
  <si>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</si>
  <si>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</si>
  <si>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</si>
  <si>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</si>
  <si>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</si>
  <si>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</si>
  <si>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</si>
  <si>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</si>
  <si>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</si>
  <si>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</si>
  <si>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</si>
  <si>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</si>
  <si>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</si>
  <si>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</si>
  <si>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</si>
  <si>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</si>
  <si>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</si>
  <si>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</si>
  <si>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</si>
  <si>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</si>
  <si>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</si>
  <si>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</si>
  <si>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</si>
  <si>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</si>
  <si>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</si>
  <si>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</si>
  <si>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</si>
  <si>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</si>
  <si>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</si>
  <si>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</si>
  <si>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</si>
  <si>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</si>
  <si>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</si>
  <si>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</si>
  <si>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</si>
  <si>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</si>
  <si>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</si>
  <si>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</si>
  <si>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</si>
  <si>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</si>
  <si>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</si>
  <si>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</si>
  <si>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</si>
  <si>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</si>
  <si>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</si>
  <si>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</si>
  <si>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</si>
  <si>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</si>
  <si>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</si>
  <si>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</si>
  <si>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</si>
  <si>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</si>
  <si>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</si>
  <si>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</si>
  <si>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</si>
  <si>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</si>
  <si>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</si>
  <si>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</si>
  <si>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</si>
  <si>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</si>
  <si>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</si>
  <si>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</si>
  <si>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</si>
  <si>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</si>
  <si>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</si>
  <si>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</si>
  <si>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</si>
  <si>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</si>
  <si>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</si>
  <si>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</si>
  <si>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</si>
  <si>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</si>
  <si>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</si>
  <si>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</si>
  <si>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</si>
  <si>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</si>
  <si>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</si>
  <si>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</si>
  <si>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</si>
  <si>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</si>
  <si>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</si>
  <si>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</si>
  <si>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</si>
  <si>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</si>
  <si>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</si>
  <si>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</si>
  <si>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</si>
  <si>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</si>
  <si>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</si>
  <si>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</si>
  <si>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</si>
  <si>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</si>
  <si>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</si>
  <si>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</si>
  <si>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</si>
  <si>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</si>
  <si>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</si>
  <si>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</si>
  <si>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</si>
  <si>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</si>
  <si>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</si>
  <si>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</si>
  <si>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</si>
  <si>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</si>
  <si>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</si>
  <si>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</si>
  <si>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</si>
  <si>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</si>
  <si>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</si>
  <si>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</si>
  <si>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</si>
  <si>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</si>
  <si>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</si>
  <si>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</si>
  <si>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</si>
  <si>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</si>
  <si>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</si>
  <si>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</si>
  <si>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</si>
  <si>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</si>
  <si>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</si>
  <si>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</si>
  <si>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</si>
  <si>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</si>
  <si>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</si>
  <si>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</si>
  <si>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</si>
  <si>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</si>
  <si>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</si>
  <si>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</si>
  <si>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</si>
  <si>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</si>
  <si>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</si>
  <si>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</si>
  <si>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</si>
  <si>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</si>
  <si>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</si>
  <si>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</si>
  <si>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</si>
  <si>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</si>
  <si>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</si>
  <si>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</si>
  <si>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</si>
  <si>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</si>
  <si>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</si>
  <si>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</si>
  <si>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</si>
  <si>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</si>
  <si>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</si>
  <si>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</si>
  <si>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</si>
  <si>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</si>
  <si>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</si>
  <si>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</si>
  <si>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</si>
  <si>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</si>
  <si>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</si>
  <si>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</si>
  <si>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</si>
  <si>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</si>
  <si>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</si>
  <si>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</si>
  <si>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</si>
  <si>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</si>
  <si>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</si>
  <si>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</si>
  <si>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</si>
  <si>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</si>
  <si>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</si>
  <si>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</si>
  <si>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</si>
  <si>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</si>
  <si>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</si>
  <si>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</si>
  <si>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</si>
  <si>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</si>
  <si>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</si>
  <si>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</si>
  <si>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</si>
  <si>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</si>
  <si>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</si>
  <si>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</si>
  <si>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</si>
  <si>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</si>
  <si>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</si>
  <si>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</si>
  <si>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</si>
  <si>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</si>
  <si>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</si>
  <si>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</si>
  <si>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</si>
  <si>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</si>
  <si>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</si>
  <si>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</si>
  <si>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</si>
  <si>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</si>
  <si>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</si>
  <si>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</si>
  <si>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</si>
  <si>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</si>
  <si>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</si>
  <si>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</si>
  <si>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</si>
  <si>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</si>
  <si>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</si>
  <si>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</si>
  <si>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</si>
  <si>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</si>
  <si>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</si>
  <si>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</si>
  <si>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</si>
  <si>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</si>
  <si>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</si>
  <si>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</si>
  <si>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</si>
  <si>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</si>
  <si>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</si>
  <si>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</si>
  <si>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</si>
  <si>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</si>
  <si>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</si>
  <si>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</si>
  <si>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</si>
  <si>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</si>
  <si>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</si>
  <si>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</si>
  <si>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</si>
  <si>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</si>
  <si>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</si>
  <si>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</si>
  <si>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</si>
  <si>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</si>
  <si>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</si>
  <si>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</si>
  <si>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</si>
  <si>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</si>
  <si>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</si>
  <si>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</si>
  <si>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</si>
  <si>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</si>
  <si>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</si>
  <si>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</si>
  <si>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</si>
  <si>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</si>
  <si>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</si>
  <si>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</si>
  <si>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</si>
  <si>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</si>
  <si>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</si>
  <si>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</si>
  <si>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</si>
  <si>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</si>
  <si>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</si>
  <si>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</si>
  <si>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</si>
  <si>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</si>
  <si>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</si>
  <si>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</si>
  <si>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</si>
  <si>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</si>
  <si>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</si>
  <si>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</si>
  <si>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</si>
  <si>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</si>
  <si>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</si>
  <si>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</si>
  <si>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</si>
  <si>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</si>
  <si>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</si>
  <si>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</si>
  <si>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</si>
  <si>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</si>
  <si>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</si>
  <si>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</si>
  <si>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</si>
  <si>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</si>
  <si>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</si>
  <si>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</si>
  <si>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</si>
  <si>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</si>
  <si>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</si>
  <si>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</si>
  <si>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</si>
  <si>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</si>
  <si>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</si>
  <si>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</si>
  <si>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</si>
  <si>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</si>
  <si>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</si>
  <si>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</si>
  <si>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</si>
  <si>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</si>
  <si>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</si>
  <si>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</si>
  <si>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</si>
  <si>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</si>
  <si>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</si>
  <si>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</si>
  <si>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</si>
  <si>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</si>
  <si>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</si>
  <si>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</si>
  <si>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</si>
  <si>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</si>
  <si>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</si>
  <si>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</si>
  <si>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</si>
  <si>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</si>
  <si>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</si>
  <si>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</si>
  <si>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</si>
  <si>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</si>
  <si>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</si>
  <si>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</si>
  <si>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</si>
  <si>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</si>
  <si>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</si>
  <si>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</si>
  <si>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</si>
  <si>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</si>
  <si>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</si>
  <si>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</si>
  <si>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</si>
  <si>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</si>
  <si>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</si>
  <si>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</si>
  <si>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</si>
  <si>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</si>
  <si>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</si>
  <si>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</si>
  <si>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</si>
  <si>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</si>
  <si>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</si>
  <si>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</si>
  <si>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</si>
  <si>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</si>
  <si>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</si>
  <si>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</si>
  <si>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</si>
  <si>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</si>
  <si>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</si>
  <si>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</si>
  <si>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</si>
  <si>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</si>
  <si>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</si>
  <si>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</si>
  <si>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</si>
  <si>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</si>
  <si>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</si>
  <si>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</si>
  <si>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</si>
  <si>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</si>
  <si>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</si>
  <si>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</si>
  <si>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</si>
  <si>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</si>
  <si>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</si>
  <si>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</si>
  <si>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</si>
  <si>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</si>
  <si>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</si>
  <si>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</si>
  <si>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</si>
  <si>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</si>
  <si>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</si>
  <si>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</si>
  <si>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</si>
  <si>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</si>
  <si>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</si>
  <si>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</si>
  <si>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</si>
  <si>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</si>
  <si>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</si>
  <si>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</si>
  <si>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</si>
  <si>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</si>
  <si>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</si>
  <si>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</si>
  <si>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</si>
  <si>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</si>
  <si>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</si>
  <si>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</si>
  <si>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</si>
  <si>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</si>
  <si>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</si>
  <si>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</si>
  <si>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</si>
  <si>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</si>
  <si>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</si>
  <si>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</si>
  <si>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</si>
  <si>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</si>
  <si>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</si>
  <si>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</si>
  <si>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</si>
  <si>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</si>
  <si>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</si>
  <si>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</si>
  <si>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</si>
  <si>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</si>
  <si>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</si>
  <si>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</si>
  <si>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</si>
  <si>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</si>
  <si>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</si>
  <si>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</si>
  <si>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</si>
  <si>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</si>
  <si>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</si>
  <si>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</si>
  <si>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</si>
  <si>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</si>
  <si>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</si>
  <si>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</si>
  <si>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</si>
  <si>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</si>
  <si>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</si>
  <si>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</si>
  <si>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</si>
  <si>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</si>
  <si>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</si>
  <si>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</si>
  <si>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</si>
  <si>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</si>
  <si>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</si>
  <si>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</si>
  <si>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</si>
  <si>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</si>
  <si>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</si>
  <si>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</si>
  <si>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</si>
  <si>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</si>
  <si>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</si>
  <si>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</si>
  <si>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</si>
  <si>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</si>
  <si>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</si>
  <si>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</si>
  <si>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</si>
  <si>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</si>
  <si>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</si>
  <si>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</si>
  <si>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</si>
  <si>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</si>
  <si>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</si>
  <si>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</si>
  <si>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</si>
  <si>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</si>
  <si>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</si>
  <si>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</si>
  <si>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</si>
  <si>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</si>
  <si>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</si>
  <si>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</si>
  <si>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</si>
  <si>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</si>
  <si>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</si>
  <si>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</si>
  <si>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</si>
  <si>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</si>
  <si>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</si>
  <si>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</si>
  <si>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</si>
  <si>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</si>
  <si>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</si>
  <si>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</si>
  <si>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</si>
  <si>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</si>
  <si>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</si>
  <si>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</si>
  <si>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</si>
  <si>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</si>
  <si>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</si>
  <si>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</si>
  <si>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</si>
  <si>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</si>
  <si>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</si>
  <si>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</si>
  <si>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</si>
  <si>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</si>
  <si>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</si>
  <si>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</si>
  <si>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</si>
  <si>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</si>
  <si>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</si>
  <si>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</si>
  <si>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</si>
  <si>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</si>
  <si>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</si>
  <si>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</si>
  <si>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</si>
  <si>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</si>
  <si>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</si>
  <si>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</si>
  <si>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</si>
  <si>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</si>
  <si>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</si>
  <si>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</si>
  <si>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</si>
  <si>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</si>
  <si>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</si>
  <si>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</si>
  <si>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</si>
  <si>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</si>
  <si>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</si>
  <si>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</si>
  <si>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</si>
  <si>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</si>
  <si>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</si>
  <si>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</si>
  <si>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</si>
  <si>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</si>
  <si>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</si>
  <si>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</si>
  <si>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</si>
  <si>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</si>
  <si>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</si>
  <si>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</si>
  <si>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</si>
  <si>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</si>
  <si>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</si>
  <si>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</si>
  <si>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</si>
  <si>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</si>
  <si>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</si>
  <si>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</si>
  <si>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</si>
  <si>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</si>
  <si>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</si>
  <si>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</si>
  <si>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</si>
  <si>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</si>
  <si>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</si>
  <si>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</si>
  <si>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</si>
  <si>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</si>
  <si>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</si>
  <si>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</si>
  <si>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</si>
  <si>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</si>
  <si>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</si>
  <si>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</si>
  <si>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</si>
  <si>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</si>
  <si>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</si>
  <si>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</si>
  <si>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</si>
  <si>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</si>
  <si>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</si>
  <si>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</si>
  <si>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</si>
  <si>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</si>
  <si>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</si>
  <si>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</si>
  <si>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</si>
  <si>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</si>
  <si>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</si>
  <si>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</si>
  <si>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</si>
  <si>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</si>
  <si>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</si>
  <si>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</si>
  <si>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</si>
  <si>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</si>
  <si>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</si>
  <si>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</si>
  <si>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</si>
  <si>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</si>
  <si>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</si>
  <si>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</si>
  <si>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</si>
  <si>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</si>
  <si>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</si>
  <si>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</si>
  <si>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</si>
  <si>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</si>
  <si>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</si>
  <si>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</si>
  <si>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</si>
  <si>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</si>
  <si>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</si>
  <si>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</si>
  <si>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</si>
  <si>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</si>
  <si>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</si>
  <si>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</si>
  <si>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</si>
  <si>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</si>
  <si>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</si>
  <si>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</si>
  <si>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</si>
  <si>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</si>
  <si>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</si>
  <si>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</si>
  <si>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</si>
  <si>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</si>
  <si>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</si>
  <si>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</si>
  <si>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</si>
  <si>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</si>
  <si>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</si>
  <si>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</si>
  <si>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</si>
  <si>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</si>
  <si>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</si>
  <si>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</si>
  <si>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</si>
  <si>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</si>
  <si>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</si>
  <si>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</si>
  <si>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</si>
  <si>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</si>
  <si>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</si>
  <si>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</si>
  <si>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</si>
  <si>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</si>
  <si>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</si>
  <si>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</si>
  <si>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</si>
  <si>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</si>
  <si>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</si>
  <si>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</si>
  <si>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</si>
  <si>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</si>
  <si>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</si>
  <si>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</si>
  <si>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</si>
  <si>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</si>
  <si>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</si>
  <si>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</si>
  <si>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</si>
  <si>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</si>
  <si>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</si>
  <si>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</si>
  <si>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</si>
  <si>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</si>
  <si>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</si>
  <si>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</si>
  <si>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</si>
  <si>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</si>
  <si>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</si>
  <si>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</si>
  <si>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</si>
  <si>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</si>
  <si>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</si>
  <si>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</si>
  <si>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</si>
  <si>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</si>
  <si>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</si>
  <si>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</si>
  <si>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</si>
  <si>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</si>
  <si>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</si>
  <si>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</si>
  <si>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</si>
  <si>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</si>
  <si>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</si>
  <si>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</si>
  <si>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</si>
  <si>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</si>
  <si>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</si>
  <si>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</si>
  <si>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</si>
  <si>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</si>
  <si>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</si>
  <si>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</si>
  <si>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</si>
  <si>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</si>
  <si>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</si>
  <si>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</si>
  <si>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</si>
  <si>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</si>
  <si>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</si>
  <si>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</si>
  <si>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</si>
  <si>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</si>
  <si>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</si>
  <si>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</si>
  <si>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</si>
  <si>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</si>
  <si>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</si>
  <si>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</si>
  <si>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</si>
  <si>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</si>
  <si>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</si>
  <si>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</si>
  <si>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</si>
  <si>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</si>
  <si>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</si>
  <si>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</si>
  <si>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</si>
  <si>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</si>
  <si>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</si>
  <si>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</si>
  <si>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</si>
  <si>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</si>
  <si>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</si>
  <si>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</si>
  <si>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</si>
  <si>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</si>
  <si>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</si>
  <si>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</si>
  <si>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</si>
  <si>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</si>
  <si>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</si>
  <si>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</si>
  <si>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</si>
  <si>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</si>
  <si>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</si>
  <si>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</si>
  <si>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</si>
  <si>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</si>
  <si>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</si>
  <si>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</si>
  <si>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</si>
  <si>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</si>
  <si>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</si>
  <si>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</si>
  <si>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</si>
  <si>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</si>
  <si>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</si>
  <si>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</si>
  <si>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</si>
  <si>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</si>
  <si>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</si>
  <si>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</si>
  <si>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</si>
  <si>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</si>
  <si>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</si>
  <si>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</si>
  <si>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</si>
  <si>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</si>
  <si>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</si>
  <si>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</si>
  <si>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</si>
  <si>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</si>
  <si>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</si>
  <si>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</si>
  <si>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</si>
  <si>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</si>
  <si>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</si>
  <si>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</si>
  <si>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</si>
  <si>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</si>
  <si>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</si>
  <si>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</si>
  <si>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</si>
  <si>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</si>
  <si>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</si>
  <si>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</si>
  <si>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</si>
  <si>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</si>
  <si>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</si>
  <si>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</si>
  <si>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</si>
  <si>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</si>
  <si>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</si>
  <si>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</si>
  <si>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</si>
  <si>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</si>
  <si>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</si>
  <si>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</si>
  <si>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</si>
  <si>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</si>
  <si>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</si>
  <si>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</si>
  <si>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</si>
  <si>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</si>
  <si>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</si>
  <si>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</si>
  <si>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</si>
  <si>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</si>
  <si>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</si>
  <si>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</si>
  <si>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</si>
  <si>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</si>
  <si>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</si>
  <si>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</si>
  <si>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</si>
  <si>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</si>
  <si>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</si>
  <si>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</si>
  <si>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</si>
  <si>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</si>
  <si>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</si>
  <si>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</si>
  <si>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</si>
  <si>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</si>
  <si>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</si>
  <si>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</si>
  <si>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</si>
  <si>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</si>
  <si>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</si>
  <si>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</si>
  <si>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</si>
  <si>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</si>
  <si>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</si>
  <si>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</si>
  <si>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</si>
  <si>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</si>
  <si>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</si>
  <si>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</si>
  <si>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</si>
  <si>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</si>
  <si>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</si>
  <si>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</si>
  <si>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</si>
  <si>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</si>
  <si>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</si>
  <si>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</si>
  <si>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</si>
  <si>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</si>
  <si>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</si>
  <si>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</si>
  <si>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</si>
  <si>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</si>
  <si>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</si>
  <si>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</si>
  <si>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</si>
  <si>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</si>
  <si>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</si>
  <si>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</si>
  <si>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</si>
  <si>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</si>
  <si>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</si>
  <si>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</si>
  <si>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</si>
  <si>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</si>
  <si>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</si>
  <si>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</si>
  <si>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</si>
  <si>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</si>
  <si>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</si>
  <si>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</si>
  <si>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</si>
  <si>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</si>
  <si>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</si>
  <si>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</si>
  <si>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</si>
  <si>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</si>
  <si>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</si>
  <si>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</si>
  <si>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</si>
  <si>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</si>
  <si>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</si>
  <si>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</si>
  <si>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</si>
  <si>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</si>
  <si>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</si>
  <si>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</si>
  <si>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</si>
  <si>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</si>
  <si>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</si>
  <si>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</si>
  <si>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</si>
  <si>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</si>
  <si>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</si>
  <si>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</si>
  <si>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</si>
  <si>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</si>
  <si>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</si>
  <si>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</si>
  <si>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</si>
  <si>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</si>
  <si>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</si>
  <si>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</si>
  <si>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</si>
  <si>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</si>
  <si>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</si>
  <si>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</si>
  <si>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</si>
  <si>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</si>
  <si>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</si>
  <si>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</si>
  <si>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</si>
  <si>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</si>
  <si>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</si>
  <si>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</si>
  <si>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</si>
  <si>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</si>
  <si>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</si>
  <si>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</si>
  <si>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</si>
  <si>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</si>
  <si>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</si>
  <si>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</si>
  <si>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</si>
  <si>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</si>
  <si>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</si>
  <si>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</si>
  <si>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</si>
  <si>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</si>
  <si>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</si>
  <si>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</si>
  <si>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</si>
  <si>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</si>
  <si>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</si>
  <si>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</si>
  <si>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</si>
  <si>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</si>
  <si>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</si>
  <si>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</si>
  <si>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</si>
  <si>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</si>
  <si>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</si>
  <si>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</si>
  <si>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</si>
  <si>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</si>
  <si>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</si>
  <si>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</si>
  <si>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</si>
  <si>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</si>
  <si>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</si>
  <si>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</si>
  <si>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</si>
  <si>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</si>
  <si>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</si>
  <si>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</si>
  <si>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</si>
  <si>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</si>
  <si>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</si>
  <si>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</si>
  <si>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</si>
  <si>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</si>
  <si>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</si>
  <si>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</si>
  <si>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</si>
  <si>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</si>
  <si>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</si>
  <si>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</si>
  <si>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</si>
  <si>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</si>
  <si>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</si>
  <si>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</si>
  <si>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</si>
  <si>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</si>
  <si>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</si>
  <si>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</si>
  <si>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</si>
  <si>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</si>
  <si>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</si>
  <si>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</si>
  <si>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</si>
  <si>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</si>
  <si>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</si>
  <si>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</si>
  <si>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</si>
  <si>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</si>
  <si>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</si>
  <si>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</si>
  <si>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</si>
  <si>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</si>
  <si>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</si>
  <si>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</si>
  <si>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</si>
  <si>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</si>
  <si>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</si>
  <si>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</si>
  <si>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</si>
  <si>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</si>
  <si>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</si>
  <si>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</si>
  <si>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</si>
  <si>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</si>
  <si>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</si>
  <si>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</si>
  <si>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</si>
  <si>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</si>
  <si>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</si>
  <si>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</si>
  <si>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</si>
  <si>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</si>
  <si>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</si>
  <si>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</si>
  <si>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</si>
  <si>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</si>
  <si>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</si>
  <si>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</si>
  <si>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</si>
  <si>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</si>
  <si>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</si>
  <si>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</si>
  <si>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</si>
  <si>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</si>
  <si>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</si>
  <si>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</si>
  <si>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</si>
  <si>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</si>
  <si>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</si>
  <si>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</si>
  <si>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</si>
  <si>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</si>
  <si>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</si>
  <si>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</si>
  <si>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</si>
  <si>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</si>
  <si>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</si>
  <si>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</si>
  <si>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</si>
  <si>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</si>
  <si>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</si>
  <si>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</si>
  <si>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</si>
  <si>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</si>
  <si>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</si>
  <si>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</si>
  <si>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</si>
  <si>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</si>
  <si>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</si>
  <si>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</si>
  <si>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</si>
  <si>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</si>
  <si>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</si>
  <si>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</si>
  <si>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</si>
  <si>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</si>
  <si>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</si>
  <si>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</si>
  <si>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</si>
  <si>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</si>
  <si>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</si>
  <si>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</si>
  <si>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</si>
  <si>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</si>
  <si>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</si>
  <si>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</si>
  <si>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</si>
  <si>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</si>
  <si>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</si>
  <si>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</si>
  <si>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</si>
  <si>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</si>
  <si>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</si>
  <si>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</si>
  <si>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</si>
  <si>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</si>
  <si>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</si>
  <si>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</si>
  <si>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</si>
  <si>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</si>
  <si>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</si>
  <si>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</si>
  <si>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</si>
  <si>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</si>
  <si>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</si>
  <si>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</si>
  <si>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</si>
  <si>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</si>
  <si>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</si>
  <si>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</si>
  <si>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</si>
  <si>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</si>
  <si>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</si>
  <si>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</si>
  <si>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</si>
  <si>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</si>
  <si>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</si>
  <si>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</si>
  <si>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</si>
  <si>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</si>
  <si>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</si>
  <si>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</si>
  <si>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</si>
  <si>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</si>
  <si>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</si>
  <si>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</si>
  <si>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</si>
  <si>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</si>
  <si>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</si>
  <si>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</si>
  <si>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</si>
  <si>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</si>
  <si>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</si>
  <si>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</si>
  <si>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</si>
  <si>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</si>
  <si>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</si>
  <si>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</si>
  <si>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</si>
  <si>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</si>
  <si>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</si>
  <si>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</si>
  <si>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</si>
  <si>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</si>
  <si>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</si>
  <si>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</si>
  <si>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</si>
  <si>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</si>
  <si>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</si>
  <si>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</si>
  <si>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</si>
  <si>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</si>
  <si>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</si>
  <si>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</si>
  <si>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</si>
  <si>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</si>
  <si>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</si>
  <si>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</si>
  <si>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</si>
  <si>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</si>
  <si>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</si>
  <si>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</si>
  <si>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</si>
  <si>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</si>
  <si>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</si>
  <si>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</si>
  <si>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</si>
  <si>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</si>
  <si>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</si>
  <si>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</si>
  <si>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</si>
  <si>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</si>
  <si>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</si>
  <si>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</si>
  <si>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</si>
  <si>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</si>
  <si>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</si>
  <si>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</si>
  <si>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</si>
  <si>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</si>
  <si>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</si>
  <si>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</si>
  <si>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</si>
  <si>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</si>
  <si>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</si>
  <si>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</si>
  <si>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</si>
  <si>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</si>
  <si>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</si>
  <si>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</si>
  <si>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</si>
  <si>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</si>
  <si>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</si>
  <si>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</si>
  <si>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</si>
  <si>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</si>
  <si>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</si>
  <si>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</si>
  <si>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</si>
  <si>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</si>
  <si>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</si>
  <si>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</si>
  <si>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</si>
  <si>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</si>
  <si>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</si>
  <si>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</si>
  <si>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</si>
  <si>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</si>
  <si>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</si>
  <si>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</si>
  <si>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</si>
  <si>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</si>
  <si>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</si>
  <si>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</si>
  <si>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</si>
  <si>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</si>
  <si>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</si>
  <si>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</si>
  <si>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</si>
  <si>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</si>
  <si>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</si>
  <si>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</si>
  <si>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</si>
  <si>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</si>
  <si>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</si>
  <si>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</si>
  <si>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</si>
  <si>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</si>
  <si>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</si>
  <si>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</si>
  <si>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</si>
  <si>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</si>
  <si>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</si>
  <si>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</si>
  <si>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</si>
  <si>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</si>
  <si>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</si>
  <si>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</si>
  <si>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</si>
  <si>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</si>
  <si>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</si>
  <si>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</si>
  <si>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</si>
  <si>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</si>
  <si>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</si>
  <si>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</si>
  <si>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</si>
  <si>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</si>
  <si>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</si>
  <si>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</si>
  <si>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</si>
  <si>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</si>
  <si>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</si>
  <si>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</si>
  <si>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</si>
  <si>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</si>
  <si>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</si>
  <si>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</si>
  <si>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</si>
  <si>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</si>
  <si>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</si>
  <si>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</si>
  <si>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</si>
  <si>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</si>
  <si>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</si>
  <si>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</si>
  <si>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</si>
  <si>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</si>
  <si>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</si>
  <si>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</si>
  <si>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</si>
  <si>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</si>
  <si>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</si>
  <si>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</si>
  <si>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</si>
  <si>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</si>
  <si>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</si>
  <si>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</si>
  <si>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</si>
  <si>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</si>
  <si>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</si>
  <si>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</si>
  <si>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</si>
  <si>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</si>
  <si>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</si>
  <si>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</si>
  <si>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</si>
  <si>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</si>
  <si>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</si>
  <si>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</si>
  <si>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</si>
  <si>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</si>
  <si>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</si>
  <si>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</si>
  <si>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</si>
  <si>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</si>
  <si>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</si>
  <si>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</si>
  <si>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</si>
  <si>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</si>
  <si>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</si>
  <si>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</si>
  <si>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</si>
  <si>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</si>
  <si>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</si>
  <si>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</si>
  <si>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</si>
  <si>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</si>
  <si>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</si>
  <si>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</si>
  <si>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</si>
  <si>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</si>
  <si>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</si>
  <si>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</si>
  <si>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</si>
  <si>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</si>
  <si>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</si>
  <si>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</si>
  <si>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</si>
  <si>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</si>
  <si>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</si>
  <si>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</si>
  <si>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</si>
  <si>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</si>
  <si>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</si>
  <si>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</si>
  <si>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</si>
  <si>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</si>
  <si>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</si>
  <si>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</si>
  <si>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</si>
  <si>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</si>
  <si>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</si>
  <si>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</si>
  <si>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</si>
  <si>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</si>
  <si>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</si>
  <si>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</si>
  <si>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</si>
  <si>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</si>
  <si>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</si>
  <si>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</si>
  <si>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</si>
  <si>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</si>
  <si>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</si>
  <si>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</si>
  <si>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</si>
  <si>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</si>
  <si>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</si>
  <si>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</si>
  <si>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</si>
  <si>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</si>
  <si>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</si>
  <si>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</si>
  <si>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</si>
  <si>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</si>
  <si>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</si>
  <si>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</si>
  <si>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</si>
  <si>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</si>
  <si>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</si>
  <si>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</si>
  <si>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</si>
  <si>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</si>
  <si>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</si>
  <si>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</si>
  <si>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</si>
  <si>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</si>
  <si>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</si>
  <si>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</si>
  <si>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</si>
  <si>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</si>
  <si>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</si>
  <si>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</si>
  <si>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</si>
  <si>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</si>
  <si>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</si>
  <si>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</si>
  <si>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</si>
  <si>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</si>
  <si>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</si>
  <si>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</si>
  <si>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</si>
  <si>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</si>
  <si>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</si>
  <si>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</si>
  <si>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</si>
  <si>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</si>
  <si>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</si>
  <si>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</si>
  <si>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</si>
  <si>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</si>
  <si>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</si>
  <si>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</si>
  <si>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</si>
  <si>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</si>
  <si>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</si>
  <si>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</si>
  <si>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</si>
  <si>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</si>
  <si>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</si>
  <si>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</si>
  <si>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</si>
  <si>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</si>
  <si>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</si>
  <si>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</si>
  <si>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</si>
  <si>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</si>
  <si>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</si>
  <si>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</si>
  <si>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</si>
  <si>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</si>
  <si>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</si>
  <si>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</si>
  <si>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</si>
  <si>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</si>
  <si>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</si>
  <si>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</si>
  <si>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</si>
  <si>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</si>
  <si>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</si>
  <si>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</si>
  <si>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</si>
  <si>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</si>
  <si>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</si>
  <si>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</si>
  <si>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</si>
  <si>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</si>
  <si>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</si>
  <si>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</si>
  <si>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</si>
  <si>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</si>
  <si>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</si>
  <si>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</si>
  <si>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</si>
  <si>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</si>
  <si>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</si>
  <si>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</si>
  <si>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</si>
  <si>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</si>
  <si>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</si>
  <si>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</si>
  <si>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</si>
  <si>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</si>
  <si>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</si>
  <si>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</si>
  <si>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</si>
  <si>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</si>
  <si>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</si>
  <si>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</si>
  <si>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</si>
  <si>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</si>
  <si>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</si>
  <si>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</si>
  <si>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</si>
  <si>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</si>
  <si>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</si>
  <si>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</si>
  <si>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</si>
  <si>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</si>
  <si>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</si>
  <si>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</si>
  <si>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</si>
  <si>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</si>
  <si>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</si>
  <si>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</si>
  <si>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</si>
  <si>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</si>
  <si>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</si>
  <si>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</si>
  <si>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</si>
  <si>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</si>
  <si>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</si>
  <si>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</si>
  <si>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</si>
  <si>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</si>
  <si>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</si>
  <si>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</si>
  <si>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</si>
  <si>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</si>
  <si>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</si>
  <si>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</si>
  <si>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</si>
  <si>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</si>
  <si>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</si>
  <si>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</si>
  <si>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</si>
  <si>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</si>
  <si>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</si>
  <si>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</si>
  <si>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</si>
  <si>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</si>
  <si>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</si>
  <si>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</si>
  <si>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</si>
  <si>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</si>
  <si>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</si>
  <si>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</si>
  <si>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</si>
  <si>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</si>
  <si>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</si>
  <si>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</si>
  <si>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</si>
  <si>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</si>
  <si>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</si>
  <si>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</si>
  <si>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</si>
  <si>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</si>
  <si>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</si>
  <si>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</si>
  <si>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</si>
  <si>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</si>
  <si>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</si>
  <si>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</si>
  <si>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</si>
  <si>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</si>
  <si>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</si>
  <si>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</si>
  <si>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</si>
  <si>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</si>
  <si>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</si>
  <si>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</si>
  <si>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</si>
  <si>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</si>
  <si>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</si>
  <si>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</si>
  <si>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</si>
  <si>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</si>
  <si>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</si>
  <si>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</si>
  <si>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</si>
  <si>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</si>
  <si>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</si>
  <si>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</si>
  <si>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</si>
  <si>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</si>
  <si>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</si>
  <si>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</si>
  <si>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</si>
  <si>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</si>
  <si>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</si>
  <si>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</si>
  <si>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</si>
  <si>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</si>
  <si>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</si>
  <si>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</si>
  <si>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</si>
  <si>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</si>
  <si>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</si>
  <si>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</si>
  <si>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</si>
  <si>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</si>
  <si>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</si>
  <si>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</si>
  <si>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</si>
  <si>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</si>
  <si>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</si>
  <si>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</si>
  <si>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</si>
  <si>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</si>
  <si>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</si>
  <si>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</si>
  <si>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</si>
  <si>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</si>
  <si>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</si>
  <si>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</si>
  <si>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</si>
  <si>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</si>
  <si>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</si>
  <si>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</si>
  <si>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</si>
  <si>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</si>
  <si>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</si>
  <si>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</si>
  <si>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</si>
  <si>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</si>
  <si>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</si>
  <si>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</si>
  <si>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</si>
  <si>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</si>
  <si>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</si>
  <si>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</si>
  <si>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</si>
  <si>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</si>
  <si>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</si>
  <si>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</si>
  <si>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</si>
  <si>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</si>
  <si>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</si>
  <si>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</si>
  <si>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</si>
  <si>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</si>
  <si>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</si>
  <si>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</si>
  <si>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</si>
  <si>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</si>
  <si>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</si>
  <si>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</si>
  <si>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</si>
  <si>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</si>
  <si>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</si>
  <si>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</si>
  <si>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</si>
  <si>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</si>
  <si>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</si>
  <si>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</si>
  <si>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</si>
  <si>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</si>
  <si>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</si>
  <si>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</si>
  <si>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</si>
  <si>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</si>
  <si>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</si>
  <si>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</si>
  <si>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</si>
  <si>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</si>
  <si>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</si>
  <si>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</si>
  <si>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</si>
  <si>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</si>
  <si>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</si>
  <si>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</si>
  <si>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</si>
  <si>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</si>
  <si>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</si>
  <si>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</si>
  <si>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</si>
  <si>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</si>
  <si>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</si>
  <si>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</si>
  <si>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</si>
  <si>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</si>
  <si>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</si>
  <si>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</si>
  <si>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</si>
  <si>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</si>
  <si>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</si>
  <si>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</si>
  <si>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</si>
  <si>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</si>
  <si>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</si>
  <si>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</si>
  <si>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</si>
  <si>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</si>
  <si>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</si>
  <si>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</si>
  <si>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</si>
  <si>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</si>
  <si>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</si>
  <si>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</si>
  <si>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</si>
  <si>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</si>
  <si>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</si>
  <si>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</si>
  <si>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</si>
  <si>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</si>
  <si>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</si>
  <si>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</si>
  <si>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</si>
  <si>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</si>
  <si>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</si>
  <si>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</si>
  <si>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</si>
  <si>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</si>
  <si>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</si>
  <si>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</si>
  <si>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</si>
  <si>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</si>
  <si>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</si>
  <si>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</si>
  <si>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</si>
  <si>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</si>
  <si>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</si>
  <si>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</si>
  <si>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</si>
  <si>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</si>
  <si>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</si>
  <si>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</si>
  <si>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</si>
  <si>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</si>
  <si>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</si>
  <si>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</si>
  <si>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</si>
  <si>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</si>
  <si>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</si>
  <si>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</si>
  <si>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</si>
  <si>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</si>
  <si>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</si>
  <si>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</si>
  <si>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</si>
  <si>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</si>
  <si>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</si>
  <si>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</si>
  <si>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</si>
  <si>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</si>
  <si>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</si>
  <si>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</si>
  <si>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</si>
  <si>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</si>
  <si>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</si>
  <si>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</si>
  <si>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</si>
  <si>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</si>
  <si>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</si>
  <si>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</si>
  <si>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</si>
  <si>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</si>
  <si>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</si>
  <si>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</si>
  <si>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</si>
  <si>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</si>
  <si>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</si>
  <si>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</si>
  <si>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</si>
  <si>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</si>
  <si>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</si>
  <si>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</si>
  <si>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</si>
  <si>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</si>
  <si>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</si>
  <si>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</si>
  <si>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</si>
  <si>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</si>
  <si>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</si>
  <si>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</si>
  <si>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</si>
  <si>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</si>
  <si>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</si>
  <si>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</si>
  <si>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</si>
  <si>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</si>
  <si>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</si>
  <si>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</si>
  <si>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</si>
  <si>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</si>
  <si>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</si>
  <si>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</si>
  <si>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</si>
  <si>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</si>
  <si>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</si>
  <si>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</si>
  <si>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</si>
  <si>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</si>
  <si>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</si>
  <si>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</si>
  <si>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</si>
  <si>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</si>
  <si>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</si>
  <si>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</si>
  <si>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</si>
  <si>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</si>
  <si>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</si>
  <si>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</si>
  <si>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</si>
  <si>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</si>
  <si>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</si>
  <si>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</si>
  <si>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</si>
  <si>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</si>
  <si>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</si>
  <si>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</si>
  <si>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</si>
  <si>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</si>
  <si>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</si>
  <si>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</si>
  <si>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</si>
  <si>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</si>
  <si>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</si>
  <si>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</si>
  <si>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</si>
  <si>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</si>
  <si>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</si>
  <si>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</si>
  <si>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</si>
  <si>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</si>
  <si>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</si>
  <si>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</si>
  <si>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</si>
  <si>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</si>
  <si>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</si>
  <si>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</si>
  <si>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</si>
  <si>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否</t>
  </si>
  <si>
    <t>元</t>
  </si>
  <si>
    <t>楼面单价</t>
  </si>
  <si>
    <t>无租约</t>
  </si>
  <si>
    <t>利息：取LPR加浮动点数</t>
  </si>
  <si>
    <t>收益法</t>
  </si>
  <si>
    <t>比较法-住宅</t>
  </si>
  <si>
    <t>小区</t>
  </si>
  <si>
    <t>平米租金(元/㎡·月)</t>
  </si>
  <si>
    <t>梵谷水郡&lt;姚家园&lt;朝阳区</t>
  </si>
  <si>
    <t>估价方法</t>
  </si>
  <si>
    <t>住宅</t>
    <phoneticPr fontId="20" type="noConversion"/>
  </si>
  <si>
    <t>50-60（含）</t>
  </si>
  <si>
    <t>梵谷水郡</t>
    <phoneticPr fontId="4" type="noConversion"/>
  </si>
  <si>
    <r>
      <rPr>
        <sz val="10"/>
        <color indexed="8"/>
        <rFont val="宋体"/>
        <family val="3"/>
        <charset val="134"/>
      </rPr>
      <t>驼房营南路</t>
    </r>
    <r>
      <rPr>
        <sz val="10"/>
        <color indexed="8"/>
        <rFont val="Arial"/>
        <family val="2"/>
      </rPr>
      <t>2</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9-901</t>
    </r>
    <phoneticPr fontId="7" type="noConversion"/>
  </si>
  <si>
    <t>估价对象周边有首信小区、亮马嘉园、兆维小区等，综合评价居住社区成熟度较好</t>
    <phoneticPr fontId="35" type="noConversion"/>
  </si>
  <si>
    <t>区域自然环境：亮马河、东风公园等；人文环境；东风艺术区、七棵树创意园，综合评价环境状况较好</t>
    <phoneticPr fontId="35" type="noConversion"/>
  </si>
  <si>
    <t>七通</t>
  </si>
  <si>
    <t>七通</t>
    <phoneticPr fontId="20" type="noConversion"/>
  </si>
  <si>
    <t>城市支路——驼房营南路</t>
    <phoneticPr fontId="20" type="noConversion"/>
  </si>
  <si>
    <t>楼层</t>
    <phoneticPr fontId="20" type="noConversion"/>
  </si>
  <si>
    <t>南北东</t>
  </si>
  <si>
    <t>南北东</t>
    <phoneticPr fontId="20" type="noConversion"/>
  </si>
  <si>
    <t>南北</t>
  </si>
  <si>
    <t>南北</t>
    <phoneticPr fontId="20" type="noConversion"/>
  </si>
  <si>
    <t>钢混</t>
  </si>
  <si>
    <t>钢混</t>
    <phoneticPr fontId="20" type="noConversion"/>
  </si>
  <si>
    <t>较好</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</si>
  <si>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</si>
  <si>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</si>
  <si>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</si>
  <si>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</si>
  <si>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</si>
  <si>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</si>
  <si>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</si>
  <si>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有</t>
    <phoneticPr fontId="20" type="noConversion"/>
  </si>
  <si>
    <t>无</t>
    <phoneticPr fontId="20" type="noConversion"/>
  </si>
  <si>
    <t>A</t>
    <phoneticPr fontId="146" type="noConversion"/>
  </si>
  <si>
    <t>B</t>
    <phoneticPr fontId="146" type="noConversion"/>
  </si>
  <si>
    <t>C</t>
    <phoneticPr fontId="146" type="noConversion"/>
  </si>
  <si>
    <t>15#</t>
    <phoneticPr fontId="4" type="noConversion"/>
  </si>
  <si>
    <t>18#</t>
    <phoneticPr fontId="20" type="noConversion"/>
  </si>
  <si>
    <t>5#</t>
    <phoneticPr fontId="20" type="noConversion"/>
  </si>
  <si>
    <t>东北</t>
  </si>
  <si>
    <t>东北</t>
    <phoneticPr fontId="20" type="noConversion"/>
  </si>
  <si>
    <r>
      <t>9/9</t>
    </r>
    <r>
      <rPr>
        <sz val="11"/>
        <color indexed="8"/>
        <rFont val="宋体"/>
        <family val="3"/>
        <charset val="134"/>
      </rPr>
      <t>（顶层）</t>
    </r>
    <phoneticPr fontId="20" type="noConversion"/>
  </si>
  <si>
    <r>
      <t>5/9</t>
    </r>
    <r>
      <rPr>
        <sz val="11"/>
        <color indexed="8"/>
        <rFont val="宋体"/>
        <family val="3"/>
        <charset val="134"/>
      </rPr>
      <t>（中层）</t>
    </r>
    <phoneticPr fontId="20" type="noConversion"/>
  </si>
  <si>
    <r>
      <t>2/9</t>
    </r>
    <r>
      <rPr>
        <sz val="11"/>
        <color indexed="8"/>
        <rFont val="宋体"/>
        <family val="3"/>
        <charset val="134"/>
      </rPr>
      <t>（低层）</t>
    </r>
    <phoneticPr fontId="20" type="noConversion"/>
  </si>
  <si>
    <r>
      <t>8/9</t>
    </r>
    <r>
      <rPr>
        <sz val="11"/>
        <color indexed="8"/>
        <rFont val="宋体"/>
        <family val="3"/>
        <charset val="134"/>
      </rPr>
      <t>（高层）</t>
    </r>
    <phoneticPr fontId="20" type="noConversion"/>
  </si>
  <si>
    <t>板楼</t>
  </si>
  <si>
    <t>板楼</t>
    <phoneticPr fontId="20" type="noConversion"/>
  </si>
  <si>
    <t>简单装修</t>
    <phoneticPr fontId="20" type="noConversion"/>
  </si>
  <si>
    <t>局部挑高</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</si>
</sst>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5" fillId="0" borderId="0"/>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0" xfId="14" applyNumberFormat="1"/>
    <xf numFmtId="14" fontId="255" fillId="0" borderId="0" xfId="14" applyNumberFormat="1"/>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55" fillId="0" borderId="0" xfId="14" applyNumberFormat="1"/>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256" fillId="0" borderId="64" xfId="0" applyFont="1" applyFill="1" applyBorder="1" applyAlignment="1" applyProtection="1">
      <alignmen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221" fillId="0" borderId="16" xfId="0"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cellXfs>
  <cellStyles count="15">
    <cellStyle name="常规" xfId="0" builtinId="0"/>
    <cellStyle name="常规 10" xfId="14" xr:uid="{0783DDCE-9642-4CEA-842E-99FC02F940D8}"/>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312658</xdr:colOff>
      <xdr:row>35</xdr:row>
      <xdr:rowOff>85029</xdr:rowOff>
    </xdr:to>
    <xdr:pic>
      <xdr:nvPicPr>
        <xdr:cNvPr id="2" name="图片 1">
          <a:extLst>
            <a:ext uri="{FF2B5EF4-FFF2-40B4-BE49-F238E27FC236}">
              <a16:creationId xmlns:a16="http://schemas.microsoft.com/office/drawing/2014/main" id="{C24932BE-2E8B-4549-A571-089E594FCB60}"/>
            </a:ext>
          </a:extLst>
        </xdr:cNvPr>
        <xdr:cNvPicPr>
          <a:picLocks noChangeAspect="1"/>
        </xdr:cNvPicPr>
      </xdr:nvPicPr>
      <xdr:blipFill>
        <a:blip xmlns:r="http://schemas.openxmlformats.org/officeDocument/2006/relationships" r:embed="rId1"/>
        <a:stretch>
          <a:fillRect/>
        </a:stretch>
      </xdr:blipFill>
      <xdr:spPr>
        <a:xfrm>
          <a:off x="0" y="542925"/>
          <a:ext cx="13333333" cy="5571429"/>
        </a:xfrm>
        <a:prstGeom prst="rect">
          <a:avLst/>
        </a:prstGeom>
      </xdr:spPr>
    </xdr:pic>
    <xdr:clientData/>
  </xdr:twoCellAnchor>
  <xdr:twoCellAnchor editAs="oneCell">
    <xdr:from>
      <xdr:col>0</xdr:col>
      <xdr:colOff>0</xdr:colOff>
      <xdr:row>35</xdr:row>
      <xdr:rowOff>66675</xdr:rowOff>
    </xdr:from>
    <xdr:to>
      <xdr:col>17</xdr:col>
      <xdr:colOff>331706</xdr:colOff>
      <xdr:row>61</xdr:row>
      <xdr:rowOff>66118</xdr:rowOff>
    </xdr:to>
    <xdr:pic>
      <xdr:nvPicPr>
        <xdr:cNvPr id="3" name="图片 2">
          <a:extLst>
            <a:ext uri="{FF2B5EF4-FFF2-40B4-BE49-F238E27FC236}">
              <a16:creationId xmlns:a16="http://schemas.microsoft.com/office/drawing/2014/main" id="{939CFE31-B2FC-4972-B0EA-A21116E4875D}"/>
            </a:ext>
          </a:extLst>
        </xdr:cNvPr>
        <xdr:cNvPicPr>
          <a:picLocks noChangeAspect="1"/>
        </xdr:cNvPicPr>
      </xdr:nvPicPr>
      <xdr:blipFill>
        <a:blip xmlns:r="http://schemas.openxmlformats.org/officeDocument/2006/relationships" r:embed="rId2"/>
        <a:stretch>
          <a:fillRect/>
        </a:stretch>
      </xdr:blipFill>
      <xdr:spPr>
        <a:xfrm>
          <a:off x="0" y="6096000"/>
          <a:ext cx="13352381" cy="4457143"/>
        </a:xfrm>
        <a:prstGeom prst="rect">
          <a:avLst/>
        </a:prstGeom>
      </xdr:spPr>
    </xdr:pic>
    <xdr:clientData/>
  </xdr:twoCellAnchor>
  <xdr:twoCellAnchor editAs="oneCell">
    <xdr:from>
      <xdr:col>2</xdr:col>
      <xdr:colOff>800100</xdr:colOff>
      <xdr:row>98</xdr:row>
      <xdr:rowOff>66675</xdr:rowOff>
    </xdr:from>
    <xdr:to>
      <xdr:col>11</xdr:col>
      <xdr:colOff>789665</xdr:colOff>
      <xdr:row>115</xdr:row>
      <xdr:rowOff>47263</xdr:rowOff>
    </xdr:to>
    <xdr:pic>
      <xdr:nvPicPr>
        <xdr:cNvPr id="4" name="图片 3">
          <a:extLst>
            <a:ext uri="{FF2B5EF4-FFF2-40B4-BE49-F238E27FC236}">
              <a16:creationId xmlns:a16="http://schemas.microsoft.com/office/drawing/2014/main" id="{26782EBE-C0CF-47A5-B3CB-47367D4F1F2B}"/>
            </a:ext>
          </a:extLst>
        </xdr:cNvPr>
        <xdr:cNvPicPr>
          <a:picLocks noChangeAspect="1"/>
        </xdr:cNvPicPr>
      </xdr:nvPicPr>
      <xdr:blipFill>
        <a:blip xmlns:r="http://schemas.openxmlformats.org/officeDocument/2006/relationships" r:embed="rId3"/>
        <a:stretch>
          <a:fillRect/>
        </a:stretch>
      </xdr:blipFill>
      <xdr:spPr>
        <a:xfrm>
          <a:off x="2171700" y="16897350"/>
          <a:ext cx="7276190" cy="2895238"/>
        </a:xfrm>
        <a:prstGeom prst="rect">
          <a:avLst/>
        </a:prstGeom>
      </xdr:spPr>
    </xdr:pic>
    <xdr:clientData/>
  </xdr:twoCellAnchor>
  <xdr:twoCellAnchor editAs="oneCell">
    <xdr:from>
      <xdr:col>3</xdr:col>
      <xdr:colOff>19050</xdr:colOff>
      <xdr:row>108</xdr:row>
      <xdr:rowOff>161925</xdr:rowOff>
    </xdr:from>
    <xdr:to>
      <xdr:col>16</xdr:col>
      <xdr:colOff>84448</xdr:colOff>
      <xdr:row>133</xdr:row>
      <xdr:rowOff>113770</xdr:rowOff>
    </xdr:to>
    <xdr:pic>
      <xdr:nvPicPr>
        <xdr:cNvPr id="5" name="图片 4">
          <a:extLst>
            <a:ext uri="{FF2B5EF4-FFF2-40B4-BE49-F238E27FC236}">
              <a16:creationId xmlns:a16="http://schemas.microsoft.com/office/drawing/2014/main" id="{F3B8B77F-0E4D-4566-A3EA-525608EB98C3}"/>
            </a:ext>
          </a:extLst>
        </xdr:cNvPr>
        <xdr:cNvPicPr>
          <a:picLocks noChangeAspect="1"/>
        </xdr:cNvPicPr>
      </xdr:nvPicPr>
      <xdr:blipFill>
        <a:blip xmlns:r="http://schemas.openxmlformats.org/officeDocument/2006/relationships" r:embed="rId4"/>
        <a:stretch>
          <a:fillRect/>
        </a:stretch>
      </xdr:blipFill>
      <xdr:spPr>
        <a:xfrm>
          <a:off x="2200275" y="18707100"/>
          <a:ext cx="10219048" cy="4238095"/>
        </a:xfrm>
        <a:prstGeom prst="rect">
          <a:avLst/>
        </a:prstGeom>
      </xdr:spPr>
    </xdr:pic>
    <xdr:clientData/>
  </xdr:twoCellAnchor>
  <xdr:twoCellAnchor editAs="oneCell">
    <xdr:from>
      <xdr:col>3</xdr:col>
      <xdr:colOff>38100</xdr:colOff>
      <xdr:row>61</xdr:row>
      <xdr:rowOff>66675</xdr:rowOff>
    </xdr:from>
    <xdr:to>
      <xdr:col>12</xdr:col>
      <xdr:colOff>656237</xdr:colOff>
      <xdr:row>78</xdr:row>
      <xdr:rowOff>123454</xdr:rowOff>
    </xdr:to>
    <xdr:pic>
      <xdr:nvPicPr>
        <xdr:cNvPr id="6" name="图片 5">
          <a:extLst>
            <a:ext uri="{FF2B5EF4-FFF2-40B4-BE49-F238E27FC236}">
              <a16:creationId xmlns:a16="http://schemas.microsoft.com/office/drawing/2014/main" id="{A4F722AE-FFEB-40C0-990D-F56FD42DDACA}"/>
            </a:ext>
          </a:extLst>
        </xdr:cNvPr>
        <xdr:cNvPicPr>
          <a:picLocks noChangeAspect="1"/>
        </xdr:cNvPicPr>
      </xdr:nvPicPr>
      <xdr:blipFill>
        <a:blip xmlns:r="http://schemas.openxmlformats.org/officeDocument/2006/relationships" r:embed="rId5"/>
        <a:stretch>
          <a:fillRect/>
        </a:stretch>
      </xdr:blipFill>
      <xdr:spPr>
        <a:xfrm>
          <a:off x="2219325" y="10553700"/>
          <a:ext cx="7904762" cy="2971429"/>
        </a:xfrm>
        <a:prstGeom prst="rect">
          <a:avLst/>
        </a:prstGeom>
      </xdr:spPr>
    </xdr:pic>
    <xdr:clientData/>
  </xdr:twoCellAnchor>
  <xdr:twoCellAnchor editAs="oneCell">
    <xdr:from>
      <xdr:col>2</xdr:col>
      <xdr:colOff>790575</xdr:colOff>
      <xdr:row>80</xdr:row>
      <xdr:rowOff>28575</xdr:rowOff>
    </xdr:from>
    <xdr:to>
      <xdr:col>12</xdr:col>
      <xdr:colOff>189563</xdr:colOff>
      <xdr:row>96</xdr:row>
      <xdr:rowOff>66327</xdr:rowOff>
    </xdr:to>
    <xdr:pic>
      <xdr:nvPicPr>
        <xdr:cNvPr id="7" name="图片 6">
          <a:extLst>
            <a:ext uri="{FF2B5EF4-FFF2-40B4-BE49-F238E27FC236}">
              <a16:creationId xmlns:a16="http://schemas.microsoft.com/office/drawing/2014/main" id="{21EBA81C-BFCA-4A9A-A335-188C9AC8AB6D}"/>
            </a:ext>
          </a:extLst>
        </xdr:cNvPr>
        <xdr:cNvPicPr>
          <a:picLocks noChangeAspect="1"/>
        </xdr:cNvPicPr>
      </xdr:nvPicPr>
      <xdr:blipFill>
        <a:blip xmlns:r="http://schemas.openxmlformats.org/officeDocument/2006/relationships" r:embed="rId6"/>
        <a:stretch>
          <a:fillRect/>
        </a:stretch>
      </xdr:blipFill>
      <xdr:spPr>
        <a:xfrm>
          <a:off x="2162175" y="13773150"/>
          <a:ext cx="7495238" cy="2780952"/>
        </a:xfrm>
        <a:prstGeom prst="rect">
          <a:avLst/>
        </a:prstGeom>
      </xdr:spPr>
    </xdr:pic>
    <xdr:clientData/>
  </xdr:twoCellAnchor>
  <xdr:twoCellAnchor editAs="oneCell">
    <xdr:from>
      <xdr:col>12</xdr:col>
      <xdr:colOff>257175</xdr:colOff>
      <xdr:row>89</xdr:row>
      <xdr:rowOff>9525</xdr:rowOff>
    </xdr:from>
    <xdr:to>
      <xdr:col>26</xdr:col>
      <xdr:colOff>27388</xdr:colOff>
      <xdr:row>113</xdr:row>
      <xdr:rowOff>170915</xdr:rowOff>
    </xdr:to>
    <xdr:pic>
      <xdr:nvPicPr>
        <xdr:cNvPr id="8" name="图片 7">
          <a:extLst>
            <a:ext uri="{FF2B5EF4-FFF2-40B4-BE49-F238E27FC236}">
              <a16:creationId xmlns:a16="http://schemas.microsoft.com/office/drawing/2014/main" id="{ED0CB3A6-2C43-4D19-AC22-3E6DBCD20C31}"/>
            </a:ext>
          </a:extLst>
        </xdr:cNvPr>
        <xdr:cNvPicPr>
          <a:picLocks noChangeAspect="1"/>
        </xdr:cNvPicPr>
      </xdr:nvPicPr>
      <xdr:blipFill>
        <a:blip xmlns:r="http://schemas.openxmlformats.org/officeDocument/2006/relationships" r:embed="rId7"/>
        <a:stretch>
          <a:fillRect/>
        </a:stretch>
      </xdr:blipFill>
      <xdr:spPr>
        <a:xfrm>
          <a:off x="9725025" y="15297150"/>
          <a:ext cx="9495238" cy="4276190"/>
        </a:xfrm>
        <a:prstGeom prst="rect">
          <a:avLst/>
        </a:prstGeom>
      </xdr:spPr>
    </xdr:pic>
    <xdr:clientData/>
  </xdr:twoCellAnchor>
  <xdr:twoCellAnchor editAs="oneCell">
    <xdr:from>
      <xdr:col>12</xdr:col>
      <xdr:colOff>371475</xdr:colOff>
      <xdr:row>61</xdr:row>
      <xdr:rowOff>133350</xdr:rowOff>
    </xdr:from>
    <xdr:to>
      <xdr:col>24</xdr:col>
      <xdr:colOff>532336</xdr:colOff>
      <xdr:row>88</xdr:row>
      <xdr:rowOff>94676</xdr:rowOff>
    </xdr:to>
    <xdr:pic>
      <xdr:nvPicPr>
        <xdr:cNvPr id="9" name="图片 8">
          <a:extLst>
            <a:ext uri="{FF2B5EF4-FFF2-40B4-BE49-F238E27FC236}">
              <a16:creationId xmlns:a16="http://schemas.microsoft.com/office/drawing/2014/main" id="{9B4D8A25-AB9C-4371-BC50-22D567B84C33}"/>
            </a:ext>
          </a:extLst>
        </xdr:cNvPr>
        <xdr:cNvPicPr>
          <a:picLocks noChangeAspect="1"/>
        </xdr:cNvPicPr>
      </xdr:nvPicPr>
      <xdr:blipFill>
        <a:blip xmlns:r="http://schemas.openxmlformats.org/officeDocument/2006/relationships" r:embed="rId8"/>
        <a:stretch>
          <a:fillRect/>
        </a:stretch>
      </xdr:blipFill>
      <xdr:spPr>
        <a:xfrm>
          <a:off x="9839325" y="10620375"/>
          <a:ext cx="8514286" cy="4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估价对象为北京市房地产，为XX所有。根据《》[]，估价对象建筑面积为130.13平方米。根据《》[]，估价对象（分摊）出让国有建设用地使用权面积为平方米。估价对象用途为。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2022年9月16日</v>
      </c>
    </row>
    <row r="10" spans="1:2">
      <c r="A10" s="1139" t="s">
        <v>865</v>
      </c>
      <c r="B10" s="1126" t="str">
        <f>'预评函-1'!A13</f>
        <v>本次估价的“房地产价值”是指在正常市场情况下，在价值时点2022年9月16日，估价对象规划用途为，假定未设立法定优先受偿款下的房地产市场价值。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本次评估采用的主估价方法为收益法和比较法。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130.13</v>
      </c>
    </row>
    <row r="19" spans="1:2">
      <c r="A19" s="1139" t="s">
        <v>874</v>
      </c>
      <c r="B19" s="1126">
        <f ca="1">'预评函-2（1）'!D7</f>
        <v>8077039</v>
      </c>
    </row>
    <row r="20" spans="1:2">
      <c r="A20" s="1139" t="s">
        <v>912</v>
      </c>
      <c r="B20" s="1126" t="str">
        <f>'预评函-2（1）'!C7</f>
        <v>总价（元）</v>
      </c>
    </row>
    <row r="21" spans="1:2">
      <c r="A21" s="1139" t="s">
        <v>875</v>
      </c>
      <c r="B21" s="1126">
        <f ca="1">'预评函-2（1）'!D9</f>
        <v>62069</v>
      </c>
    </row>
    <row r="22" spans="1:2">
      <c r="A22" s="1139" t="s">
        <v>876</v>
      </c>
      <c r="B22" s="1126" t="str">
        <f ca="1">'预评函-2（1）'!D8</f>
        <v>捌佰零柒万柒仟零叁拾玖元整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8077039</v>
      </c>
    </row>
    <row r="30" spans="1:2">
      <c r="A30" s="1139" t="s">
        <v>882</v>
      </c>
      <c r="B30" s="1126" t="str">
        <f ca="1">'预评函-2（1）'!D16</f>
        <v>捌佰零柒万柒仟零叁拾玖元整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7269322</v>
      </c>
    </row>
    <row r="38" spans="1:2">
      <c r="A38" s="1139" t="s">
        <v>890</v>
      </c>
      <c r="B38" s="1126">
        <f ca="1">'预评函-2（2）'!E4</f>
        <v>55862</v>
      </c>
    </row>
    <row r="39" spans="1:2">
      <c r="A39" s="1139" t="s">
        <v>891</v>
      </c>
      <c r="B39" s="1126" t="str">
        <f ca="1">'预评函-2（2）'!D5</f>
        <v>柒佰贰拾陆万玖仟叁佰贰拾贰元整</v>
      </c>
    </row>
    <row r="40" spans="1:2">
      <c r="A40" s="1139" t="s">
        <v>892</v>
      </c>
      <c r="B40" s="1126">
        <f ca="1">'预评函-2（2）'!F4</f>
        <v>807717</v>
      </c>
    </row>
    <row r="41" spans="1:2">
      <c r="A41" s="1139" t="s">
        <v>893</v>
      </c>
      <c r="B41" s="1126">
        <f ca="1">'预评函-2（2）'!G4</f>
        <v>6207</v>
      </c>
    </row>
    <row r="42" spans="1:2" s="1136" customFormat="1" ht="15.75" thickBot="1">
      <c r="A42" s="1140" t="s">
        <v>894</v>
      </c>
      <c r="B42" s="1128" t="str">
        <f ca="1">'预评函-2（2）'!F5</f>
        <v>捌拾万柒仟柒佰壹拾柒元整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62069</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C9" sqref="C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44820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3029</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3030</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2480</v>
      </c>
      <c r="E7" s="783"/>
      <c r="F7" s="783"/>
      <c r="G7" s="1122"/>
    </row>
    <row r="8" spans="1:17" ht="13.5" thickTop="1">
      <c r="A8" s="3387" t="s">
        <v>1301</v>
      </c>
      <c r="B8" s="1367" t="s">
        <v>1302</v>
      </c>
      <c r="C8" s="3733" t="s">
        <v>3046</v>
      </c>
      <c r="D8" s="3399"/>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0"/>
      <c r="D10" s="3401"/>
      <c r="E10" s="2816" t="s">
        <v>1308</v>
      </c>
      <c r="F10" s="2524"/>
      <c r="G10" s="2525"/>
    </row>
    <row r="11" spans="1:17" ht="13.5" thickBot="1">
      <c r="A11" s="3387"/>
      <c r="B11" s="1370" t="s">
        <v>1309</v>
      </c>
      <c r="C11" s="3402"/>
      <c r="D11" s="3403"/>
      <c r="E11" s="769"/>
      <c r="F11" s="769"/>
      <c r="G11" s="788"/>
    </row>
    <row r="12" spans="1:17" ht="13.5" thickBot="1">
      <c r="A12" s="3390" t="s">
        <v>2587</v>
      </c>
      <c r="B12" s="2817" t="s">
        <v>1310</v>
      </c>
      <c r="C12" s="766">
        <v>130.13</v>
      </c>
      <c r="D12" s="1371" t="s">
        <v>1311</v>
      </c>
      <c r="E12" s="1372"/>
      <c r="F12" s="1373"/>
      <c r="G12" s="788"/>
    </row>
    <row r="13" spans="1:17" ht="21" customHeight="1" thickBot="1">
      <c r="A13" s="3391"/>
      <c r="B13" s="2818" t="s">
        <v>1312</v>
      </c>
      <c r="C13" s="767"/>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3032</v>
      </c>
      <c r="D16" s="1369" t="s">
        <v>1318</v>
      </c>
      <c r="E16" s="2530"/>
      <c r="F16" s="1377" t="str">
        <f>IF(AND(C16="是",E16="否"),"是否提供他项权证或相关说明","")</f>
        <v/>
      </c>
      <c r="G16" s="2530"/>
      <c r="J16" s="2821"/>
    </row>
    <row r="17" spans="1:66" ht="13.5" customHeight="1">
      <c r="A17" s="1383" t="s">
        <v>1319</v>
      </c>
      <c r="B17" s="3404" t="s">
        <v>1320</v>
      </c>
      <c r="C17" s="3405"/>
      <c r="D17" s="3406" t="s">
        <v>1321</v>
      </c>
      <c r="E17" s="3407"/>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2586</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3" t="s">
        <v>1334</v>
      </c>
      <c r="D28" s="3394"/>
      <c r="E28" s="759"/>
      <c r="F28" s="761" t="s">
        <v>1334</v>
      </c>
      <c r="G28" s="759"/>
      <c r="K28" s="2822"/>
    </row>
    <row r="29" spans="1:66">
      <c r="A29" s="762" t="s">
        <v>1335</v>
      </c>
      <c r="B29" s="756"/>
      <c r="C29" s="3395" t="s">
        <v>1336</v>
      </c>
      <c r="D29" s="3396"/>
      <c r="E29" s="756"/>
      <c r="F29" s="762" t="s">
        <v>1336</v>
      </c>
      <c r="G29" s="756"/>
      <c r="K29" s="2822"/>
    </row>
    <row r="30" spans="1:66">
      <c r="A30" s="762" t="s">
        <v>1337</v>
      </c>
      <c r="B30" s="756"/>
      <c r="C30" s="3395" t="s">
        <v>1337</v>
      </c>
      <c r="D30" s="3396"/>
      <c r="E30" s="756"/>
      <c r="F30" s="762" t="s">
        <v>1338</v>
      </c>
      <c r="G30" s="756"/>
      <c r="K30" s="2822"/>
    </row>
    <row r="31" spans="1:66">
      <c r="A31" s="762" t="s">
        <v>1339</v>
      </c>
      <c r="B31" s="756"/>
      <c r="C31" s="3383" t="s">
        <v>1340</v>
      </c>
      <c r="D31" s="769"/>
      <c r="E31" s="2545" t="str">
        <f>E32&amp;" "&amp;E33&amp;" "&amp;E34&amp;" "&amp;E35</f>
        <v xml:space="preserve">   </v>
      </c>
      <c r="F31" s="762" t="s">
        <v>1341</v>
      </c>
      <c r="G31" s="756"/>
    </row>
    <row r="32" spans="1:66">
      <c r="A32" s="762" t="s">
        <v>1342</v>
      </c>
      <c r="B32" s="756"/>
      <c r="C32" s="3384"/>
      <c r="D32" s="259" t="s">
        <v>1343</v>
      </c>
      <c r="E32" s="756"/>
      <c r="F32" s="762" t="s">
        <v>1344</v>
      </c>
      <c r="G32" s="756"/>
    </row>
    <row r="33" spans="1:7" ht="24.75" thickBot="1">
      <c r="A33" s="763" t="s">
        <v>1345</v>
      </c>
      <c r="B33" s="760"/>
      <c r="C33" s="3384"/>
      <c r="D33" s="259" t="s">
        <v>1346</v>
      </c>
      <c r="E33" s="756"/>
      <c r="F33" s="762" t="s">
        <v>1347</v>
      </c>
      <c r="G33" s="756"/>
    </row>
    <row r="34" spans="1:7">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c r="A36" s="762" t="s">
        <v>1310</v>
      </c>
      <c r="B36" s="756"/>
      <c r="C36" s="3395" t="s">
        <v>1354</v>
      </c>
      <c r="D36" s="3396"/>
      <c r="E36" s="756"/>
      <c r="F36" s="2547" t="s">
        <v>1355</v>
      </c>
      <c r="G36" s="759"/>
    </row>
    <row r="37" spans="1:7" ht="13.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8"/>
      <c r="C42" s="3377" t="s">
        <v>1369</v>
      </c>
      <c r="D42" s="337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70" zoomScaleNormal="90" zoomScaleSheetLayoutView="70" workbookViewId="0">
      <pane xSplit="3" ySplit="11" topLeftCell="D15"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44820</v>
      </c>
      <c r="C2" s="1613"/>
      <c r="D2" s="3410"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1"/>
      <c r="E3" s="2557" t="s">
        <v>3032</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1"/>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130.13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52</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0.93</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0.05</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7.0000000000000007E-2</v>
      </c>
      <c r="C17" s="2481" t="s">
        <v>2599</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390390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0.1</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0.01</v>
      </c>
      <c r="F25" s="2591" t="s">
        <v>2604</v>
      </c>
      <c r="I25" s="2886"/>
    </row>
    <row r="26" spans="1:41" ht="15" thickBot="1">
      <c r="A26" s="2864" t="s">
        <v>1417</v>
      </c>
      <c r="B26" s="2868">
        <f>B22-B23</f>
        <v>0</v>
      </c>
      <c r="D26" s="2848" t="s">
        <v>1420</v>
      </c>
      <c r="E26" s="2583">
        <v>0.01</v>
      </c>
      <c r="F26" s="2591" t="s">
        <v>2604</v>
      </c>
      <c r="G26" s="2887"/>
      <c r="H26" s="2887"/>
      <c r="I26" s="1613"/>
      <c r="J26" s="1613"/>
      <c r="K26" s="1613"/>
      <c r="L26" s="1613"/>
      <c r="M26" s="1613"/>
      <c r="N26" s="1613"/>
    </row>
    <row r="27" spans="1:41" ht="15.75" thickBot="1">
      <c r="A27" s="2869" t="s">
        <v>1419</v>
      </c>
      <c r="B27" s="2585">
        <v>2006</v>
      </c>
      <c r="C27" s="1613"/>
      <c r="D27" s="3072" t="s">
        <v>3036</v>
      </c>
      <c r="E27" s="2870">
        <f ca="1">IF(D27="利息：取LPR",存贷款利率!G1,存贷款利率!G1+F27)</f>
        <v>4.7500000000000001E-2</v>
      </c>
      <c r="F27" s="3073">
        <v>1.0999999999999999E-2</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3035</v>
      </c>
      <c r="D29" s="2853" t="s">
        <v>1423</v>
      </c>
      <c r="E29" s="2872">
        <f>E30+E31</f>
        <v>5.6000000000000001E-2</v>
      </c>
      <c r="F29" s="1238"/>
      <c r="G29" s="2887"/>
      <c r="H29" s="2887"/>
      <c r="K29" s="1613"/>
      <c r="N29" s="1613"/>
    </row>
    <row r="30" spans="1:41" ht="14.25">
      <c r="A30" s="2848" t="str">
        <f>IF(B29="租赁期内按合同租金","合同租金","市场租金")</f>
        <v>市场租金</v>
      </c>
      <c r="B30" s="2588">
        <v>105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3.5000000000000003E-2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52</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f>项目基本情况!C12</f>
        <v>130.13</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2" t="s">
        <v>1463</v>
      </c>
      <c r="B1" s="3413"/>
      <c r="C1" s="3413"/>
      <c r="D1" s="3413"/>
      <c r="E1" s="3413"/>
      <c r="F1" s="3413"/>
      <c r="G1" s="3413"/>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734" t="s">
        <v>3047</v>
      </c>
      <c r="D3" s="3024"/>
      <c r="E3" s="3025" t="s">
        <v>2609</v>
      </c>
      <c r="F3" s="3026" t="s">
        <v>2611</v>
      </c>
      <c r="G3" s="3027"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5"/>
      <c r="B4" s="3010" t="s">
        <v>2613</v>
      </c>
      <c r="C4" s="3028" t="s">
        <v>2614</v>
      </c>
      <c r="D4" s="3024"/>
      <c r="E4" s="3029"/>
      <c r="F4" s="3012" t="s">
        <v>2615</v>
      </c>
      <c r="G4" s="3030"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5"/>
      <c r="B5" s="3010" t="s">
        <v>2617</v>
      </c>
      <c r="C5" s="3028" t="s">
        <v>2618</v>
      </c>
      <c r="D5" s="3024"/>
      <c r="E5" s="3029"/>
      <c r="F5" s="3010" t="s">
        <v>2619</v>
      </c>
      <c r="G5" s="3030"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5"/>
      <c r="B6" s="3010" t="s">
        <v>2621</v>
      </c>
      <c r="C6" s="3030" t="s">
        <v>2616</v>
      </c>
      <c r="D6" s="3024"/>
      <c r="E6" s="3029"/>
      <c r="F6" s="3010" t="s">
        <v>2622</v>
      </c>
      <c r="G6" s="3030"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5"/>
      <c r="B7" s="3010" t="s">
        <v>2619</v>
      </c>
      <c r="C7" s="3030" t="s">
        <v>2620</v>
      </c>
      <c r="D7" s="2900"/>
      <c r="E7" s="3031"/>
      <c r="F7" s="3032" t="s">
        <v>2624</v>
      </c>
      <c r="G7" s="3033"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5"/>
      <c r="B8" s="3010" t="s">
        <v>2622</v>
      </c>
      <c r="C8" s="3736" t="s">
        <v>3050</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36">
      <c r="A9" s="3025"/>
      <c r="B9" s="3010" t="s">
        <v>2626</v>
      </c>
      <c r="C9" s="3735" t="s">
        <v>3048</v>
      </c>
      <c r="D9" s="3024"/>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4"/>
      <c r="B10" s="3014" t="s">
        <v>2627</v>
      </c>
      <c r="C10" s="3737" t="s">
        <v>3051</v>
      </c>
      <c r="D10" s="3024"/>
      <c r="E10" s="3024"/>
      <c r="F10" s="2895"/>
      <c r="G10" s="2895"/>
      <c r="H10" s="1426"/>
      <c r="I10" s="3035"/>
      <c r="J10" s="3036"/>
      <c r="K10" s="1426"/>
      <c r="L10" s="3035"/>
      <c r="M10" s="3036"/>
      <c r="N10" s="1426"/>
      <c r="O10" s="3035"/>
      <c r="P10" s="3036"/>
      <c r="Q10" s="1426"/>
      <c r="R10" s="3035"/>
      <c r="S10" s="3021"/>
      <c r="T10" s="3021"/>
      <c r="U10" s="3021"/>
      <c r="V10" s="3021"/>
      <c r="W10" s="3021"/>
      <c r="X10" s="3021"/>
      <c r="Y10" s="3021"/>
      <c r="Z10" s="3021"/>
      <c r="AA10" s="3021"/>
      <c r="AB10" s="3021"/>
      <c r="AC10" s="3021"/>
    </row>
    <row r="11" spans="1:29" s="2593" customFormat="1" ht="12.75">
      <c r="A11" s="3037"/>
      <c r="B11" s="2900"/>
      <c r="C11" s="3024"/>
      <c r="D11" s="3024"/>
      <c r="E11" s="3024"/>
      <c r="F11" s="2900"/>
      <c r="G11" s="3038"/>
      <c r="H11" s="1426"/>
      <c r="I11" s="3035"/>
      <c r="J11" s="3036"/>
      <c r="K11" s="1426"/>
      <c r="L11" s="3035"/>
      <c r="M11" s="3036"/>
      <c r="N11" s="1426"/>
      <c r="O11" s="3035"/>
      <c r="P11" s="3036"/>
      <c r="Q11" s="1426"/>
      <c r="R11" s="3035"/>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39"/>
      <c r="B14" s="3039"/>
      <c r="C14" s="3040" t="s">
        <v>2628</v>
      </c>
      <c r="D14" s="3024"/>
      <c r="E14" s="3041"/>
      <c r="F14" s="3041"/>
      <c r="G14" s="3018" t="s">
        <v>2629</v>
      </c>
      <c r="H14" s="3042"/>
      <c r="I14" s="3043"/>
      <c r="J14" s="3042"/>
      <c r="K14" s="3042"/>
      <c r="L14" s="3043"/>
      <c r="M14" s="3042"/>
      <c r="N14" s="3042"/>
      <c r="O14" s="3043"/>
      <c r="P14" s="3042"/>
      <c r="Q14" s="3042"/>
      <c r="R14" s="3044"/>
      <c r="S14" s="3021"/>
      <c r="T14" s="3021"/>
      <c r="U14" s="3021"/>
      <c r="V14" s="3021"/>
      <c r="W14" s="3021"/>
      <c r="X14" s="3021"/>
      <c r="Y14" s="3021"/>
      <c r="Z14" s="3021"/>
      <c r="AA14" s="3021"/>
      <c r="AB14" s="3021"/>
      <c r="AC14" s="3021"/>
    </row>
    <row r="15" spans="1:29" s="2552" customFormat="1" ht="38.25">
      <c r="A15" s="3045" t="s">
        <v>2630</v>
      </c>
      <c r="B15" s="3046" t="s">
        <v>2610</v>
      </c>
      <c r="C15" s="3047" t="str">
        <f>C3</f>
        <v>估价对象周边有首信小区、亮马嘉园、兆维小区等，综合评价居住社区成熟度较好</v>
      </c>
      <c r="D15" s="3024"/>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21"/>
      <c r="T15" s="3021"/>
      <c r="U15" s="3021"/>
      <c r="V15" s="3021"/>
      <c r="W15" s="3021"/>
      <c r="X15" s="3021"/>
      <c r="Y15" s="3021"/>
      <c r="Z15" s="3021"/>
      <c r="AA15" s="3021"/>
      <c r="AB15" s="3021"/>
      <c r="AC15" s="3021"/>
    </row>
    <row r="16" spans="1:29" s="2552" customFormat="1" ht="25.5">
      <c r="A16" s="3050"/>
      <c r="B16" s="2492" t="s">
        <v>2613</v>
      </c>
      <c r="C16" s="3051" t="str">
        <f>C4</f>
        <v>估价对象位于XX商圈，周边商业氛围成熟，人流量大，商业繁华度好</v>
      </c>
      <c r="D16" s="3024"/>
      <c r="E16" s="3052"/>
      <c r="F16" s="3011" t="s">
        <v>2615</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21"/>
      <c r="T16" s="3021"/>
      <c r="U16" s="3021"/>
      <c r="V16" s="3021"/>
      <c r="W16" s="3021"/>
      <c r="X16" s="3021"/>
      <c r="Y16" s="3021"/>
      <c r="Z16" s="3021"/>
      <c r="AA16" s="3021"/>
      <c r="AB16" s="3021"/>
      <c r="AC16" s="3021"/>
    </row>
    <row r="17" spans="1:29" s="2552" customFormat="1" ht="25.5">
      <c r="A17" s="3050"/>
      <c r="B17" s="2492" t="s">
        <v>2617</v>
      </c>
      <c r="C17" s="3051" t="str">
        <f>C5</f>
        <v>估价对象位于XX商圈，周边办公楼项目较多，入驻率高，办公集聚程度较好</v>
      </c>
      <c r="D17" s="2900"/>
      <c r="E17" s="3052"/>
      <c r="F17" s="3322" t="s">
        <v>3027</v>
      </c>
      <c r="G17" s="3054"/>
      <c r="H17" s="3042"/>
      <c r="I17" s="3043"/>
      <c r="J17" s="3042"/>
      <c r="K17" s="3042"/>
      <c r="L17" s="3043"/>
      <c r="M17" s="3042"/>
      <c r="N17" s="3042"/>
      <c r="O17" s="3043"/>
      <c r="P17" s="3042"/>
      <c r="Q17" s="3042"/>
      <c r="R17" s="3044"/>
      <c r="S17" s="3021"/>
      <c r="T17" s="3021"/>
      <c r="U17" s="3021"/>
      <c r="V17" s="3021"/>
      <c r="W17" s="3021"/>
      <c r="X17" s="3021"/>
      <c r="Y17" s="3021"/>
      <c r="Z17" s="3021"/>
      <c r="AA17" s="3021"/>
      <c r="AB17" s="3021"/>
      <c r="AC17" s="3021"/>
    </row>
    <row r="18" spans="1:29" s="2552" customFormat="1" ht="38.25">
      <c r="A18" s="3050"/>
      <c r="B18" s="3011" t="s">
        <v>2621</v>
      </c>
      <c r="C18" s="3053" t="str">
        <f>C6</f>
        <v>估价对象周边道路状况、公共交通通达情况、停车便捷程度，综合评价交通便捷度较好</v>
      </c>
      <c r="D18" s="2900"/>
      <c r="E18" s="3052"/>
      <c r="F18" s="3011" t="s">
        <v>2624</v>
      </c>
      <c r="G18" s="3053" t="str">
        <f>G7</f>
        <v>该园区内是否有污染型企业，绿化情况，卫生条件，整体环境状况判断</v>
      </c>
      <c r="H18" s="3042"/>
      <c r="I18" s="3043"/>
      <c r="J18" s="3042"/>
      <c r="K18" s="3042"/>
      <c r="L18" s="3043"/>
      <c r="M18" s="3042"/>
      <c r="N18" s="3042"/>
      <c r="O18" s="3043"/>
      <c r="P18" s="3042"/>
      <c r="Q18" s="3042"/>
      <c r="R18" s="3044"/>
      <c r="S18" s="3021"/>
      <c r="T18" s="3021"/>
      <c r="U18" s="3021"/>
      <c r="V18" s="3021"/>
      <c r="W18" s="3021"/>
      <c r="X18" s="3021"/>
      <c r="Y18" s="3021"/>
      <c r="Z18" s="3021"/>
      <c r="AA18" s="3021"/>
      <c r="AB18" s="3021"/>
      <c r="AC18" s="3021"/>
    </row>
    <row r="19" spans="1:29" s="2552" customFormat="1" ht="12.75">
      <c r="A19" s="3050"/>
      <c r="B19" s="3322" t="s">
        <v>3026</v>
      </c>
      <c r="C19" s="3054"/>
      <c r="D19" s="3024"/>
      <c r="E19" s="3052"/>
      <c r="F19" s="3010" t="s">
        <v>2619</v>
      </c>
      <c r="G19" s="3053" t="str">
        <f>G5</f>
        <v>估价对象所在区域公共配套设施齐备情况</v>
      </c>
      <c r="H19" s="3042"/>
      <c r="I19" s="3043"/>
      <c r="J19" s="3042"/>
      <c r="K19" s="3042"/>
      <c r="L19" s="3043"/>
      <c r="M19" s="3042"/>
      <c r="N19" s="3042"/>
      <c r="O19" s="3043"/>
      <c r="P19" s="3042"/>
      <c r="Q19" s="3042"/>
      <c r="R19" s="3044"/>
      <c r="S19" s="3021"/>
      <c r="T19" s="3021"/>
      <c r="U19" s="3021"/>
      <c r="V19" s="3021"/>
      <c r="W19" s="3021"/>
      <c r="X19" s="3021"/>
      <c r="Y19" s="3021"/>
      <c r="Z19" s="3021"/>
      <c r="AA19" s="3021"/>
      <c r="AB19" s="3021"/>
      <c r="AC19" s="3021"/>
    </row>
    <row r="20" spans="1:29" s="2552" customFormat="1" ht="25.5">
      <c r="A20" s="3050"/>
      <c r="B20" s="3011" t="s">
        <v>2633</v>
      </c>
      <c r="C20" s="3051" t="str">
        <f>C9</f>
        <v>区域自然环境：亮马河、东风公园等；人文环境；东风艺术区、七棵树创意园，综合评价环境状况较好</v>
      </c>
      <c r="D20" s="2900"/>
      <c r="E20" s="3052"/>
      <c r="F20" s="3010" t="s">
        <v>2622</v>
      </c>
      <c r="G20" s="3053" t="str">
        <f>G6</f>
        <v>估价对象所在区域基础设施水平</v>
      </c>
      <c r="H20" s="3042"/>
      <c r="I20" s="3043"/>
      <c r="J20" s="3042"/>
      <c r="K20" s="3042"/>
      <c r="L20" s="3043"/>
      <c r="M20" s="3042"/>
      <c r="N20" s="3042"/>
      <c r="O20" s="3043"/>
      <c r="P20" s="3042"/>
      <c r="Q20" s="3042"/>
      <c r="R20" s="3044"/>
      <c r="S20" s="3021"/>
      <c r="T20" s="3021"/>
      <c r="U20" s="3021"/>
      <c r="V20" s="3021"/>
      <c r="W20" s="3021"/>
      <c r="X20" s="3021"/>
      <c r="Y20" s="3021"/>
      <c r="Z20" s="3021"/>
      <c r="AA20" s="3021"/>
      <c r="AB20" s="3021"/>
      <c r="AC20" s="3021"/>
    </row>
    <row r="21" spans="1:29" s="2552" customFormat="1" ht="25.5">
      <c r="A21" s="3050"/>
      <c r="B21" s="3010" t="s">
        <v>2619</v>
      </c>
      <c r="C21" s="3053" t="str">
        <f>C7</f>
        <v>估价对象所在区域公共配套设施齐备情况</v>
      </c>
      <c r="D21" s="3024"/>
      <c r="E21" s="3052"/>
      <c r="F21" s="3011" t="s">
        <v>2634</v>
      </c>
      <c r="G21" s="3055"/>
      <c r="H21" s="3042"/>
      <c r="I21" s="3043"/>
      <c r="J21" s="3042"/>
      <c r="K21" s="3042"/>
      <c r="L21" s="3043"/>
      <c r="M21" s="3042"/>
      <c r="N21" s="3042"/>
      <c r="O21" s="3043"/>
      <c r="P21" s="3042"/>
      <c r="Q21" s="3042"/>
      <c r="R21" s="3044"/>
      <c r="S21" s="3021"/>
      <c r="T21" s="3021"/>
      <c r="U21" s="3021"/>
      <c r="V21" s="3021"/>
      <c r="W21" s="3021"/>
      <c r="X21" s="3021"/>
      <c r="Y21" s="3021"/>
      <c r="Z21" s="3021"/>
      <c r="AA21" s="3021"/>
      <c r="AB21" s="3021"/>
      <c r="AC21" s="3021"/>
    </row>
    <row r="22" spans="1:29" s="2552" customFormat="1" ht="12.75">
      <c r="A22" s="3050"/>
      <c r="B22" s="3010" t="s">
        <v>2622</v>
      </c>
      <c r="C22" s="3053" t="str">
        <f>C8</f>
        <v>七通</v>
      </c>
      <c r="D22" s="3024"/>
      <c r="E22" s="3052"/>
      <c r="F22" s="3011" t="s">
        <v>2627</v>
      </c>
      <c r="G22" s="3056"/>
      <c r="H22" s="3042"/>
      <c r="I22" s="3043"/>
      <c r="J22" s="3042"/>
      <c r="K22" s="3042"/>
      <c r="L22" s="3043"/>
      <c r="M22" s="3042"/>
      <c r="N22" s="3042"/>
      <c r="O22" s="3043"/>
      <c r="P22" s="3042"/>
      <c r="Q22" s="3042"/>
      <c r="R22" s="3044"/>
      <c r="S22" s="3021"/>
      <c r="T22" s="3021"/>
      <c r="U22" s="3021"/>
      <c r="V22" s="3021"/>
      <c r="W22" s="3021"/>
      <c r="X22" s="3021"/>
      <c r="Y22" s="3021"/>
      <c r="Z22" s="3021"/>
      <c r="AA22" s="3021"/>
      <c r="AB22" s="3021"/>
      <c r="AC22" s="3021"/>
    </row>
    <row r="23" spans="1:29" s="3021" customFormat="1" ht="13.5" thickBot="1">
      <c r="A23" s="3050"/>
      <c r="B23" s="3011" t="s">
        <v>2634</v>
      </c>
      <c r="C23" s="3055"/>
      <c r="D23" s="3042"/>
      <c r="E23" s="3057"/>
      <c r="F23" s="3013" t="s">
        <v>2635</v>
      </c>
      <c r="G23" s="3058"/>
      <c r="H23" s="3042"/>
      <c r="I23" s="3043"/>
      <c r="J23" s="3042"/>
      <c r="K23" s="3042"/>
      <c r="L23" s="3043"/>
      <c r="M23" s="3042"/>
      <c r="N23" s="3042"/>
      <c r="O23" s="3043"/>
      <c r="P23" s="3042"/>
      <c r="Q23" s="3042"/>
      <c r="R23" s="3044"/>
    </row>
    <row r="24" spans="1:29" s="3021" customFormat="1" ht="13.5" thickBot="1">
      <c r="A24" s="3059"/>
      <c r="B24" s="3013" t="s">
        <v>2636</v>
      </c>
      <c r="C24" s="3060" t="str">
        <f>C10</f>
        <v>城市支路——驼房营南路</v>
      </c>
      <c r="D24" s="3042"/>
      <c r="E24" s="3061"/>
      <c r="F24" s="3061"/>
      <c r="G24" s="3062"/>
      <c r="H24" s="3042"/>
      <c r="I24" s="3043"/>
      <c r="J24" s="3042"/>
      <c r="K24" s="3042"/>
      <c r="L24" s="3043"/>
      <c r="M24" s="3042"/>
      <c r="N24" s="3042"/>
      <c r="O24" s="3043"/>
      <c r="P24" s="3042"/>
      <c r="Q24" s="3042"/>
      <c r="R24" s="3044"/>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130.13</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44820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807.70389999999998</v>
      </c>
      <c r="C5" s="2499">
        <f ca="1">ROUND(B5*10000/$B$1,0)</f>
        <v>62069</v>
      </c>
      <c r="D5" s="2499" t="e">
        <f ca="1">ROUND(B5*10000/$B$2,0)</f>
        <v>#DIV/0!</v>
      </c>
      <c r="E5" s="1562"/>
      <c r="F5" s="2500"/>
      <c r="G5" s="2500"/>
    </row>
    <row r="6" spans="1:9" ht="16.5">
      <c r="A6" s="2499" t="s">
        <v>981</v>
      </c>
      <c r="B6" s="2499">
        <f ca="1">SUM(G14:G23)</f>
        <v>807.70389999999998</v>
      </c>
      <c r="C6" s="2499">
        <f t="shared" ref="C6:C8" ca="1" si="0">ROUND(B6*10000/$B$1,0)</f>
        <v>62069</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3028</v>
      </c>
      <c r="B14" s="2835">
        <f>项目基本情况!C12</f>
        <v>130.13</v>
      </c>
      <c r="C14" s="2835">
        <f>项目基本情况!C13</f>
        <v>0</v>
      </c>
      <c r="D14" s="2835">
        <f ca="1">IF('数据-取费表'!B3="万元",IF(A14="估价对象1（结果表）",结果表!H121,'结果表 (1修多)'!H125),IF(A14="估价对象1（结果表）",结果表!H121,'结果表 (1修多)'!H125)/10000)</f>
        <v>807.70389999999998</v>
      </c>
      <c r="E14" s="2835">
        <f ca="1">ROUND(D14*10000/B14,0)</f>
        <v>62069</v>
      </c>
      <c r="F14" s="2835" t="e">
        <f ca="1">ROUND(D14*10000/C14,0)</f>
        <v>#DIV/0!</v>
      </c>
      <c r="G14" s="2835">
        <f ca="1">IF('数据-取费表'!B3="万元",IF(A14="估价对象1（结果表）",结果表!D125,'结果表 (1修多)'!D129),IF(A14="估价对象1（结果表）",结果表!D125,'结果表 (1修多)'!D129)/10000)</f>
        <v>807.70389999999998</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69" t="str">
        <f>项目基本情况!B1</f>
        <v>北京市预评估</v>
      </c>
      <c r="B2" s="3469"/>
      <c r="C2" s="3469"/>
      <c r="D2" s="3469"/>
      <c r="E2" s="3469"/>
      <c r="F2" s="3469"/>
      <c r="G2" s="3469"/>
      <c r="H2" s="3469"/>
      <c r="I2" s="3469"/>
      <c r="J2" s="2762"/>
    </row>
    <row r="3" spans="1:15" ht="12.75">
      <c r="A3" s="3472" t="s">
        <v>1471</v>
      </c>
      <c r="B3" s="3473"/>
      <c r="C3" s="3473"/>
      <c r="D3" s="3473"/>
      <c r="E3" s="3473"/>
      <c r="F3" s="3473"/>
      <c r="G3" s="3473"/>
      <c r="H3" s="3473"/>
      <c r="I3" s="3473"/>
      <c r="J3" s="2763"/>
    </row>
    <row r="4" spans="1:15" ht="14.25">
      <c r="A4" s="2631" t="s">
        <v>1472</v>
      </c>
      <c r="B4" s="2631" t="s">
        <v>1473</v>
      </c>
      <c r="C4" s="2632" t="s">
        <v>3037</v>
      </c>
      <c r="D4" s="2632" t="s">
        <v>3038</v>
      </c>
      <c r="E4" s="3418" t="s">
        <v>1474</v>
      </c>
      <c r="F4" s="3456"/>
      <c r="G4" s="3456"/>
      <c r="H4" s="3456"/>
      <c r="I4" s="3457"/>
      <c r="J4" s="2764"/>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49" t="s">
        <v>1475</v>
      </c>
      <c r="B5" s="3449">
        <v>25</v>
      </c>
      <c r="C5" s="3458">
        <v>2</v>
      </c>
      <c r="D5" s="3471">
        <f>10-C5</f>
        <v>8</v>
      </c>
      <c r="E5" s="12" t="s">
        <v>1476</v>
      </c>
      <c r="F5" s="2017"/>
      <c r="G5" s="2017"/>
      <c r="H5" s="2017"/>
      <c r="I5" s="2012"/>
      <c r="J5" s="2764"/>
    </row>
    <row r="6" spans="1:15" ht="12.75">
      <c r="A6" s="3449"/>
      <c r="B6" s="3449"/>
      <c r="C6" s="3474"/>
      <c r="D6" s="3471"/>
      <c r="E6" s="12" t="s">
        <v>1477</v>
      </c>
      <c r="F6" s="2017"/>
      <c r="G6" s="2017"/>
      <c r="H6" s="2017"/>
      <c r="I6" s="2012"/>
      <c r="J6" s="2764"/>
    </row>
    <row r="7" spans="1:15" ht="12.75">
      <c r="A7" s="3449"/>
      <c r="B7" s="3449"/>
      <c r="C7" s="3459"/>
      <c r="D7" s="3471"/>
      <c r="E7" s="12" t="s">
        <v>1478</v>
      </c>
      <c r="F7" s="2017"/>
      <c r="G7" s="2017"/>
      <c r="H7" s="2017"/>
      <c r="I7" s="2012"/>
      <c r="J7" s="2764"/>
    </row>
    <row r="8" spans="1:15" ht="12.75">
      <c r="A8" s="3449" t="s">
        <v>1479</v>
      </c>
      <c r="B8" s="3449">
        <v>15</v>
      </c>
      <c r="C8" s="3458"/>
      <c r="D8" s="3471"/>
      <c r="E8" s="12" t="s">
        <v>1480</v>
      </c>
      <c r="F8" s="2017"/>
      <c r="G8" s="2017"/>
      <c r="H8" s="2017"/>
      <c r="I8" s="2012"/>
      <c r="J8" s="2764"/>
    </row>
    <row r="9" spans="1:15" ht="12.75">
      <c r="A9" s="3449"/>
      <c r="B9" s="3449"/>
      <c r="C9" s="3459"/>
      <c r="D9" s="3471"/>
      <c r="E9" s="12" t="s">
        <v>1481</v>
      </c>
      <c r="F9" s="2017"/>
      <c r="G9" s="2017"/>
      <c r="H9" s="2017"/>
      <c r="I9" s="2012"/>
      <c r="J9" s="2764"/>
    </row>
    <row r="10" spans="1:15" ht="12.75">
      <c r="A10" s="3449" t="s">
        <v>1482</v>
      </c>
      <c r="B10" s="3449">
        <v>15</v>
      </c>
      <c r="C10" s="3458"/>
      <c r="D10" s="3471"/>
      <c r="E10" s="12" t="s">
        <v>1483</v>
      </c>
      <c r="F10" s="2017"/>
      <c r="G10" s="2017"/>
      <c r="H10" s="2017"/>
      <c r="I10" s="2012"/>
      <c r="J10" s="2764"/>
    </row>
    <row r="11" spans="1:15" ht="12.75">
      <c r="A11" s="3449"/>
      <c r="B11" s="3449"/>
      <c r="C11" s="3459"/>
      <c r="D11" s="3471"/>
      <c r="E11" s="12" t="s">
        <v>1484</v>
      </c>
      <c r="F11" s="2017"/>
      <c r="G11" s="2017"/>
      <c r="H11" s="2017"/>
      <c r="I11" s="2012"/>
      <c r="J11" s="2764"/>
    </row>
    <row r="12" spans="1:15" ht="12.75">
      <c r="A12" s="3449" t="s">
        <v>1485</v>
      </c>
      <c r="B12" s="3449">
        <v>15</v>
      </c>
      <c r="C12" s="3458"/>
      <c r="D12" s="3471"/>
      <c r="E12" s="12" t="s">
        <v>1486</v>
      </c>
      <c r="F12" s="2017"/>
      <c r="G12" s="2017"/>
      <c r="H12" s="2017"/>
      <c r="I12" s="2012"/>
      <c r="J12" s="2764"/>
    </row>
    <row r="13" spans="1:15" ht="12.75">
      <c r="A13" s="3449"/>
      <c r="B13" s="3449"/>
      <c r="C13" s="3459"/>
      <c r="D13" s="3471"/>
      <c r="E13" s="12" t="s">
        <v>1487</v>
      </c>
      <c r="F13" s="2017"/>
      <c r="G13" s="2017"/>
      <c r="H13" s="2017"/>
      <c r="I13" s="2012"/>
      <c r="J13" s="2764"/>
    </row>
    <row r="14" spans="1:15" ht="12.75">
      <c r="A14" s="3449" t="s">
        <v>1488</v>
      </c>
      <c r="B14" s="3449">
        <v>30</v>
      </c>
      <c r="C14" s="3458"/>
      <c r="D14" s="3471"/>
      <c r="E14" s="12" t="s">
        <v>1489</v>
      </c>
      <c r="F14" s="2017"/>
      <c r="G14" s="2017"/>
      <c r="H14" s="2017"/>
      <c r="I14" s="2012"/>
      <c r="J14" s="2764"/>
    </row>
    <row r="15" spans="1:15" ht="12.75">
      <c r="A15" s="3449"/>
      <c r="B15" s="3449"/>
      <c r="C15" s="3474"/>
      <c r="D15" s="3471"/>
      <c r="E15" s="12" t="s">
        <v>1490</v>
      </c>
      <c r="F15" s="2017"/>
      <c r="G15" s="2017"/>
      <c r="H15" s="2017"/>
      <c r="I15" s="2012"/>
      <c r="J15" s="2764"/>
    </row>
    <row r="16" spans="1:15" ht="12.75">
      <c r="A16" s="3449"/>
      <c r="B16" s="3449"/>
      <c r="C16" s="3459"/>
      <c r="D16" s="3471"/>
      <c r="E16" s="12" t="s">
        <v>1491</v>
      </c>
      <c r="F16" s="2017"/>
      <c r="G16" s="2017"/>
      <c r="H16" s="2017"/>
      <c r="I16" s="2012"/>
      <c r="J16" s="2764"/>
    </row>
    <row r="17" spans="1:36" ht="15">
      <c r="A17" s="2633" t="s">
        <v>1492</v>
      </c>
      <c r="B17" s="2022"/>
      <c r="C17" s="2634">
        <f>SUM(C5:C16)</f>
        <v>2</v>
      </c>
      <c r="D17" s="2634">
        <f>SUM(D5:D16)</f>
        <v>8</v>
      </c>
      <c r="E17" s="2481"/>
      <c r="F17" s="2481"/>
      <c r="G17" s="2481"/>
      <c r="H17" s="2481"/>
      <c r="I17" s="2481"/>
      <c r="J17" s="2765"/>
    </row>
    <row r="18" spans="1:36" ht="30" customHeight="1" thickBot="1">
      <c r="A18" s="2635" t="s">
        <v>1493</v>
      </c>
      <c r="B18" s="2636"/>
      <c r="C18" s="2637">
        <f>ROUND(C17/SUM(C17:D17),2)</f>
        <v>0.2</v>
      </c>
      <c r="D18" s="2637">
        <f>1-C18</f>
        <v>0.8</v>
      </c>
      <c r="E18" s="3467" t="s">
        <v>2576</v>
      </c>
      <c r="F18" s="3468"/>
      <c r="G18" s="3468"/>
      <c r="H18" s="3468"/>
      <c r="I18" s="3468"/>
      <c r="J18" s="2765"/>
    </row>
    <row r="19" spans="1:36" ht="15">
      <c r="A19" s="2638" t="s">
        <v>1494</v>
      </c>
      <c r="B19" s="2639" t="s">
        <v>1495</v>
      </c>
      <c r="C19" s="2640">
        <f ca="1">SUMIF(INDIRECT("'"&amp;C4&amp;"'"&amp;"!A:A"),结果表!B19,INDIRECT("'"&amp;C4&amp;"'"&amp;"!B:B"))</f>
        <v>4772745</v>
      </c>
      <c r="D19" s="2641">
        <f ca="1">SUMIF(INDIRECT("'"&amp;D4&amp;"'"&amp;"!A:A"),结果表!B19,INDIRECT("'"&amp;D4&amp;"'"&amp;"!B:B"))</f>
        <v>8903104</v>
      </c>
      <c r="E19" s="2638" t="s">
        <v>1496</v>
      </c>
      <c r="F19" s="2639" t="s">
        <v>1495</v>
      </c>
      <c r="G19" s="2642">
        <f ca="1">ROUND(C19*$C$18+D19*$D$18,0)</f>
        <v>8077032</v>
      </c>
      <c r="H19" s="2643" t="str">
        <f>'数据-取费表'!B3</f>
        <v>元</v>
      </c>
      <c r="I19" s="2691"/>
      <c r="J19" s="2766"/>
    </row>
    <row r="20" spans="1:36" ht="15">
      <c r="A20" s="2644"/>
      <c r="B20" s="1622" t="s">
        <v>1497</v>
      </c>
      <c r="C20" s="1847">
        <f ca="1">SUMIF(INDIRECT("'"&amp;C4&amp;"'"&amp;"!A:A"),结果表!B20,INDIRECT("'"&amp;C4&amp;"'"&amp;"!B:B"))</f>
        <v>36677</v>
      </c>
      <c r="D20" s="1850">
        <f ca="1">SUMIF(INDIRECT("'"&amp;D4&amp;"'"&amp;"!A:A"),结果表!B20,INDIRECT("'"&amp;D4&amp;"'"&amp;"!B:B"))</f>
        <v>68417</v>
      </c>
      <c r="E20" s="2644"/>
      <c r="F20" s="1622" t="s">
        <v>1497</v>
      </c>
      <c r="G20" s="2021">
        <f ca="1">ROUND(C20*$C$18+D20*$D$18,0)</f>
        <v>62069</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0.86540533801826824</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0" t="s">
        <v>1500</v>
      </c>
      <c r="B24" s="2639" t="s">
        <v>1495</v>
      </c>
      <c r="C24" s="2642">
        <f>D30</f>
        <v>0</v>
      </c>
      <c r="D24" s="2594"/>
      <c r="E24" s="905"/>
      <c r="F24" s="905"/>
      <c r="G24" s="905"/>
      <c r="H24" s="905"/>
      <c r="I24" s="905"/>
      <c r="J24" s="2765"/>
    </row>
    <row r="25" spans="1:36" ht="21.75" customHeight="1">
      <c r="A25" s="347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62069</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55862</v>
      </c>
      <c r="D34" s="2668">
        <f ca="1">IF(D33="自定义",ROUND(C34/C32,3),1-D35)</f>
        <v>0.9</v>
      </c>
      <c r="E34" s="1363" t="s">
        <v>1510</v>
      </c>
      <c r="F34" s="2669">
        <v>2000</v>
      </c>
      <c r="G34" s="905"/>
      <c r="H34" s="905"/>
      <c r="I34" s="905"/>
      <c r="J34" s="2765"/>
    </row>
    <row r="35" spans="1:17" ht="15.75" thickBot="1">
      <c r="A35" s="1395"/>
      <c r="B35" s="2670" t="s">
        <v>1511</v>
      </c>
      <c r="C35" s="2671">
        <f ca="1">IF(D33="自定义",F35,ROUND(C32*D35,0))</f>
        <v>6207</v>
      </c>
      <c r="D35" s="2672">
        <f ca="1">IF(D33="自定义",ROUND(C35/C32,3),IF(D33="成本法成本比率",成本法!C56,IF(D33="收益法收益比率",收益法!J38,收益法!J41)))</f>
        <v>0.1</v>
      </c>
      <c r="E35" s="2673" t="s">
        <v>1512</v>
      </c>
      <c r="F35" s="2674">
        <v>4460</v>
      </c>
      <c r="G35" s="905"/>
      <c r="H35" s="905"/>
      <c r="I35" s="905"/>
      <c r="J35" s="2765"/>
    </row>
    <row r="36" spans="1:17" ht="15.75" thickBot="1">
      <c r="A36" s="3460" t="s">
        <v>1513</v>
      </c>
      <c r="B36" s="1396" t="s">
        <v>1514</v>
      </c>
      <c r="C36" s="2675">
        <v>0</v>
      </c>
      <c r="D36" s="2676"/>
      <c r="E36" s="1608"/>
      <c r="F36" s="1608"/>
      <c r="G36" s="905"/>
      <c r="H36" s="905"/>
      <c r="I36" s="905"/>
      <c r="J36" s="2765"/>
    </row>
    <row r="37" spans="1:17" ht="15.75" thickBot="1">
      <c r="A37" s="3461"/>
      <c r="B37" s="2022" t="s">
        <v>1515</v>
      </c>
      <c r="C37" s="2677">
        <v>0</v>
      </c>
      <c r="D37" s="1239"/>
      <c r="E37" s="1239"/>
      <c r="F37" s="1608"/>
      <c r="G37" s="1239"/>
      <c r="H37" s="1239"/>
      <c r="I37" s="1239"/>
      <c r="J37" s="2769"/>
    </row>
    <row r="38" spans="1:17" ht="15.75" thickBot="1">
      <c r="A38" s="346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4" t="s">
        <v>1524</v>
      </c>
      <c r="B45" s="3465"/>
      <c r="C45" s="3424"/>
      <c r="D45" s="246">
        <f ca="1">ROUND(I102*F45,0)</f>
        <v>8077039</v>
      </c>
      <c r="E45" s="1470" t="s">
        <v>1525</v>
      </c>
      <c r="F45" s="2479">
        <v>1</v>
      </c>
      <c r="G45" s="2480" t="s">
        <v>1526</v>
      </c>
      <c r="H45" s="905"/>
      <c r="I45" s="905"/>
      <c r="J45" s="2765"/>
      <c r="K45" s="3518" t="s">
        <v>2505</v>
      </c>
      <c r="L45" s="3518"/>
      <c r="M45" s="3518"/>
      <c r="N45" s="3518"/>
      <c r="O45" s="3518"/>
      <c r="P45" s="3518"/>
      <c r="Q45" s="1236"/>
    </row>
    <row r="46" spans="1:17" ht="14.25" customHeight="1">
      <c r="A46" s="3453" t="s">
        <v>1528</v>
      </c>
      <c r="B46" s="3454"/>
      <c r="C46" s="3454"/>
      <c r="D46" s="3454"/>
      <c r="E46" s="3454"/>
      <c r="F46" s="3454"/>
      <c r="G46" s="3455"/>
      <c r="H46" s="2897"/>
      <c r="I46" s="905"/>
      <c r="J46" s="2765"/>
      <c r="K46" s="2454">
        <v>1</v>
      </c>
      <c r="L46" s="3519" t="s">
        <v>2506</v>
      </c>
      <c r="M46" s="3519"/>
      <c r="N46" s="3520" t="str">
        <f>项目基本情况!B1</f>
        <v>北京市预评估</v>
      </c>
      <c r="O46" s="3520"/>
      <c r="P46" s="3520"/>
      <c r="Q46" s="1236"/>
    </row>
    <row r="47" spans="1:17" ht="12" customHeight="1">
      <c r="A47" s="38" t="s">
        <v>1530</v>
      </c>
      <c r="B47" s="39"/>
      <c r="C47" s="40"/>
      <c r="D47" s="1028" t="s">
        <v>1531</v>
      </c>
      <c r="E47" s="235" t="s">
        <v>1532</v>
      </c>
      <c r="F47" s="41" t="s">
        <v>1533</v>
      </c>
      <c r="G47" s="2482" t="s">
        <v>1534</v>
      </c>
      <c r="H47" s="2897"/>
      <c r="I47" s="905"/>
      <c r="J47" s="2765"/>
      <c r="K47" s="2454">
        <v>2</v>
      </c>
      <c r="L47" s="3519" t="s">
        <v>2507</v>
      </c>
      <c r="M47" s="3519"/>
      <c r="N47" s="3521">
        <f>'数据-取费表'!B2</f>
        <v>44820</v>
      </c>
      <c r="O47" s="3521"/>
      <c r="P47" s="3521"/>
      <c r="Q47" s="1236"/>
    </row>
    <row r="48" spans="1:17" ht="25.5">
      <c r="A48" s="3463" t="s">
        <v>1536</v>
      </c>
      <c r="B48" s="3417"/>
      <c r="C48" s="3417"/>
      <c r="D48" s="12">
        <f ca="1">IF(H48="情况1",0,IF(H48="情况2",D52,IF(H48="情况3",D53,IF(H48="情况4",D54))))</f>
        <v>430775</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19" t="s">
        <v>2508</v>
      </c>
      <c r="M48" s="3519"/>
      <c r="N48" s="3520">
        <f ca="1">I102</f>
        <v>8077039</v>
      </c>
      <c r="O48" s="3520"/>
      <c r="P48" s="3520"/>
      <c r="Q48" s="1236"/>
    </row>
    <row r="49" spans="1:17" ht="25.5" customHeight="1">
      <c r="A49" s="2019" t="s">
        <v>1540</v>
      </c>
      <c r="B49" s="3456" t="s">
        <v>1541</v>
      </c>
      <c r="C49" s="3456"/>
      <c r="D49" s="2486">
        <v>0</v>
      </c>
      <c r="E49" s="261" t="s">
        <v>1542</v>
      </c>
      <c r="F49" s="2487" t="s">
        <v>48</v>
      </c>
      <c r="G49" s="3513"/>
      <c r="H49" s="2488" t="s">
        <v>2582</v>
      </c>
      <c r="I49" s="2489"/>
      <c r="J49" s="2773"/>
      <c r="K49" s="2454">
        <v>4</v>
      </c>
      <c r="L49" s="3519" t="str">
        <f>IF(项目基本情况!F5="房地产抵押价值","房地产抵押价值","抵押担保权已注销时的房地产抵押价值")</f>
        <v>抵押担保权已注销时的房地产抵押价值</v>
      </c>
      <c r="M49" s="3519"/>
      <c r="N49" s="3520" t="str">
        <f>IF(项目基本情况!F5="房地产抵押价值",I110,I112)</f>
        <v>——</v>
      </c>
      <c r="O49" s="3520"/>
      <c r="P49" s="3520"/>
      <c r="Q49" s="1236"/>
    </row>
    <row r="50" spans="1:17" ht="25.5" customHeight="1">
      <c r="A50" s="2009"/>
      <c r="B50" s="3456" t="s">
        <v>1543</v>
      </c>
      <c r="C50" s="3456"/>
      <c r="D50" s="2490"/>
      <c r="E50" s="269"/>
      <c r="F50" s="2487"/>
      <c r="G50" s="3514"/>
      <c r="H50" s="2491" t="s">
        <v>2501</v>
      </c>
      <c r="I50" s="2489"/>
      <c r="J50" s="2773"/>
      <c r="K50" s="3519" t="s">
        <v>2509</v>
      </c>
      <c r="L50" s="3519"/>
      <c r="M50" s="3519"/>
      <c r="N50" s="3519"/>
      <c r="O50" s="3519"/>
      <c r="P50" s="3519"/>
      <c r="Q50" s="1236"/>
    </row>
    <row r="51" spans="1:17" ht="20.45" customHeight="1">
      <c r="A51" s="2492"/>
      <c r="B51" s="3456" t="s">
        <v>1545</v>
      </c>
      <c r="C51" s="3456"/>
      <c r="D51" s="1028"/>
      <c r="E51" s="264"/>
      <c r="F51" s="2487"/>
      <c r="G51" s="3515"/>
      <c r="H51" s="2491" t="s">
        <v>2502</v>
      </c>
      <c r="I51" s="2489"/>
      <c r="J51" s="2773"/>
      <c r="K51" s="2455" t="s">
        <v>2510</v>
      </c>
      <c r="L51" s="3519" t="s">
        <v>2511</v>
      </c>
      <c r="M51" s="3519"/>
      <c r="N51" s="2455" t="s">
        <v>2512</v>
      </c>
      <c r="O51" s="2455" t="s">
        <v>2513</v>
      </c>
      <c r="P51" s="2455" t="s">
        <v>2514</v>
      </c>
      <c r="Q51" s="1236"/>
    </row>
    <row r="52" spans="1:17" ht="24" customHeight="1">
      <c r="A52" s="2010" t="s">
        <v>1551</v>
      </c>
      <c r="B52" s="3456" t="s">
        <v>1552</v>
      </c>
      <c r="C52" s="3456"/>
      <c r="D52" s="1028">
        <f ca="1">ROUND(D45*'数据-取费表'!E29/(1+'数据-取费表'!F30),0)</f>
        <v>430775</v>
      </c>
      <c r="E52" s="2020" t="s">
        <v>1553</v>
      </c>
      <c r="F52" s="2493">
        <f>'数据-取费表'!E29</f>
        <v>5.6000000000000001E-2</v>
      </c>
      <c r="G52" s="2494"/>
      <c r="H52" s="905"/>
      <c r="I52" s="2898"/>
      <c r="J52" s="2773"/>
      <c r="K52" s="2454">
        <v>1</v>
      </c>
      <c r="L52" s="3486" t="s">
        <v>2515</v>
      </c>
      <c r="M52" s="3486"/>
      <c r="N52" s="2456">
        <f ca="1">D48</f>
        <v>430775</v>
      </c>
      <c r="O52" s="2454" t="str">
        <f>E48</f>
        <v>销售额×税（费）率</v>
      </c>
      <c r="P52" s="2457">
        <f>F48</f>
        <v>5.6000000000000001E-2</v>
      </c>
      <c r="Q52" s="1236"/>
    </row>
    <row r="53" spans="1:17" ht="12" customHeight="1">
      <c r="A53" s="2010" t="s">
        <v>1555</v>
      </c>
      <c r="B53" s="3418" t="s">
        <v>2593</v>
      </c>
      <c r="C53" s="3457"/>
      <c r="D53" s="1028">
        <f ca="1">ROUND(D45*'数据-取费表'!E29/(1+'数据-取费表'!F30),0)</f>
        <v>430775</v>
      </c>
      <c r="E53" s="2020" t="s">
        <v>1553</v>
      </c>
      <c r="F53" s="2493">
        <f>'数据-取费表'!E29</f>
        <v>5.6000000000000001E-2</v>
      </c>
      <c r="G53" s="2494"/>
      <c r="H53" s="905"/>
      <c r="I53" s="2898"/>
      <c r="J53" s="2773"/>
      <c r="K53" s="2454">
        <v>2</v>
      </c>
      <c r="L53" s="3486" t="s">
        <v>2516</v>
      </c>
      <c r="M53" s="3486"/>
      <c r="N53" s="2456">
        <f t="shared" ref="N53:P54" si="1">D55</f>
        <v>0</v>
      </c>
      <c r="O53" s="2454" t="str">
        <f t="shared" si="1"/>
        <v>销售额×税（费）率</v>
      </c>
      <c r="P53" s="2457" t="str">
        <f t="shared" si="1"/>
        <v>免征</v>
      </c>
      <c r="Q53" s="1236"/>
    </row>
    <row r="54" spans="1:17" ht="12" customHeight="1">
      <c r="A54" s="2010" t="s">
        <v>1557</v>
      </c>
      <c r="B54" s="3418" t="s">
        <v>2594</v>
      </c>
      <c r="C54" s="3457"/>
      <c r="D54" s="1028">
        <f ca="1">C68</f>
        <v>430775</v>
      </c>
      <c r="E54" s="264" t="s">
        <v>1558</v>
      </c>
      <c r="F54" s="2493">
        <f>'数据-取费表'!E29</f>
        <v>5.6000000000000001E-2</v>
      </c>
      <c r="G54" s="2494"/>
      <c r="H54" s="2899"/>
      <c r="I54" s="2898"/>
      <c r="J54" s="2773"/>
      <c r="K54" s="2454">
        <v>3</v>
      </c>
      <c r="L54" s="3486" t="s">
        <v>2517</v>
      </c>
      <c r="M54" s="3486"/>
      <c r="N54" s="2456">
        <f t="shared" si="1"/>
        <v>0</v>
      </c>
      <c r="O54" s="2454" t="str">
        <f t="shared" si="1"/>
        <v>增值额×税（费）率</v>
      </c>
      <c r="P54" s="2458" t="str">
        <f t="shared" si="1"/>
        <v>免征</v>
      </c>
      <c r="Q54" s="1236"/>
    </row>
    <row r="55" spans="1:17" ht="24" customHeight="1">
      <c r="A55" s="3416" t="s">
        <v>1560</v>
      </c>
      <c r="B55" s="3417"/>
      <c r="C55" s="341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86" t="str">
        <f>IF(H59="非个人房产","——","个人所得税")</f>
        <v>——</v>
      </c>
      <c r="M55" s="3486"/>
      <c r="N55" s="2459" t="str">
        <f>D59</f>
        <v>——</v>
      </c>
      <c r="O55" s="2460" t="str">
        <f>E59</f>
        <v>——</v>
      </c>
      <c r="P55" s="2461" t="str">
        <f>F59</f>
        <v>——</v>
      </c>
      <c r="Q55" s="1236"/>
    </row>
    <row r="56" spans="1:17" ht="24.75">
      <c r="A56" s="3416" t="s">
        <v>1563</v>
      </c>
      <c r="B56" s="3417"/>
      <c r="C56" s="3417"/>
      <c r="D56" s="12">
        <f>IF(H56="个人住宅",D57,D58)</f>
        <v>0</v>
      </c>
      <c r="E56" s="2020" t="s">
        <v>1564</v>
      </c>
      <c r="F56" s="2493" t="str">
        <f>IF(H56="正常",F58,"免征")</f>
        <v>免征</v>
      </c>
      <c r="G56" s="2495" t="s">
        <v>1565</v>
      </c>
      <c r="H56" s="2496" t="s">
        <v>2498</v>
      </c>
      <c r="I56" s="2900"/>
      <c r="J56" s="2773"/>
      <c r="K56" s="2454" t="str">
        <f>IF(项目基本情况!I6="上海银行",IF(K55="",4,K55+1),"")</f>
        <v/>
      </c>
      <c r="L56" s="3500" t="str">
        <f>IF(项目基本情况!I6="上海银行","其他处置费用","")</f>
        <v/>
      </c>
      <c r="M56" s="3501"/>
      <c r="N56" s="2456" t="str">
        <f>IF(项目基本情况!I6="上海银行",N69,"")</f>
        <v/>
      </c>
      <c r="O56" s="3500" t="str">
        <f>IF(项目基本情况!I6="上海银行","包含处置中涉及的律师、诉讼、拍卖、评估等费用","")</f>
        <v/>
      </c>
      <c r="P56" s="3512"/>
      <c r="Q56" s="1236"/>
    </row>
    <row r="57" spans="1:17" ht="12.75">
      <c r="A57" s="2010" t="s">
        <v>1540</v>
      </c>
      <c r="B57" s="3418" t="s">
        <v>1566</v>
      </c>
      <c r="C57" s="3457"/>
      <c r="D57" s="2486">
        <v>0</v>
      </c>
      <c r="E57" s="261" t="s">
        <v>1542</v>
      </c>
      <c r="F57" s="235"/>
      <c r="G57" s="2494"/>
      <c r="H57" s="2900"/>
      <c r="I57" s="2900"/>
      <c r="J57" s="2773"/>
      <c r="K57" s="3486">
        <f>IF(AND(K55="",K56=""),4,IF(项目基本情况!I6="上海银行",K56+1,K55+1))</f>
        <v>4</v>
      </c>
      <c r="L57" s="3486" t="s">
        <v>2518</v>
      </c>
      <c r="M57" s="2462" t="s">
        <v>2519</v>
      </c>
      <c r="N57" s="2463"/>
      <c r="O57" s="2464">
        <f ca="1">SUMIF(N52:N56,"&lt;9e307")</f>
        <v>430775</v>
      </c>
      <c r="P57" s="2465"/>
      <c r="Q57" s="1234" t="e">
        <f ca="1">O57/N49</f>
        <v>#VALUE!</v>
      </c>
    </row>
    <row r="58" spans="1:17" ht="24.75">
      <c r="A58" s="2010" t="s">
        <v>1551</v>
      </c>
      <c r="B58" s="3418" t="s">
        <v>1569</v>
      </c>
      <c r="C58" s="3456"/>
      <c r="D58" s="12">
        <f ca="1">IF(H58="转让取得",C81,C97)</f>
        <v>4571604</v>
      </c>
      <c r="E58" s="2020" t="s">
        <v>1564</v>
      </c>
      <c r="F58" s="235" t="s">
        <v>48</v>
      </c>
      <c r="G58" s="2494"/>
      <c r="H58" s="2496" t="s">
        <v>1570</v>
      </c>
      <c r="I58" s="2900"/>
      <c r="J58" s="2773"/>
      <c r="K58" s="3486"/>
      <c r="L58" s="3486"/>
      <c r="M58" s="2462" t="s">
        <v>2520</v>
      </c>
      <c r="N58" s="2466"/>
      <c r="O58" s="2467" t="str">
        <f ca="1">IF(H19="元",NUMBERSTRING(INT(O57),2)&amp;"元整",NUMBERSTRING(INT(O57*10000),2)&amp;"元整")</f>
        <v>肆拾叁万零柒佰柒拾伍元整</v>
      </c>
      <c r="P58" s="2468"/>
      <c r="Q58" s="1236"/>
    </row>
    <row r="59" spans="1:17" ht="24.75" thickBot="1">
      <c r="A59" s="3440" t="s">
        <v>1572</v>
      </c>
      <c r="B59" s="3441"/>
      <c r="C59" s="3441"/>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4">
        <f>K57+1</f>
        <v>5</v>
      </c>
      <c r="L59" s="3486"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5"/>
      <c r="L60" s="3486"/>
      <c r="M60" s="2462" t="s">
        <v>2520</v>
      </c>
      <c r="N60" s="2466"/>
      <c r="O60" s="2467" t="e">
        <f ca="1">IF(H19="元",NUMBERSTRING(INT(O59),2)&amp;"元整",NUMBERSTRING(INT(O59*10000),2)&amp;"元整")</f>
        <v>#VALUE!</v>
      </c>
      <c r="P60" s="2468"/>
      <c r="Q60" s="1236"/>
    </row>
    <row r="61" spans="1:17" ht="13.5" thickBot="1">
      <c r="A61" s="3466" t="s">
        <v>1574</v>
      </c>
      <c r="B61" s="3466"/>
      <c r="C61" s="3466"/>
      <c r="D61" s="3466"/>
      <c r="E61" s="3466"/>
      <c r="F61" s="2901"/>
      <c r="G61" s="2901"/>
      <c r="H61" s="2903"/>
      <c r="I61" s="31"/>
      <c r="K61" s="2454">
        <f>K59+1</f>
        <v>6</v>
      </c>
      <c r="L61" s="3486" t="s">
        <v>2522</v>
      </c>
      <c r="M61" s="3486"/>
      <c r="N61" s="2472"/>
      <c r="O61" s="2473" t="e">
        <f ca="1">IF(H19="元",ROUND(O59/项目基本情况!C12,0),ROUND(O59*10000/项目基本情况!C12,0))</f>
        <v>#VALUE!</v>
      </c>
      <c r="P61" s="2474"/>
      <c r="Q61" s="1236"/>
    </row>
    <row r="62" spans="1:17" ht="12.75">
      <c r="A62" s="3475" t="s">
        <v>1576</v>
      </c>
      <c r="B62" s="347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7692418</v>
      </c>
      <c r="D63" s="47"/>
      <c r="E63" s="48"/>
      <c r="F63" s="2901"/>
      <c r="G63" s="2901"/>
      <c r="H63" s="2903"/>
      <c r="I63" s="31"/>
      <c r="K63" s="3502"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8077039</v>
      </c>
      <c r="D64" s="50" t="s">
        <v>41</v>
      </c>
      <c r="E64" s="52"/>
      <c r="F64" s="2901"/>
      <c r="G64" s="2901"/>
      <c r="H64" s="2903"/>
      <c r="I64" s="31"/>
      <c r="K64" s="3502"/>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2"/>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2"/>
      <c r="L66" s="2476" t="s">
        <v>2528</v>
      </c>
      <c r="M66" s="2476" t="e">
        <f>N49*0.5%</f>
        <v>#VALUE!</v>
      </c>
      <c r="N66" s="2477" t="e">
        <f>IF(M66&gt;0.5,0.5,ROUND(M66,0))</f>
        <v>#VALUE!</v>
      </c>
      <c r="O66" s="2475" t="s">
        <v>2529</v>
      </c>
      <c r="P66" s="2475"/>
      <c r="Q66" s="1236"/>
    </row>
    <row r="67" spans="1:36" ht="12.75">
      <c r="A67" s="53" t="s">
        <v>42</v>
      </c>
      <c r="B67" s="54" t="s">
        <v>1591</v>
      </c>
      <c r="C67" s="2708">
        <f ca="1">C63-C66</f>
        <v>7692418</v>
      </c>
      <c r="D67" s="50" t="s">
        <v>41</v>
      </c>
      <c r="E67" s="52"/>
      <c r="F67" s="2901"/>
      <c r="G67" s="2901"/>
      <c r="H67" s="2903"/>
      <c r="I67" s="31"/>
      <c r="K67" s="3502"/>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430775</v>
      </c>
      <c r="D68" s="2170">
        <f>'数据-取费表'!E29</f>
        <v>5.6000000000000001E-2</v>
      </c>
      <c r="E68" s="57"/>
      <c r="F68" s="2901"/>
      <c r="G68" s="2901"/>
      <c r="H68" s="2903"/>
      <c r="I68" s="31"/>
      <c r="K68" s="3502"/>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2"/>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8" t="s">
        <v>1596</v>
      </c>
      <c r="B70" s="3479"/>
      <c r="C70" s="3479"/>
      <c r="D70" s="3479"/>
      <c r="E70" s="3479"/>
      <c r="F70" s="3479"/>
      <c r="G70" s="3479"/>
      <c r="H70" s="347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5" t="s">
        <v>1576</v>
      </c>
      <c r="B71" s="347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7692418</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46155</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8" t="s">
        <v>1606</v>
      </c>
      <c r="F76" s="3456"/>
      <c r="G76" s="3456"/>
      <c r="H76" s="347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46155</v>
      </c>
      <c r="D78" s="2717">
        <f>'数据-取费表'!E31</f>
        <v>6.000000000000001E-3</v>
      </c>
      <c r="E78" s="3450" t="s">
        <v>1611</v>
      </c>
      <c r="F78" s="3451"/>
      <c r="G78" s="3451"/>
      <c r="H78" s="3452"/>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7646263</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165.66489004441556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4571604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8" t="s">
        <v>1615</v>
      </c>
      <c r="B83" s="3479"/>
      <c r="C83" s="3479"/>
      <c r="D83" s="3479"/>
      <c r="E83" s="3479"/>
      <c r="F83" s="3479"/>
      <c r="G83" s="3479"/>
      <c r="H83" s="347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5" t="s">
        <v>1576</v>
      </c>
      <c r="B84" s="347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7692418</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46155</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1" t="s">
        <v>2493</v>
      </c>
      <c r="H90" s="3511"/>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0" t="s">
        <v>1623</v>
      </c>
      <c r="F91" s="3451"/>
      <c r="G91" s="3451"/>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0" t="s">
        <v>1626</v>
      </c>
      <c r="F92" s="3451"/>
      <c r="G92" s="3451"/>
      <c r="H92" s="3452"/>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46155</v>
      </c>
      <c r="D93" s="2717">
        <f>'数据-取费表'!E31</f>
        <v>6.000000000000001E-3</v>
      </c>
      <c r="E93" s="3450" t="s">
        <v>1611</v>
      </c>
      <c r="F93" s="3451"/>
      <c r="G93" s="3451"/>
      <c r="H93" s="3452"/>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0" t="s">
        <v>1628</v>
      </c>
      <c r="F94" s="3451"/>
      <c r="G94" s="3451"/>
      <c r="H94" s="3452"/>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7646263</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165.66489004441556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4571604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7" t="s">
        <v>1630</v>
      </c>
      <c r="B99" s="3498"/>
      <c r="C99" s="3498"/>
      <c r="D99" s="3499"/>
      <c r="E99" s="1389"/>
      <c r="F99" s="3506" t="s">
        <v>1631</v>
      </c>
      <c r="G99" s="3507"/>
      <c r="H99" s="3507"/>
      <c r="I99" s="3508"/>
      <c r="J99" s="2779"/>
    </row>
    <row r="100" spans="1:36" ht="15">
      <c r="A100" s="3509" t="s">
        <v>1632</v>
      </c>
      <c r="B100" s="3510"/>
      <c r="C100" s="1235" t="str">
        <f>C4</f>
        <v>收益法</v>
      </c>
      <c r="D100" s="2727" t="str">
        <f>D4</f>
        <v>比较法-住宅</v>
      </c>
      <c r="E100" s="1389"/>
      <c r="F100" s="3421" t="s">
        <v>2537</v>
      </c>
      <c r="G100" s="3422"/>
      <c r="H100" s="3421" t="s">
        <v>2538</v>
      </c>
      <c r="I100" s="3420"/>
      <c r="J100" s="2780"/>
    </row>
    <row r="101" spans="1:36" ht="12.75">
      <c r="A101" s="3489" t="s">
        <v>2570</v>
      </c>
      <c r="B101" s="2235" t="str">
        <f>IF(H19="元","总价（元）","总价（万元）")</f>
        <v>总价（元）</v>
      </c>
      <c r="C101" s="1235">
        <f ca="1">C19</f>
        <v>4772745</v>
      </c>
      <c r="D101" s="2727">
        <f ca="1">D19</f>
        <v>8903104</v>
      </c>
      <c r="E101" s="1389"/>
      <c r="F101" s="3421" t="str">
        <f>项目基本情况!I1</f>
        <v>北京市房地产</v>
      </c>
      <c r="G101" s="3422"/>
      <c r="H101" s="3419">
        <f>项目基本情况!C12</f>
        <v>130.13</v>
      </c>
      <c r="I101" s="3420"/>
      <c r="J101" s="2780"/>
    </row>
    <row r="102" spans="1:36" ht="12.75">
      <c r="A102" s="3489"/>
      <c r="B102" s="2235" t="s">
        <v>2571</v>
      </c>
      <c r="C102" s="2728">
        <f ca="1">C20</f>
        <v>36677</v>
      </c>
      <c r="D102" s="2729">
        <f ca="1">D20</f>
        <v>68417</v>
      </c>
      <c r="E102" s="1389"/>
      <c r="F102" s="3431" t="s">
        <v>2567</v>
      </c>
      <c r="G102" s="3432"/>
      <c r="H102" s="2737" t="str">
        <f>C106</f>
        <v>总价（元）</v>
      </c>
      <c r="I102" s="2738">
        <f ca="1">H121</f>
        <v>8077039</v>
      </c>
      <c r="J102" s="2780"/>
    </row>
    <row r="103" spans="1:36" ht="12.75">
      <c r="A103" s="3489" t="s">
        <v>2572</v>
      </c>
      <c r="B103" s="2173" t="str">
        <f>B101</f>
        <v>总价（元）</v>
      </c>
      <c r="C103" s="2732">
        <f ca="1">H121</f>
        <v>8077039</v>
      </c>
      <c r="D103" s="2730"/>
      <c r="E103" s="1389"/>
      <c r="F103" s="3431"/>
      <c r="G103" s="3432"/>
      <c r="H103" s="2737" t="s">
        <v>2540</v>
      </c>
      <c r="I103" s="52">
        <f ca="1">I121</f>
        <v>62069</v>
      </c>
      <c r="J103" s="2764"/>
    </row>
    <row r="104" spans="1:36" ht="13.5" thickBot="1">
      <c r="A104" s="3490"/>
      <c r="B104" s="2734" t="s">
        <v>2571</v>
      </c>
      <c r="C104" s="2735">
        <f ca="1">I121</f>
        <v>62069</v>
      </c>
      <c r="D104" s="2736"/>
      <c r="E104" s="1389"/>
      <c r="F104" s="3431"/>
      <c r="G104" s="3432"/>
      <c r="H104" s="3491"/>
      <c r="I104" s="3492"/>
      <c r="J104" s="2781"/>
    </row>
    <row r="105" spans="1:36" ht="15">
      <c r="A105" s="3497" t="s">
        <v>1633</v>
      </c>
      <c r="B105" s="3498"/>
      <c r="C105" s="3498"/>
      <c r="D105" s="3499"/>
      <c r="E105" s="1389"/>
      <c r="F105" s="3495" t="s">
        <v>2541</v>
      </c>
      <c r="G105" s="3496"/>
      <c r="H105" s="2739" t="str">
        <f>C108</f>
        <v>总额（元）</v>
      </c>
      <c r="I105" s="2738">
        <f>SUMIF(I106:I108,"&lt;9E307")</f>
        <v>0</v>
      </c>
      <c r="J105" s="2780"/>
    </row>
    <row r="106" spans="1:36" ht="14.25">
      <c r="A106" s="3431" t="s">
        <v>2564</v>
      </c>
      <c r="B106" s="3432"/>
      <c r="C106" s="2737" t="str">
        <f>B101</f>
        <v>总价（元）</v>
      </c>
      <c r="D106" s="2738">
        <f ca="1">H121</f>
        <v>8077039</v>
      </c>
      <c r="E106" s="1389"/>
      <c r="F106" s="3433" t="s">
        <v>2542</v>
      </c>
      <c r="G106" s="3434"/>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1"/>
      <c r="B107" s="3432"/>
      <c r="C107" s="2737" t="s">
        <v>2565</v>
      </c>
      <c r="D107" s="52">
        <f ca="1">I121</f>
        <v>62069</v>
      </c>
      <c r="E107" s="1389"/>
      <c r="F107" s="3433" t="s">
        <v>2543</v>
      </c>
      <c r="G107" s="3434"/>
      <c r="H107" s="2739" t="str">
        <f>C110</f>
        <v>总额（元）</v>
      </c>
      <c r="I107" s="52">
        <f>C37</f>
        <v>0</v>
      </c>
      <c r="J107" s="2764"/>
    </row>
    <row r="108" spans="1:36" ht="12.75">
      <c r="A108" s="3438" t="s">
        <v>2541</v>
      </c>
      <c r="B108" s="3439"/>
      <c r="C108" s="2739" t="str">
        <f>IF(H19="元","总额（元）","总额（万元）")</f>
        <v>总额（元）</v>
      </c>
      <c r="D108" s="2738">
        <f>IF(D36="正常操作",I106+I107+I108,I107+I108)</f>
        <v>0</v>
      </c>
      <c r="E108" s="1389"/>
      <c r="F108" s="3433" t="s">
        <v>2568</v>
      </c>
      <c r="G108" s="3434"/>
      <c r="H108" s="2739" t="str">
        <f>C111</f>
        <v>总额（元）</v>
      </c>
      <c r="I108" s="52">
        <f>C38</f>
        <v>0</v>
      </c>
      <c r="J108" s="2764"/>
    </row>
    <row r="109" spans="1:36" ht="12.75">
      <c r="A109" s="3433" t="s">
        <v>2542</v>
      </c>
      <c r="B109" s="3434"/>
      <c r="C109" s="2739" t="str">
        <f>C108</f>
        <v>总额（元）</v>
      </c>
      <c r="D109" s="52">
        <f>IF(D36="同一抵押权人同一抵押物续贷",C36&amp;"（未扣减，详见特别提示）",C36)</f>
        <v>0</v>
      </c>
      <c r="E109" s="1389"/>
      <c r="F109" s="3431"/>
      <c r="G109" s="3432"/>
      <c r="H109" s="3493"/>
      <c r="I109" s="3494"/>
      <c r="J109" s="2782"/>
    </row>
    <row r="110" spans="1:36" ht="28.5" customHeight="1">
      <c r="A110" s="3433" t="s">
        <v>2566</v>
      </c>
      <c r="B110" s="3434"/>
      <c r="C110" s="2739" t="str">
        <f>C108</f>
        <v>总额（元）</v>
      </c>
      <c r="D110" s="52">
        <f>C37</f>
        <v>0</v>
      </c>
      <c r="E110" s="1389"/>
      <c r="F110" s="3423" t="str">
        <f>IF(项目基本情况!F5="已注销","——","3.房地产抵押价值")</f>
        <v>3.房地产抵押价值</v>
      </c>
      <c r="G110" s="3424"/>
      <c r="H110" s="2725" t="str">
        <f>C112</f>
        <v>总价（元）</v>
      </c>
      <c r="I110" s="2738">
        <f ca="1">IF(F110="——","——",I102-I105)</f>
        <v>8077039</v>
      </c>
      <c r="J110" s="2780"/>
    </row>
    <row r="111" spans="1:36" ht="12.75">
      <c r="A111" s="3433" t="s">
        <v>2545</v>
      </c>
      <c r="B111" s="3434"/>
      <c r="C111" s="2739" t="str">
        <f>C108</f>
        <v>总额（元）</v>
      </c>
      <c r="D111" s="52">
        <f>C38</f>
        <v>0</v>
      </c>
      <c r="E111" s="1389"/>
      <c r="F111" s="3522"/>
      <c r="G111" s="3523"/>
      <c r="H111" s="2737" t="s">
        <v>2540</v>
      </c>
      <c r="I111" s="2741">
        <f ca="1">D113</f>
        <v>62069</v>
      </c>
      <c r="J111" s="2783"/>
    </row>
    <row r="112" spans="1:36" ht="26.25" customHeight="1">
      <c r="A112" s="3431" t="str">
        <f>IF(项目基本情况!F5="已注销","——","3.房地产抵押价值")</f>
        <v>3.房地产抵押价值</v>
      </c>
      <c r="B112" s="3432"/>
      <c r="C112" s="2737" t="str">
        <f>B101</f>
        <v>总价（元）</v>
      </c>
      <c r="D112" s="2738">
        <f ca="1">IF(A112="——","——",D106-D108)</f>
        <v>8077039</v>
      </c>
      <c r="E112" s="1389"/>
      <c r="F112" s="3423" t="str">
        <f>IF(项目基本情况!F5="已注销及未注销","4.抵押担保权已注销时的房地产抵押价值",IF(项目基本情况!F5="已注销","3.抵押担保权已注销时的房地产抵押价值","——"))</f>
        <v>——</v>
      </c>
      <c r="G112" s="3424"/>
      <c r="H112" s="2725" t="str">
        <f>C114</f>
        <v>总价（元）</v>
      </c>
      <c r="I112" s="2738" t="str">
        <f>IF(F112="——","——",I102-I107-I108)</f>
        <v>——</v>
      </c>
      <c r="J112" s="2780"/>
    </row>
    <row r="113" spans="1:16" ht="12.75">
      <c r="A113" s="3431"/>
      <c r="B113" s="3432"/>
      <c r="C113" s="2737" t="s">
        <v>2533</v>
      </c>
      <c r="D113" s="52">
        <f ca="1">ROUND(IF(D112=D106,D107,IF(H19="元",D112/项目基本情况!C12,D112*10000/项目基本情况!C12)),0)</f>
        <v>62069</v>
      </c>
      <c r="E113" s="1389"/>
      <c r="F113" s="3522"/>
      <c r="G113" s="3523"/>
      <c r="H113" s="2737" t="s">
        <v>2569</v>
      </c>
      <c r="I113" s="52" t="str">
        <f>D115</f>
        <v>——</v>
      </c>
      <c r="J113" s="2764"/>
    </row>
    <row r="114" spans="1:16" ht="12.75">
      <c r="A114" s="3431" t="str">
        <f>IF(项目基本情况!F5="已注销及未注销","4.抵押担保权已注销时的房地产抵押价值",IF(项目基本情况!F5="已注销","3.抵押担保权已注销时的房地产抵押价值","——"))</f>
        <v>——</v>
      </c>
      <c r="B114" s="3432"/>
      <c r="C114" s="2737" t="str">
        <f>B101</f>
        <v>总价（元）</v>
      </c>
      <c r="D114" s="2738" t="str">
        <f>IF(A114="——","——",D106-D110-D111)</f>
        <v>——</v>
      </c>
      <c r="E114" s="1389"/>
      <c r="F114" s="3423" t="str">
        <f>IF(项目基本情况!G5="抵押净值",IF(OR(项目基本情况!F5="已注销",项目基本情况!F5="房地产抵押价值"),"4.抵押净值","5.抵押净值"),"——")</f>
        <v>——</v>
      </c>
      <c r="G114" s="3424"/>
      <c r="H114" s="2737" t="str">
        <f>C116</f>
        <v>总价（元）</v>
      </c>
      <c r="I114" s="2738" t="str">
        <f>IF(F114="——","——",O59)</f>
        <v>——</v>
      </c>
      <c r="J114" s="2780"/>
    </row>
    <row r="115" spans="1:16" ht="13.5" thickBot="1">
      <c r="A115" s="3431"/>
      <c r="B115" s="3432"/>
      <c r="C115" s="2737" t="s">
        <v>2533</v>
      </c>
      <c r="D115" s="52" t="str">
        <f>IF(A114="——","——",ROUND(IF(D114=D106,D107,IF(H19="元",D114/项目基本情况!C12,D114*10000/项目基本情况!C12)),0))</f>
        <v>——</v>
      </c>
      <c r="E115" s="1389"/>
      <c r="F115" s="3425"/>
      <c r="G115" s="3426"/>
      <c r="H115" s="2742" t="s">
        <v>2533</v>
      </c>
      <c r="I115" s="2726" t="str">
        <f ca="1">D117</f>
        <v>——</v>
      </c>
      <c r="J115" s="2764"/>
    </row>
    <row r="116" spans="1:16" ht="15.75">
      <c r="A116" s="3431" t="str">
        <f>IF(项目基本情况!G5="抵押净值",IF(OR(项目基本情况!F5="已注销",项目基本情况!F5="房地产抵押价值"),"4.抵押净值","5.抵押净值"),"——")</f>
        <v>——</v>
      </c>
      <c r="B116" s="3432"/>
      <c r="C116" s="2737" t="str">
        <f>B101</f>
        <v>总价（元）</v>
      </c>
      <c r="D116" s="2738" t="str">
        <f>IF(A116="——","——",O59)</f>
        <v>——</v>
      </c>
      <c r="E116" s="1389"/>
      <c r="F116" s="3517"/>
      <c r="G116" s="3517"/>
      <c r="H116" s="3481"/>
      <c r="I116" s="3481"/>
      <c r="J116" s="2784"/>
      <c r="O116" s="32"/>
      <c r="P116" s="32"/>
    </row>
    <row r="117" spans="1:16" ht="13.5" thickBot="1">
      <c r="A117" s="3436"/>
      <c r="B117" s="3437"/>
      <c r="C117" s="2742" t="s">
        <v>2533</v>
      </c>
      <c r="D117" s="2726" t="str">
        <f ca="1">IF(D116=D112,D113,IF(A116="——","——",O61))</f>
        <v>——</v>
      </c>
      <c r="E117" s="1389"/>
      <c r="F117" s="3415" t="str">
        <f>IF(B32="总价","（以上估价结果中单价为总价除以建筑面积得出）","（以上估价结果中总价为楼面单价乘以建筑面积得出）")</f>
        <v>（以上估价结果中总价为楼面单价乘以建筑面积得出）</v>
      </c>
      <c r="G117" s="3415"/>
      <c r="H117" s="3415"/>
      <c r="I117" s="3415"/>
      <c r="J117" s="2785"/>
      <c r="O117" s="32"/>
      <c r="P117" s="32"/>
    </row>
    <row r="118" spans="1:16" ht="15">
      <c r="A118" s="3482" t="s">
        <v>1634</v>
      </c>
      <c r="B118" s="3483"/>
      <c r="C118" s="3483"/>
      <c r="D118" s="3483"/>
      <c r="E118" s="3483"/>
      <c r="F118" s="3483"/>
      <c r="G118" s="3483"/>
      <c r="H118" s="3483"/>
      <c r="I118" s="3483"/>
      <c r="J118" s="2786"/>
    </row>
    <row r="119" spans="1:16" ht="12.75">
      <c r="A119" s="3416" t="s">
        <v>2551</v>
      </c>
      <c r="B119" s="3442" t="s">
        <v>2561</v>
      </c>
      <c r="C119" s="3442" t="s">
        <v>2562</v>
      </c>
      <c r="D119" s="3504" t="s">
        <v>2553</v>
      </c>
      <c r="E119" s="3505"/>
      <c r="F119" s="3417" t="s">
        <v>2563</v>
      </c>
      <c r="G119" s="3417"/>
      <c r="H119" s="3417" t="s">
        <v>2554</v>
      </c>
      <c r="I119" s="3503"/>
      <c r="J119" s="2764"/>
    </row>
    <row r="120" spans="1:16" ht="12.75">
      <c r="A120" s="3416"/>
      <c r="B120" s="3443"/>
      <c r="C120" s="3443"/>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130.13</v>
      </c>
      <c r="C121" s="2020">
        <f>项目基本情况!C13</f>
        <v>0</v>
      </c>
      <c r="D121" s="2020">
        <f ca="1">ROUND(IF(B32="总价",C34,IF('数据-取费表'!B3="万元",E121*B121/10000,E121*B121)),0)</f>
        <v>7269322</v>
      </c>
      <c r="E121" s="2020">
        <f ca="1">ROUND(IF(B32="楼面单价",C34,IF(H19="元",D121/B121,D121*10000/B121)),0)</f>
        <v>55862</v>
      </c>
      <c r="F121" s="2020">
        <f ca="1">ROUND(IF(B32="总价",C35,IF('数据-取费表'!B3="万元",G121*B121/10000,G121*B121)),0)</f>
        <v>807717</v>
      </c>
      <c r="G121" s="2020">
        <f ca="1">ROUND(IF(B32="楼面单价",C35,IF(H19="元",F121/B121,F121*10000/B121)),0)</f>
        <v>6207</v>
      </c>
      <c r="H121" s="2020">
        <f ca="1">ROUND(IF(B32="总价",C32,IF('数据-取费表'!B3="万元",I121*B121/10000,I121*B121)),0)</f>
        <v>8077039</v>
      </c>
      <c r="I121" s="52">
        <f ca="1">ROUND(IF(B32="楼面单价",C32,IF(H19="元",H121/B121,H121*10000/B121)),0)</f>
        <v>62069</v>
      </c>
      <c r="J121" s="2764"/>
    </row>
    <row r="122" spans="1:16" ht="12.75">
      <c r="A122" s="3416" t="s">
        <v>2557</v>
      </c>
      <c r="B122" s="3417"/>
      <c r="C122" s="3417"/>
      <c r="D122" s="3444" t="str">
        <f ca="1">IF(H19="元",NUMBERSTRING(INT(D121),2)&amp;"元整",NUMBERSTRING(INT(D121*10000),2)&amp;"元整")</f>
        <v>柒佰贰拾陆万玖仟叁佰贰拾贰元整</v>
      </c>
      <c r="E122" s="3487"/>
      <c r="F122" s="3444" t="str">
        <f ca="1">IF(H19="元",NUMBERSTRING(INT(F121),2)&amp;"元整",NUMBERSTRING(INT(F121*10000),2)&amp;"元整")</f>
        <v>捌拾万柒仟柒佰壹拾柒元整</v>
      </c>
      <c r="G122" s="3487"/>
      <c r="H122" s="3444" t="str">
        <f ca="1">IF(H19="元",NUMBERSTRING(INT(H121),2)&amp;"元整",NUMBERSTRING(INT(H121*10000),2)&amp;"元整")</f>
        <v>捌佰零柒万柒仟零叁拾玖元整</v>
      </c>
      <c r="I122" s="3445"/>
      <c r="J122" s="2787"/>
    </row>
    <row r="123" spans="1:16" ht="12.75">
      <c r="A123" s="3421" t="str">
        <f>IF(项目基本情况!D5="房地产市场价值","——",MID(A108,3,LEN(A108)-2))</f>
        <v>估价师所知悉的法定优先受偿款</v>
      </c>
      <c r="B123" s="3427"/>
      <c r="C123" s="3422"/>
      <c r="D123" s="3419">
        <f>I105</f>
        <v>0</v>
      </c>
      <c r="E123" s="3427"/>
      <c r="F123" s="3427"/>
      <c r="G123" s="3427"/>
      <c r="H123" s="3427"/>
      <c r="I123" s="3420"/>
      <c r="J123" s="2780"/>
    </row>
    <row r="124" spans="1:16" ht="12.75">
      <c r="A124" s="3488" t="s">
        <v>2557</v>
      </c>
      <c r="B124" s="3456"/>
      <c r="C124" s="3457"/>
      <c r="D124" s="3428">
        <f>H109</f>
        <v>0</v>
      </c>
      <c r="E124" s="3429"/>
      <c r="F124" s="3429"/>
      <c r="G124" s="3429"/>
      <c r="H124" s="3429"/>
      <c r="I124" s="3430"/>
      <c r="J124" s="2788"/>
    </row>
    <row r="125" spans="1:16" ht="12.75">
      <c r="A125" s="3431" t="str">
        <f>IF(项目基本情况!D5="房地产市场价值","——",MID(A112,3,LEN(A112)-2))</f>
        <v>房地产抵押价值</v>
      </c>
      <c r="B125" s="3432"/>
      <c r="C125" s="3432"/>
      <c r="D125" s="3419">
        <f ca="1">I110</f>
        <v>8077039</v>
      </c>
      <c r="E125" s="3427"/>
      <c r="F125" s="3427"/>
      <c r="G125" s="3427"/>
      <c r="H125" s="3427"/>
      <c r="I125" s="3420"/>
      <c r="J125" s="2780"/>
    </row>
    <row r="126" spans="1:16" ht="12.75">
      <c r="A126" s="3416" t="s">
        <v>2557</v>
      </c>
      <c r="B126" s="3417"/>
      <c r="C126" s="3417"/>
      <c r="D126" s="3428">
        <f ca="1">I111</f>
        <v>62069</v>
      </c>
      <c r="E126" s="3429"/>
      <c r="F126" s="3429"/>
      <c r="G126" s="3429"/>
      <c r="H126" s="3429"/>
      <c r="I126" s="3430"/>
      <c r="J126" s="2788"/>
    </row>
    <row r="127" spans="1:16" ht="13.5" thickBot="1">
      <c r="A127" s="3431" t="str">
        <f>IF(项目基本情况!D5="房地产市场价值","——",MID(A114,3,LEN(A114)-2))</f>
        <v/>
      </c>
      <c r="B127" s="3432"/>
      <c r="C127" s="3432"/>
      <c r="D127" s="3464" t="str">
        <f>I112</f>
        <v>——</v>
      </c>
      <c r="E127" s="3465"/>
      <c r="F127" s="3465"/>
      <c r="G127" s="3465"/>
      <c r="H127" s="3465"/>
      <c r="I127" s="3516"/>
      <c r="J127" s="2780"/>
    </row>
    <row r="128" spans="1:16" ht="14.25" thickTop="1" thickBot="1">
      <c r="A128" s="3416" t="s">
        <v>2557</v>
      </c>
      <c r="B128" s="3417"/>
      <c r="C128" s="3418"/>
      <c r="D128" s="3480" t="str">
        <f>I113</f>
        <v>——</v>
      </c>
      <c r="E128" s="3480"/>
      <c r="F128" s="3480"/>
      <c r="G128" s="3480"/>
      <c r="H128" s="3480"/>
      <c r="I128" s="3480"/>
      <c r="J128" s="2788"/>
    </row>
    <row r="129" spans="1:10" ht="14.25" thickTop="1" thickBot="1">
      <c r="A129" s="3431" t="str">
        <f>IF(项目基本情况!D5="房地产市场价值","——",MID(F114,3,LEN(F114)-2))</f>
        <v/>
      </c>
      <c r="B129" s="3432"/>
      <c r="C129" s="3419"/>
      <c r="D129" s="3435" t="str">
        <f>I114</f>
        <v>——</v>
      </c>
      <c r="E129" s="3435"/>
      <c r="F129" s="3435"/>
      <c r="G129" s="3435"/>
      <c r="H129" s="3435"/>
      <c r="I129" s="3435"/>
      <c r="J129" s="2780"/>
    </row>
    <row r="130" spans="1:10" ht="14.25" thickTop="1" thickBot="1">
      <c r="A130" s="3440" t="s">
        <v>2557</v>
      </c>
      <c r="B130" s="3441"/>
      <c r="C130" s="3441"/>
      <c r="D130" s="3446">
        <f>H116</f>
        <v>0</v>
      </c>
      <c r="E130" s="3447"/>
      <c r="F130" s="3447"/>
      <c r="G130" s="3447"/>
      <c r="H130" s="3447"/>
      <c r="I130" s="3448"/>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414" t="str">
        <f>IF(B32="总价","（以上估价结果中楼面单价为总价除以建筑面积得出）","（以上估价结果中总价为楼面单价乘以建筑面积得出）")</f>
        <v>（以上估价结果中总价为楼面单价乘以建筑面积得出）</v>
      </c>
      <c r="B132" s="3414"/>
      <c r="C132" s="3414"/>
      <c r="D132" s="3414"/>
      <c r="E132" s="3414"/>
      <c r="F132" s="3414"/>
      <c r="G132" s="3414"/>
      <c r="H132" s="3414"/>
      <c r="I132" s="3414"/>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8" t="s">
        <v>1643</v>
      </c>
      <c r="B2" s="3548"/>
      <c r="C2" s="3548"/>
      <c r="D2" s="3548"/>
      <c r="E2" s="3548"/>
      <c r="F2" s="3548"/>
      <c r="G2" s="3548"/>
      <c r="H2" s="3548"/>
      <c r="I2" s="3548"/>
      <c r="J2" s="2793"/>
    </row>
    <row r="3" spans="1:15" ht="12.75">
      <c r="A3" s="3472" t="s">
        <v>1471</v>
      </c>
      <c r="B3" s="3473"/>
      <c r="C3" s="3473"/>
      <c r="D3" s="3473"/>
      <c r="E3" s="3473"/>
      <c r="F3" s="3473"/>
      <c r="G3" s="3473"/>
      <c r="H3" s="3473"/>
      <c r="I3" s="3473"/>
      <c r="J3" s="2763"/>
    </row>
    <row r="4" spans="1:15" ht="14.25">
      <c r="A4" s="2631" t="s">
        <v>1472</v>
      </c>
      <c r="B4" s="2631" t="s">
        <v>1473</v>
      </c>
      <c r="C4" s="2632"/>
      <c r="D4" s="2632"/>
      <c r="E4" s="3418" t="s">
        <v>1644</v>
      </c>
      <c r="F4" s="3456"/>
      <c r="G4" s="3456"/>
      <c r="H4" s="3456"/>
      <c r="I4" s="345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49" t="s">
        <v>1475</v>
      </c>
      <c r="B5" s="3449">
        <v>25</v>
      </c>
      <c r="C5" s="3458"/>
      <c r="D5" s="3471"/>
      <c r="E5" s="12" t="s">
        <v>1476</v>
      </c>
      <c r="F5" s="2017"/>
      <c r="G5" s="2017"/>
      <c r="H5" s="2017"/>
      <c r="I5" s="2012"/>
      <c r="J5" s="2764"/>
    </row>
    <row r="6" spans="1:15" ht="12.75">
      <c r="A6" s="3449"/>
      <c r="B6" s="3449"/>
      <c r="C6" s="3474"/>
      <c r="D6" s="3471"/>
      <c r="E6" s="12" t="s">
        <v>1477</v>
      </c>
      <c r="F6" s="2017"/>
      <c r="G6" s="2017"/>
      <c r="H6" s="2017"/>
      <c r="I6" s="2012"/>
      <c r="J6" s="2764"/>
    </row>
    <row r="7" spans="1:15" ht="12.75">
      <c r="A7" s="3449"/>
      <c r="B7" s="3449"/>
      <c r="C7" s="3459"/>
      <c r="D7" s="3471"/>
      <c r="E7" s="12" t="s">
        <v>1478</v>
      </c>
      <c r="F7" s="2017"/>
      <c r="G7" s="2017"/>
      <c r="H7" s="2017"/>
      <c r="I7" s="2012"/>
      <c r="J7" s="2764"/>
    </row>
    <row r="8" spans="1:15" ht="12.75">
      <c r="A8" s="3449" t="s">
        <v>1479</v>
      </c>
      <c r="B8" s="3449">
        <v>15</v>
      </c>
      <c r="C8" s="3458"/>
      <c r="D8" s="3471"/>
      <c r="E8" s="12" t="s">
        <v>1480</v>
      </c>
      <c r="F8" s="2017"/>
      <c r="G8" s="2017"/>
      <c r="H8" s="2017"/>
      <c r="I8" s="2012"/>
      <c r="J8" s="2764"/>
    </row>
    <row r="9" spans="1:15" ht="12.75">
      <c r="A9" s="3449"/>
      <c r="B9" s="3449"/>
      <c r="C9" s="3459"/>
      <c r="D9" s="3471"/>
      <c r="E9" s="12" t="s">
        <v>1481</v>
      </c>
      <c r="F9" s="2017"/>
      <c r="G9" s="2017"/>
      <c r="H9" s="2017"/>
      <c r="I9" s="2012"/>
      <c r="J9" s="2764"/>
    </row>
    <row r="10" spans="1:15" ht="12.75">
      <c r="A10" s="3449" t="s">
        <v>1482</v>
      </c>
      <c r="B10" s="3449">
        <v>15</v>
      </c>
      <c r="C10" s="3458"/>
      <c r="D10" s="3471"/>
      <c r="E10" s="12" t="s">
        <v>1483</v>
      </c>
      <c r="F10" s="2017"/>
      <c r="G10" s="2017"/>
      <c r="H10" s="2017"/>
      <c r="I10" s="2012"/>
      <c r="J10" s="2764"/>
    </row>
    <row r="11" spans="1:15" ht="12.75">
      <c r="A11" s="3449"/>
      <c r="B11" s="3449"/>
      <c r="C11" s="3459"/>
      <c r="D11" s="3471"/>
      <c r="E11" s="12" t="s">
        <v>1484</v>
      </c>
      <c r="F11" s="2017"/>
      <c r="G11" s="2017"/>
      <c r="H11" s="2017"/>
      <c r="I11" s="2012"/>
      <c r="J11" s="2764"/>
    </row>
    <row r="12" spans="1:15" ht="12.75">
      <c r="A12" s="3449" t="s">
        <v>1485</v>
      </c>
      <c r="B12" s="3449">
        <v>15</v>
      </c>
      <c r="C12" s="3458"/>
      <c r="D12" s="3471"/>
      <c r="E12" s="12" t="s">
        <v>1486</v>
      </c>
      <c r="F12" s="2017"/>
      <c r="G12" s="2017"/>
      <c r="H12" s="2017"/>
      <c r="I12" s="2012"/>
      <c r="J12" s="2764"/>
    </row>
    <row r="13" spans="1:15" ht="12.75">
      <c r="A13" s="3449"/>
      <c r="B13" s="3449"/>
      <c r="C13" s="3459"/>
      <c r="D13" s="3471"/>
      <c r="E13" s="12" t="s">
        <v>1487</v>
      </c>
      <c r="F13" s="2017"/>
      <c r="G13" s="2017"/>
      <c r="H13" s="2017"/>
      <c r="I13" s="2012"/>
      <c r="J13" s="2764"/>
    </row>
    <row r="14" spans="1:15" ht="12.75">
      <c r="A14" s="3449" t="s">
        <v>1488</v>
      </c>
      <c r="B14" s="3449">
        <v>30</v>
      </c>
      <c r="C14" s="3458"/>
      <c r="D14" s="3471"/>
      <c r="E14" s="12" t="s">
        <v>1489</v>
      </c>
      <c r="F14" s="2017"/>
      <c r="G14" s="2017"/>
      <c r="H14" s="2017"/>
      <c r="I14" s="2012"/>
      <c r="J14" s="2764"/>
    </row>
    <row r="15" spans="1:15" ht="12.75">
      <c r="A15" s="3449"/>
      <c r="B15" s="3449"/>
      <c r="C15" s="3474"/>
      <c r="D15" s="3471"/>
      <c r="E15" s="12" t="s">
        <v>1490</v>
      </c>
      <c r="F15" s="2017"/>
      <c r="G15" s="2017"/>
      <c r="H15" s="2017"/>
      <c r="I15" s="2012"/>
      <c r="J15" s="2764"/>
    </row>
    <row r="16" spans="1:15" ht="12.75">
      <c r="A16" s="3449"/>
      <c r="B16" s="3449"/>
      <c r="C16" s="3459"/>
      <c r="D16" s="347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67" t="s">
        <v>2576</v>
      </c>
      <c r="F18" s="3468"/>
      <c r="G18" s="3468"/>
      <c r="H18" s="3468"/>
      <c r="I18" s="346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0" t="s">
        <v>1500</v>
      </c>
      <c r="B24" s="2639" t="s">
        <v>1495</v>
      </c>
      <c r="C24" s="2642">
        <f>D30</f>
        <v>0</v>
      </c>
      <c r="D24" s="2594"/>
      <c r="E24" s="905"/>
      <c r="F24" s="905"/>
      <c r="G24" s="905"/>
      <c r="H24" s="905"/>
      <c r="I24" s="905"/>
      <c r="J24" s="2765"/>
    </row>
    <row r="25" spans="1:36" ht="21.75" customHeight="1">
      <c r="A25" s="347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5" t="s">
        <v>1647</v>
      </c>
      <c r="B32" s="3525"/>
      <c r="C32" s="3525"/>
      <c r="D32" s="3525"/>
      <c r="E32" s="3525"/>
      <c r="F32" s="3525"/>
      <c r="G32" s="3525"/>
      <c r="H32" s="3525"/>
      <c r="I32" s="3525"/>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460" t="s">
        <v>1656</v>
      </c>
      <c r="B38" s="1396" t="s">
        <v>1657</v>
      </c>
      <c r="C38" s="2675"/>
      <c r="D38" s="2676"/>
      <c r="E38" s="1608"/>
      <c r="F38" s="1608"/>
      <c r="G38" s="905"/>
      <c r="H38" s="905"/>
      <c r="I38" s="905"/>
      <c r="J38" s="2765"/>
    </row>
    <row r="39" spans="1:16" ht="15.75" thickBot="1">
      <c r="A39" s="3461"/>
      <c r="B39" s="2022" t="s">
        <v>1658</v>
      </c>
      <c r="C39" s="2677"/>
      <c r="D39" s="1239"/>
      <c r="E39" s="1239"/>
      <c r="F39" s="1608"/>
      <c r="G39" s="1239"/>
      <c r="H39" s="1239"/>
      <c r="I39" s="1239"/>
      <c r="J39" s="2769"/>
    </row>
    <row r="40" spans="1:16" ht="15.75" thickBot="1">
      <c r="A40" s="346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4" t="s">
        <v>1669</v>
      </c>
      <c r="B47" s="3465"/>
      <c r="C47" s="3424"/>
      <c r="D47" s="246">
        <f>ROUND(I104*F47,0)</f>
        <v>0</v>
      </c>
      <c r="E47" s="1470" t="s">
        <v>1670</v>
      </c>
      <c r="F47" s="2479">
        <v>1</v>
      </c>
      <c r="G47" s="2480" t="s">
        <v>1671</v>
      </c>
      <c r="H47" s="905"/>
      <c r="I47" s="905"/>
      <c r="J47" s="2765"/>
      <c r="K47" s="3550" t="s">
        <v>1527</v>
      </c>
      <c r="L47" s="3550"/>
      <c r="M47" s="3550"/>
      <c r="N47" s="3550"/>
      <c r="O47" s="3550"/>
      <c r="P47" s="3550"/>
    </row>
    <row r="48" spans="1:16" ht="14.25" customHeight="1">
      <c r="A48" s="3453" t="s">
        <v>1528</v>
      </c>
      <c r="B48" s="3454"/>
      <c r="C48" s="3454"/>
      <c r="D48" s="3454"/>
      <c r="E48" s="3454"/>
      <c r="F48" s="3454"/>
      <c r="G48" s="3455"/>
      <c r="H48" s="2897"/>
      <c r="I48" s="905"/>
      <c r="J48" s="2765"/>
      <c r="K48" s="2431">
        <v>1</v>
      </c>
      <c r="L48" s="3545" t="s">
        <v>1529</v>
      </c>
      <c r="M48" s="3545"/>
      <c r="N48" s="3551"/>
      <c r="O48" s="3551"/>
      <c r="P48" s="3551"/>
    </row>
    <row r="49" spans="1:17" ht="12" customHeight="1">
      <c r="A49" s="38" t="s">
        <v>1530</v>
      </c>
      <c r="B49" s="39"/>
      <c r="C49" s="40"/>
      <c r="D49" s="1028" t="s">
        <v>1531</v>
      </c>
      <c r="E49" s="235" t="s">
        <v>1532</v>
      </c>
      <c r="F49" s="41" t="s">
        <v>1533</v>
      </c>
      <c r="G49" s="2482" t="s">
        <v>1534</v>
      </c>
      <c r="H49" s="2897"/>
      <c r="I49" s="905"/>
      <c r="J49" s="2765"/>
      <c r="K49" s="2431">
        <v>2</v>
      </c>
      <c r="L49" s="3545" t="s">
        <v>1535</v>
      </c>
      <c r="M49" s="3545"/>
      <c r="N49" s="3552">
        <f>'数据-取费表'!B2</f>
        <v>44820</v>
      </c>
      <c r="O49" s="3552"/>
      <c r="P49" s="3552"/>
    </row>
    <row r="50" spans="1:17" ht="25.5">
      <c r="A50" s="3463" t="s">
        <v>1536</v>
      </c>
      <c r="B50" s="3417"/>
      <c r="C50" s="341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5" t="s">
        <v>1539</v>
      </c>
      <c r="M50" s="3545"/>
      <c r="N50" s="3546">
        <f>I104</f>
        <v>0</v>
      </c>
      <c r="O50" s="3546"/>
      <c r="P50" s="3546"/>
    </row>
    <row r="51" spans="1:17" ht="25.5" customHeight="1">
      <c r="A51" s="2019" t="s">
        <v>1540</v>
      </c>
      <c r="B51" s="3456" t="s">
        <v>1541</v>
      </c>
      <c r="C51" s="3456"/>
      <c r="D51" s="2486">
        <v>0</v>
      </c>
      <c r="E51" s="261" t="s">
        <v>1542</v>
      </c>
      <c r="F51" s="2487" t="s">
        <v>48</v>
      </c>
      <c r="G51" s="3513"/>
      <c r="H51" s="2488" t="s">
        <v>2500</v>
      </c>
      <c r="I51" s="2489"/>
      <c r="J51" s="2773"/>
      <c r="K51" s="2431">
        <v>4</v>
      </c>
      <c r="L51" s="3545" t="str">
        <f>IF(项目基本情况!F5="房地产抵押价值","房地产抵押价值","抵押担保权已注销时的房地产抵押价值")</f>
        <v>抵押担保权已注销时的房地产抵押价值</v>
      </c>
      <c r="M51" s="3545"/>
      <c r="N51" s="3546" t="str">
        <f>IF(项目基本情况!F5="房地产抵押价值",I112,I114)</f>
        <v>——</v>
      </c>
      <c r="O51" s="3546"/>
      <c r="P51" s="3546"/>
    </row>
    <row r="52" spans="1:17" ht="25.5" customHeight="1">
      <c r="A52" s="2009"/>
      <c r="B52" s="3456" t="s">
        <v>1543</v>
      </c>
      <c r="C52" s="3456"/>
      <c r="D52" s="2490"/>
      <c r="E52" s="269"/>
      <c r="F52" s="2487"/>
      <c r="G52" s="3514"/>
      <c r="H52" s="2491" t="s">
        <v>2501</v>
      </c>
      <c r="I52" s="2489"/>
      <c r="J52" s="2773"/>
      <c r="K52" s="3545" t="s">
        <v>1544</v>
      </c>
      <c r="L52" s="3545"/>
      <c r="M52" s="3545"/>
      <c r="N52" s="3545"/>
      <c r="O52" s="3545"/>
      <c r="P52" s="3545"/>
    </row>
    <row r="53" spans="1:17" ht="20.45" customHeight="1">
      <c r="A53" s="2492"/>
      <c r="B53" s="3456" t="s">
        <v>1545</v>
      </c>
      <c r="C53" s="3456"/>
      <c r="D53" s="1028"/>
      <c r="E53" s="264"/>
      <c r="F53" s="2487"/>
      <c r="G53" s="3515"/>
      <c r="H53" s="2491" t="s">
        <v>2502</v>
      </c>
      <c r="I53" s="2489"/>
      <c r="J53" s="2773"/>
      <c r="K53" s="2432" t="s">
        <v>1546</v>
      </c>
      <c r="L53" s="3545" t="s">
        <v>1547</v>
      </c>
      <c r="M53" s="3545"/>
      <c r="N53" s="2432" t="s">
        <v>1548</v>
      </c>
      <c r="O53" s="2432" t="s">
        <v>1549</v>
      </c>
      <c r="P53" s="2432" t="s">
        <v>1550</v>
      </c>
    </row>
    <row r="54" spans="1:17" ht="24" customHeight="1">
      <c r="A54" s="2010" t="s">
        <v>1551</v>
      </c>
      <c r="B54" s="3456" t="s">
        <v>1552</v>
      </c>
      <c r="C54" s="3456"/>
      <c r="D54" s="1028">
        <f>ROUND(D47*'数据-取费表'!E29/(1+'数据-取费表'!F30),0)</f>
        <v>0</v>
      </c>
      <c r="E54" s="2020" t="s">
        <v>1553</v>
      </c>
      <c r="F54" s="2493">
        <f>'数据-取费表'!E29</f>
        <v>5.6000000000000001E-2</v>
      </c>
      <c r="G54" s="2494"/>
      <c r="H54" s="905"/>
      <c r="I54" s="2898"/>
      <c r="J54" s="2773"/>
      <c r="K54" s="2431">
        <v>1</v>
      </c>
      <c r="L54" s="3541" t="s">
        <v>1554</v>
      </c>
      <c r="M54" s="3541"/>
      <c r="N54" s="2433">
        <f>D50</f>
        <v>0</v>
      </c>
      <c r="O54" s="2431" t="str">
        <f>E50</f>
        <v>销售额×税（费）率</v>
      </c>
      <c r="P54" s="2434">
        <f>F50</f>
        <v>5.6000000000000001E-2</v>
      </c>
    </row>
    <row r="55" spans="1:17" ht="12" customHeight="1">
      <c r="A55" s="2010" t="s">
        <v>1555</v>
      </c>
      <c r="B55" s="3418" t="s">
        <v>2593</v>
      </c>
      <c r="C55" s="3457"/>
      <c r="D55" s="1028">
        <f>ROUND(D47*'数据-取费表'!E29/(1+'数据-取费表'!F30),0)</f>
        <v>0</v>
      </c>
      <c r="E55" s="2020" t="s">
        <v>1553</v>
      </c>
      <c r="F55" s="2493">
        <f>'数据-取费表'!E29</f>
        <v>5.6000000000000001E-2</v>
      </c>
      <c r="G55" s="2494"/>
      <c r="H55" s="905"/>
      <c r="I55" s="2898"/>
      <c r="J55" s="2773"/>
      <c r="K55" s="2431">
        <v>2</v>
      </c>
      <c r="L55" s="3541" t="s">
        <v>1556</v>
      </c>
      <c r="M55" s="3541"/>
      <c r="N55" s="2433">
        <f t="shared" ref="N55:P56" si="1">D57</f>
        <v>0</v>
      </c>
      <c r="O55" s="2431" t="str">
        <f t="shared" si="1"/>
        <v>销售额×税（费）率</v>
      </c>
      <c r="P55" s="2434">
        <f t="shared" si="1"/>
        <v>5.0000000000000001E-4</v>
      </c>
    </row>
    <row r="56" spans="1:17" ht="12" customHeight="1">
      <c r="A56" s="2010" t="s">
        <v>1557</v>
      </c>
      <c r="B56" s="3418" t="s">
        <v>2594</v>
      </c>
      <c r="C56" s="3457"/>
      <c r="D56" s="1028">
        <f>C70</f>
        <v>0</v>
      </c>
      <c r="E56" s="264" t="s">
        <v>1558</v>
      </c>
      <c r="F56" s="2493">
        <f>'数据-取费表'!E29</f>
        <v>5.6000000000000001E-2</v>
      </c>
      <c r="G56" s="2494"/>
      <c r="H56" s="2899"/>
      <c r="I56" s="2898"/>
      <c r="J56" s="2773"/>
      <c r="K56" s="2431">
        <v>3</v>
      </c>
      <c r="L56" s="3541" t="s">
        <v>1559</v>
      </c>
      <c r="M56" s="3541"/>
      <c r="N56" s="2433">
        <f t="shared" si="1"/>
        <v>0</v>
      </c>
      <c r="O56" s="2431" t="str">
        <f t="shared" si="1"/>
        <v>增值额×税（费）率</v>
      </c>
      <c r="P56" s="2435" t="str">
        <f t="shared" si="1"/>
        <v>——</v>
      </c>
    </row>
    <row r="57" spans="1:17" ht="24" customHeight="1">
      <c r="A57" s="3416" t="s">
        <v>1560</v>
      </c>
      <c r="B57" s="3417"/>
      <c r="C57" s="341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1" t="str">
        <f>IF(H61="非个人房产","——","个人所得税")</f>
        <v>个人所得税</v>
      </c>
      <c r="M57" s="3541"/>
      <c r="N57" s="2436">
        <f>D61</f>
        <v>0</v>
      </c>
      <c r="O57" s="2437" t="str">
        <f>E61</f>
        <v>销售额×税（费）率</v>
      </c>
      <c r="P57" s="2438">
        <f>F61</f>
        <v>0.01</v>
      </c>
    </row>
    <row r="58" spans="1:17" ht="24.75">
      <c r="A58" s="3416" t="s">
        <v>1563</v>
      </c>
      <c r="B58" s="3417"/>
      <c r="C58" s="3417"/>
      <c r="D58" s="12">
        <f>IF(H58="个人住宅",D59,D60)</f>
        <v>0</v>
      </c>
      <c r="E58" s="2020" t="s">
        <v>1564</v>
      </c>
      <c r="F58" s="2493" t="str">
        <f>IF(H58="正常",F60,"免征")</f>
        <v>——</v>
      </c>
      <c r="G58" s="2495" t="s">
        <v>1565</v>
      </c>
      <c r="H58" s="2496" t="s">
        <v>1562</v>
      </c>
      <c r="I58" s="2900"/>
      <c r="J58" s="2773"/>
      <c r="K58" s="2431" t="str">
        <f>IF(项目基本情况!I6="上海银行",IF(K57="",4,K57+1),"")</f>
        <v/>
      </c>
      <c r="L58" s="3543" t="str">
        <f>IF(项目基本情况!I6="上海银行","其他处置费用","")</f>
        <v/>
      </c>
      <c r="M58" s="3544"/>
      <c r="N58" s="2433" t="str">
        <f>IF(项目基本情况!I6="上海银行",N71,"")</f>
        <v/>
      </c>
      <c r="O58" s="3543" t="str">
        <f>IF(项目基本情况!I6="上海银行","包含处置中涉及的律师、诉讼、拍卖、评估等费用","")</f>
        <v/>
      </c>
      <c r="P58" s="3547"/>
    </row>
    <row r="59" spans="1:17" ht="12.75">
      <c r="A59" s="2010" t="s">
        <v>1540</v>
      </c>
      <c r="B59" s="3418" t="s">
        <v>1566</v>
      </c>
      <c r="C59" s="3457"/>
      <c r="D59" s="2486">
        <v>0</v>
      </c>
      <c r="E59" s="261" t="s">
        <v>1542</v>
      </c>
      <c r="F59" s="235"/>
      <c r="G59" s="2494"/>
      <c r="H59" s="2900"/>
      <c r="I59" s="2900"/>
      <c r="J59" s="2773"/>
      <c r="K59" s="3541">
        <f>IF(AND(K57="",K58=""),4,IF(项目基本情况!I6="上海银行",K58+1,K57+1))</f>
        <v>5</v>
      </c>
      <c r="L59" s="3541" t="s">
        <v>1567</v>
      </c>
      <c r="M59" s="2439" t="s">
        <v>1568</v>
      </c>
      <c r="N59" s="2440"/>
      <c r="O59" s="2441">
        <f>SUMIF(N54:N58,"&lt;9e307")</f>
        <v>0</v>
      </c>
      <c r="P59" s="2442"/>
      <c r="Q59" s="1234" t="e">
        <f>O59/N51</f>
        <v>#VALUE!</v>
      </c>
    </row>
    <row r="60" spans="1:17" ht="24.75">
      <c r="A60" s="2010" t="s">
        <v>1551</v>
      </c>
      <c r="B60" s="3418" t="s">
        <v>1569</v>
      </c>
      <c r="C60" s="3456"/>
      <c r="D60" s="12">
        <f>IF(H60="转让取得",C83,C99)</f>
        <v>0</v>
      </c>
      <c r="E60" s="2020" t="s">
        <v>1564</v>
      </c>
      <c r="F60" s="235" t="s">
        <v>48</v>
      </c>
      <c r="G60" s="2494"/>
      <c r="H60" s="2496" t="s">
        <v>1570</v>
      </c>
      <c r="I60" s="2900"/>
      <c r="J60" s="2773"/>
      <c r="K60" s="3541"/>
      <c r="L60" s="3541"/>
      <c r="M60" s="2439" t="s">
        <v>1571</v>
      </c>
      <c r="N60" s="2443"/>
      <c r="O60" s="2444" t="str">
        <f>IF(H19="元",NUMBERSTRING(INT(O59),2)&amp;"元整",NUMBERSTRING(INT(O59*10000),2)&amp;"元整")</f>
        <v>零元整</v>
      </c>
      <c r="P60" s="2445"/>
    </row>
    <row r="61" spans="1:17" ht="26.25" thickBot="1">
      <c r="A61" s="3440" t="s">
        <v>1572</v>
      </c>
      <c r="B61" s="3441"/>
      <c r="C61" s="3441"/>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9">
        <f>K59+1</f>
        <v>6</v>
      </c>
      <c r="L61" s="3541" t="s">
        <v>1573</v>
      </c>
      <c r="M61" s="2431" t="s">
        <v>1568</v>
      </c>
      <c r="N61" s="2446"/>
      <c r="O61" s="2447" t="e">
        <f>N51-O59</f>
        <v>#VALUE!</v>
      </c>
      <c r="P61" s="2448"/>
    </row>
    <row r="62" spans="1:17" ht="12" customHeight="1">
      <c r="A62" s="1385"/>
      <c r="B62" s="2481"/>
      <c r="C62" s="2481"/>
      <c r="D62" s="2481"/>
      <c r="E62" s="1385"/>
      <c r="F62" s="2900"/>
      <c r="G62" s="2900"/>
      <c r="H62" s="2895"/>
      <c r="I62" s="905"/>
      <c r="J62" s="2773"/>
      <c r="K62" s="3540"/>
      <c r="L62" s="3541"/>
      <c r="M62" s="2439" t="s">
        <v>1571</v>
      </c>
      <c r="N62" s="2443"/>
      <c r="O62" s="2444" t="e">
        <f>IF(H19="元",NUMBERSTRING(INT(O61),2)&amp;"元整",NUMBERSTRING(INT(O61*10000),2)&amp;"元整")</f>
        <v>#VALUE!</v>
      </c>
      <c r="P62" s="2445"/>
    </row>
    <row r="63" spans="1:17" ht="13.5" thickBot="1">
      <c r="A63" s="3542" t="s">
        <v>1574</v>
      </c>
      <c r="B63" s="3542"/>
      <c r="C63" s="3542"/>
      <c r="D63" s="3542"/>
      <c r="E63" s="3542"/>
      <c r="F63" s="2900"/>
      <c r="G63" s="2900"/>
      <c r="H63" s="2895"/>
      <c r="I63" s="905"/>
      <c r="J63" s="2765"/>
      <c r="K63" s="2431">
        <f>K61+1</f>
        <v>7</v>
      </c>
      <c r="L63" s="3541" t="s">
        <v>1575</v>
      </c>
      <c r="M63" s="3541"/>
      <c r="N63" s="2449"/>
      <c r="O63" s="2450" t="e">
        <f>IF(H19="元",ROUND(O61/项目基本情况!C12,0),ROUND(O61*10000/项目基本情况!C12,0))</f>
        <v>#VALUE!</v>
      </c>
      <c r="P63" s="2451"/>
    </row>
    <row r="64" spans="1:17" ht="12.75">
      <c r="A64" s="3475" t="s">
        <v>1576</v>
      </c>
      <c r="B64" s="347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49"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49"/>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49"/>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49"/>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49"/>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49"/>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49"/>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6" t="s">
        <v>1596</v>
      </c>
      <c r="B72" s="3537"/>
      <c r="C72" s="3537"/>
      <c r="D72" s="3537"/>
      <c r="E72" s="3537"/>
      <c r="F72" s="3537"/>
      <c r="G72" s="3537"/>
      <c r="H72" s="3537"/>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5" t="s">
        <v>1576</v>
      </c>
      <c r="B73" s="347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8" t="s">
        <v>1606</v>
      </c>
      <c r="F78" s="3456"/>
      <c r="G78" s="3456"/>
      <c r="H78" s="347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0" t="s">
        <v>1611</v>
      </c>
      <c r="F80" s="3451"/>
      <c r="G80" s="3451"/>
      <c r="H80" s="3452"/>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6" t="s">
        <v>1615</v>
      </c>
      <c r="B85" s="3537"/>
      <c r="C85" s="3537"/>
      <c r="D85" s="3537"/>
      <c r="E85" s="3537"/>
      <c r="F85" s="3537"/>
      <c r="G85" s="3537"/>
      <c r="H85" s="3537"/>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5" t="s">
        <v>1576</v>
      </c>
      <c r="B86" s="347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1" t="s">
        <v>2494</v>
      </c>
      <c r="H92" s="3538"/>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0" t="s">
        <v>1623</v>
      </c>
      <c r="F93" s="3451"/>
      <c r="G93" s="3451"/>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0" t="s">
        <v>1626</v>
      </c>
      <c r="F94" s="3451"/>
      <c r="G94" s="3451"/>
      <c r="H94" s="3452"/>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0" t="s">
        <v>1611</v>
      </c>
      <c r="F95" s="3451"/>
      <c r="G95" s="3451"/>
      <c r="H95" s="3452"/>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0" t="s">
        <v>1628</v>
      </c>
      <c r="F96" s="3451"/>
      <c r="G96" s="3451"/>
      <c r="H96" s="3452"/>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7" t="s">
        <v>1630</v>
      </c>
      <c r="B101" s="3498"/>
      <c r="C101" s="3498"/>
      <c r="D101" s="3499"/>
      <c r="E101" s="1389"/>
      <c r="F101" s="3533" t="s">
        <v>2536</v>
      </c>
      <c r="G101" s="3534"/>
      <c r="H101" s="3534"/>
      <c r="I101" s="3535"/>
      <c r="J101" s="2800"/>
    </row>
    <row r="102" spans="1:36" ht="15">
      <c r="A102" s="3509" t="s">
        <v>1632</v>
      </c>
      <c r="B102" s="3510"/>
      <c r="C102" s="2723">
        <f>C4</f>
        <v>0</v>
      </c>
      <c r="D102" s="2724">
        <f>D4</f>
        <v>0</v>
      </c>
      <c r="E102" s="1389"/>
      <c r="F102" s="3421" t="s">
        <v>2537</v>
      </c>
      <c r="G102" s="3422"/>
      <c r="H102" s="3427" t="s">
        <v>2538</v>
      </c>
      <c r="I102" s="3420"/>
      <c r="J102" s="2780"/>
    </row>
    <row r="103" spans="1:36" ht="12.75">
      <c r="A103" s="3530" t="s">
        <v>2532</v>
      </c>
      <c r="B103" s="2235" t="str">
        <f>IF(H19="元","总价（元）","总价（万元）")</f>
        <v>总价（元）</v>
      </c>
      <c r="C103" s="1235" t="e">
        <f ca="1">C19</f>
        <v>#REF!</v>
      </c>
      <c r="D103" s="2727" t="e">
        <f ca="1">D19</f>
        <v>#REF!</v>
      </c>
      <c r="E103" s="1389"/>
      <c r="F103" s="3531"/>
      <c r="G103" s="3532"/>
      <c r="H103" s="3419">
        <f>典型户型修正!B25</f>
        <v>0</v>
      </c>
      <c r="I103" s="3420"/>
      <c r="J103" s="2780"/>
    </row>
    <row r="104" spans="1:36" ht="12.75">
      <c r="A104" s="3530"/>
      <c r="B104" s="2235" t="s">
        <v>2533</v>
      </c>
      <c r="C104" s="2728" t="e">
        <f ca="1">C20</f>
        <v>#REF!</v>
      </c>
      <c r="D104" s="2729" t="e">
        <f ca="1">D20</f>
        <v>#REF!</v>
      </c>
      <c r="E104" s="1389"/>
      <c r="F104" s="3431" t="s">
        <v>2539</v>
      </c>
      <c r="G104" s="3432"/>
      <c r="H104" s="2737" t="str">
        <f>C110</f>
        <v>总价（元）</v>
      </c>
      <c r="I104" s="2738">
        <f>H125</f>
        <v>0</v>
      </c>
      <c r="J104" s="2780"/>
    </row>
    <row r="105" spans="1:36" ht="12.75">
      <c r="A105" s="3530" t="s">
        <v>2534</v>
      </c>
      <c r="B105" s="2173" t="str">
        <f>B103</f>
        <v>总价（元）</v>
      </c>
      <c r="C105" s="12" t="e">
        <f ca="1">ROUND(IF('数据-取费表'!B4="总价",G19,IF(H19="元",G20*'数据-取费表'!E5,G20*'数据-取费表'!E5/10000)),0)</f>
        <v>#REF!</v>
      </c>
      <c r="D105" s="2730"/>
      <c r="E105" s="1389"/>
      <c r="F105" s="3431"/>
      <c r="G105" s="3432"/>
      <c r="H105" s="2737" t="s">
        <v>2540</v>
      </c>
      <c r="I105" s="52" t="e">
        <f>I125</f>
        <v>#DIV/0!</v>
      </c>
      <c r="J105" s="2764"/>
    </row>
    <row r="106" spans="1:36" ht="12.75">
      <c r="A106" s="3530"/>
      <c r="B106" s="2235" t="s">
        <v>2533</v>
      </c>
      <c r="C106" s="1409" t="e">
        <f ca="1">ROUND(IF('数据-取费表'!B4="楼面单价",G20,IF(H19="元",G19/'数据-取费表'!E5,G19*10000/'数据-取费表'!E5)),0)</f>
        <v>#REF!</v>
      </c>
      <c r="D106" s="2730"/>
      <c r="E106" s="1389"/>
      <c r="F106" s="3431"/>
      <c r="G106" s="3432"/>
      <c r="H106" s="3491"/>
      <c r="I106" s="3492"/>
      <c r="J106" s="2781"/>
    </row>
    <row r="107" spans="1:36" ht="12.75">
      <c r="A107" s="3524" t="s">
        <v>2535</v>
      </c>
      <c r="B107" s="2731" t="str">
        <f>B103</f>
        <v>总价（元）</v>
      </c>
      <c r="C107" s="2732">
        <f>H125</f>
        <v>0</v>
      </c>
      <c r="D107" s="2733"/>
      <c r="E107" s="1389"/>
      <c r="F107" s="3495" t="s">
        <v>2541</v>
      </c>
      <c r="G107" s="3496"/>
      <c r="H107" s="2739" t="str">
        <f>C112</f>
        <v>总额（元）</v>
      </c>
      <c r="I107" s="2738">
        <f>SUMIF(I108:I110,"&lt;9E307")</f>
        <v>0</v>
      </c>
      <c r="J107" s="2780"/>
    </row>
    <row r="108" spans="1:36" ht="15" thickBot="1">
      <c r="A108" s="3490"/>
      <c r="B108" s="2734" t="s">
        <v>2533</v>
      </c>
      <c r="C108" s="2735" t="e">
        <f>I125</f>
        <v>#DIV/0!</v>
      </c>
      <c r="D108" s="2736"/>
      <c r="E108" s="1389"/>
      <c r="F108" s="3433" t="s">
        <v>2542</v>
      </c>
      <c r="G108" s="3434"/>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7" t="s">
        <v>1633</v>
      </c>
      <c r="B109" s="3528"/>
      <c r="C109" s="3528"/>
      <c r="D109" s="3529"/>
      <c r="E109" s="1389"/>
      <c r="F109" s="3433" t="s">
        <v>2543</v>
      </c>
      <c r="G109" s="3434"/>
      <c r="H109" s="2739" t="str">
        <f>C114</f>
        <v>总额（元）</v>
      </c>
      <c r="I109" s="52">
        <f>C39</f>
        <v>0</v>
      </c>
      <c r="J109" s="2764"/>
    </row>
    <row r="110" spans="1:36" ht="12.75">
      <c r="A110" s="3431" t="s">
        <v>2546</v>
      </c>
      <c r="B110" s="3432"/>
      <c r="C110" s="2737" t="str">
        <f>B103</f>
        <v>总价（元）</v>
      </c>
      <c r="D110" s="2738">
        <f>H125</f>
        <v>0</v>
      </c>
      <c r="E110" s="1389"/>
      <c r="F110" s="3433" t="s">
        <v>2544</v>
      </c>
      <c r="G110" s="3434"/>
      <c r="H110" s="2739" t="str">
        <f>C115</f>
        <v>总额（元）</v>
      </c>
      <c r="I110" s="52">
        <f>C40</f>
        <v>0</v>
      </c>
      <c r="J110" s="2764"/>
    </row>
    <row r="111" spans="1:36" ht="12.75">
      <c r="A111" s="3431"/>
      <c r="B111" s="3432"/>
      <c r="C111" s="2737" t="s">
        <v>2547</v>
      </c>
      <c r="D111" s="52" t="e">
        <f>I125</f>
        <v>#DIV/0!</v>
      </c>
      <c r="E111" s="1389"/>
      <c r="F111" s="3431"/>
      <c r="G111" s="3432"/>
      <c r="H111" s="3493"/>
      <c r="I111" s="3494"/>
      <c r="J111" s="2782"/>
    </row>
    <row r="112" spans="1:36" ht="28.5" customHeight="1">
      <c r="A112" s="3438" t="s">
        <v>2541</v>
      </c>
      <c r="B112" s="3439"/>
      <c r="C112" s="2739" t="str">
        <f>IF(H19="元","总额（元）","总额（万元）")</f>
        <v>总额（元）</v>
      </c>
      <c r="D112" s="2738">
        <f>IF(D38="正常操作",I108+I109+I110,I109+I110)</f>
        <v>0</v>
      </c>
      <c r="E112" s="1389"/>
      <c r="F112" s="3423" t="str">
        <f>IF(项目基本情况!F5="已注销","——","3.房地产抵押价值")</f>
        <v>3.房地产抵押价值</v>
      </c>
      <c r="G112" s="3424"/>
      <c r="H112" s="1409" t="str">
        <f>C116</f>
        <v>总价（元）</v>
      </c>
      <c r="I112" s="2738">
        <f>IF(F112="——","——",I104-I107)</f>
        <v>0</v>
      </c>
      <c r="J112" s="2780"/>
    </row>
    <row r="113" spans="1:27" ht="12.75">
      <c r="A113" s="3433" t="s">
        <v>2548</v>
      </c>
      <c r="B113" s="3434"/>
      <c r="C113" s="2739" t="str">
        <f>C112</f>
        <v>总额（元）</v>
      </c>
      <c r="D113" s="52">
        <f>IF(D38="同一抵押权人同一抵押物续贷",C38&amp;"（未扣减，详见特别提示）",C38)</f>
        <v>0</v>
      </c>
      <c r="E113" s="1389"/>
      <c r="F113" s="3522"/>
      <c r="G113" s="3523"/>
      <c r="H113" s="2737" t="s">
        <v>2540</v>
      </c>
      <c r="I113" s="2741" t="e">
        <f>D117</f>
        <v>#DIV/0!</v>
      </c>
      <c r="J113" s="2783"/>
    </row>
    <row r="114" spans="1:27" ht="12.75">
      <c r="A114" s="3433" t="s">
        <v>2549</v>
      </c>
      <c r="B114" s="3434"/>
      <c r="C114" s="2739" t="str">
        <f>C112</f>
        <v>总额（元）</v>
      </c>
      <c r="D114" s="52">
        <f>C39</f>
        <v>0</v>
      </c>
      <c r="E114" s="1389"/>
      <c r="F114" s="3423" t="str">
        <f>IF(项目基本情况!F5="已注销及未注销","4.抵押担保权已注销时的房地产抵押价值",IF(项目基本情况!F5="已注销","3.抵押担保权已注销时的房地产抵押价值","——"))</f>
        <v>——</v>
      </c>
      <c r="G114" s="3424"/>
      <c r="H114" s="1409" t="str">
        <f>C118</f>
        <v>总价（元）</v>
      </c>
      <c r="I114" s="2738" t="str">
        <f>IF(F114="——","——",I104-I109-I110)</f>
        <v>——</v>
      </c>
      <c r="J114" s="2780"/>
    </row>
    <row r="115" spans="1:27" ht="12.75">
      <c r="A115" s="3433" t="s">
        <v>2550</v>
      </c>
      <c r="B115" s="3434"/>
      <c r="C115" s="2739" t="str">
        <f>C112</f>
        <v>总额（元）</v>
      </c>
      <c r="D115" s="52">
        <f>C40</f>
        <v>0</v>
      </c>
      <c r="E115" s="1389"/>
      <c r="F115" s="3522"/>
      <c r="G115" s="3523"/>
      <c r="H115" s="2737" t="s">
        <v>2540</v>
      </c>
      <c r="I115" s="52" t="str">
        <f>D119</f>
        <v>——</v>
      </c>
      <c r="J115" s="2764"/>
    </row>
    <row r="116" spans="1:27" ht="12.75">
      <c r="A116" s="3431" t="str">
        <f>IF(项目基本情况!F5="已注销","——","3.房地产抵押价值")</f>
        <v>3.房地产抵押价值</v>
      </c>
      <c r="B116" s="3432"/>
      <c r="C116" s="2737" t="str">
        <f>B103</f>
        <v>总价（元）</v>
      </c>
      <c r="D116" s="2738">
        <f>IF(A116="——","——",D110-D112)</f>
        <v>0</v>
      </c>
      <c r="E116" s="1389"/>
      <c r="F116" s="3423" t="str">
        <f>IF(项目基本情况!G5="抵押净值",IF(OR(项目基本情况!F5="已注销",项目基本情况!F5="房地产抵押价值"),"4.抵押净值","5.抵押净值"),"——")</f>
        <v>——</v>
      </c>
      <c r="G116" s="3424"/>
      <c r="H116" s="2737" t="str">
        <f>C120</f>
        <v>总价（元）</v>
      </c>
      <c r="I116" s="2738" t="str">
        <f>IF(F116="——","——",O61)</f>
        <v>——</v>
      </c>
      <c r="J116" s="2780"/>
    </row>
    <row r="117" spans="1:27" ht="13.5" thickBot="1">
      <c r="A117" s="3431"/>
      <c r="B117" s="3432"/>
      <c r="C117" s="2737" t="s">
        <v>2547</v>
      </c>
      <c r="D117" s="52" t="e">
        <f>ROUND(IF(D116=D110,D111,IF(H19="元",D116/B125,D116*10000/B125)),0)</f>
        <v>#DIV/0!</v>
      </c>
      <c r="E117" s="1389"/>
      <c r="F117" s="3425"/>
      <c r="G117" s="3426"/>
      <c r="H117" s="2742" t="s">
        <v>2540</v>
      </c>
      <c r="I117" s="2726" t="str">
        <f>D121</f>
        <v>——</v>
      </c>
      <c r="J117" s="2764"/>
    </row>
    <row r="118" spans="1:27" ht="15.75">
      <c r="A118" s="3431" t="str">
        <f>IF(项目基本情况!F5="已注销及未注销","4.抵押担保权已注销时的房地产抵押价值",IF(项目基本情况!F5="已注销","3.抵押担保权已注销时的房地产抵押价值","——"))</f>
        <v>——</v>
      </c>
      <c r="B118" s="3432"/>
      <c r="C118" s="2737" t="str">
        <f>B103</f>
        <v>总价（元）</v>
      </c>
      <c r="D118" s="2738" t="str">
        <f>IF(A118="——","——",D110-D114-D115)</f>
        <v>——</v>
      </c>
      <c r="E118" s="1389"/>
      <c r="F118" s="3517"/>
      <c r="G118" s="3517"/>
      <c r="H118" s="3481"/>
      <c r="I118" s="3481"/>
      <c r="J118" s="2784"/>
      <c r="O118" s="32"/>
      <c r="P118" s="32"/>
    </row>
    <row r="119" spans="1:27" s="1236" customFormat="1" ht="12.75">
      <c r="A119" s="3431"/>
      <c r="B119" s="3432"/>
      <c r="C119" s="2737" t="s">
        <v>2547</v>
      </c>
      <c r="D119" s="52" t="str">
        <f>IF(A118="——","——",IF(H19="元",ROUND(D118/B125,0),ROUND(D118*10000/B125,0)))</f>
        <v>——</v>
      </c>
      <c r="E119" s="1389"/>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1" t="str">
        <f>IF(项目基本情况!G5="抵押净值",IF(OR(项目基本情况!F5="已注销",项目基本情况!F5="房地产抵押价值"),"4.抵押净值","5.抵押净值"),"——")</f>
        <v>——</v>
      </c>
      <c r="B120" s="3432"/>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6"/>
      <c r="B121" s="3437"/>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2" t="s">
        <v>1672</v>
      </c>
      <c r="B122" s="3483"/>
      <c r="C122" s="3483"/>
      <c r="D122" s="3483"/>
      <c r="E122" s="3483"/>
      <c r="F122" s="3483"/>
      <c r="G122" s="3483"/>
      <c r="H122" s="3483"/>
      <c r="I122" s="3483"/>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6" t="s">
        <v>2551</v>
      </c>
      <c r="B123" s="3442" t="s">
        <v>2552</v>
      </c>
      <c r="C123" s="3442" t="s">
        <v>2558</v>
      </c>
      <c r="D123" s="3504" t="s">
        <v>2553</v>
      </c>
      <c r="E123" s="3505"/>
      <c r="F123" s="3417" t="s">
        <v>2559</v>
      </c>
      <c r="G123" s="3417"/>
      <c r="H123" s="3417" t="s">
        <v>2554</v>
      </c>
      <c r="I123" s="3503"/>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6"/>
      <c r="B124" s="3443"/>
      <c r="C124" s="3443"/>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6" t="s">
        <v>2557</v>
      </c>
      <c r="B126" s="3417"/>
      <c r="C126" s="3417"/>
      <c r="D126" s="3444" t="str">
        <f>IF(H19="元",NUMBERSTRING(INT(D125),2)&amp;"元整",NUMBERSTRING(INT(D125*10000),2)&amp;"元整")</f>
        <v>零元整</v>
      </c>
      <c r="E126" s="3487"/>
      <c r="F126" s="3444" t="str">
        <f>IF(H19="元",NUMBERSTRING(INT(F125),2)&amp;"元整",NUMBERSTRING(INT(F125*10000),2)&amp;"元整")</f>
        <v>零元整</v>
      </c>
      <c r="G126" s="3487"/>
      <c r="H126" s="3444" t="str">
        <f>IF(H19="元",NUMBERSTRING(INT(H125),2)&amp;"元整",NUMBERSTRING(INT(H125*10000),2)&amp;"元整")</f>
        <v>零元整</v>
      </c>
      <c r="I126" s="3445"/>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1" t="str">
        <f>IF(项目基本情况!D5="房地产市场价值","——",MID(A112,3,LEN(A112)-2))</f>
        <v>估价师所知悉的法定优先受偿款</v>
      </c>
      <c r="B127" s="3427"/>
      <c r="C127" s="3422"/>
      <c r="D127" s="3419">
        <f>I107</f>
        <v>0</v>
      </c>
      <c r="E127" s="3427"/>
      <c r="F127" s="3427"/>
      <c r="G127" s="3427"/>
      <c r="H127" s="3427"/>
      <c r="I127" s="3420"/>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8" t="s">
        <v>2557</v>
      </c>
      <c r="B128" s="3456"/>
      <c r="C128" s="3457"/>
      <c r="D128" s="3428">
        <f>H111</f>
        <v>0</v>
      </c>
      <c r="E128" s="3429"/>
      <c r="F128" s="3429"/>
      <c r="G128" s="3429"/>
      <c r="H128" s="3429"/>
      <c r="I128" s="3430"/>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1" t="str">
        <f>IF(项目基本情况!D5="房地产市场价值","——",MID(A116,3,LEN(A116)-2))</f>
        <v>房地产抵押价值</v>
      </c>
      <c r="B129" s="3432"/>
      <c r="C129" s="3432"/>
      <c r="D129" s="3419">
        <f>I112</f>
        <v>0</v>
      </c>
      <c r="E129" s="3427"/>
      <c r="F129" s="3427"/>
      <c r="G129" s="3427"/>
      <c r="H129" s="3427"/>
      <c r="I129" s="3420"/>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6" t="s">
        <v>2557</v>
      </c>
      <c r="B130" s="3417"/>
      <c r="C130" s="3417"/>
      <c r="D130" s="3428" t="e">
        <f>I113</f>
        <v>#DIV/0!</v>
      </c>
      <c r="E130" s="3429"/>
      <c r="F130" s="3429"/>
      <c r="G130" s="3429"/>
      <c r="H130" s="3429"/>
      <c r="I130" s="3430"/>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1" t="str">
        <f>IF(项目基本情况!D5="房地产市场价值","——",MID(A118,3,LEN(A118)-2))</f>
        <v/>
      </c>
      <c r="B131" s="3432"/>
      <c r="C131" s="3432"/>
      <c r="D131" s="3464" t="str">
        <f>I114</f>
        <v>——</v>
      </c>
      <c r="E131" s="3465"/>
      <c r="F131" s="3465"/>
      <c r="G131" s="3465"/>
      <c r="H131" s="3465"/>
      <c r="I131" s="3516"/>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6" t="s">
        <v>2557</v>
      </c>
      <c r="B132" s="3417"/>
      <c r="C132" s="3418"/>
      <c r="D132" s="3480" t="str">
        <f>I115</f>
        <v>——</v>
      </c>
      <c r="E132" s="3480"/>
      <c r="F132" s="3480"/>
      <c r="G132" s="3480"/>
      <c r="H132" s="3480"/>
      <c r="I132" s="3480"/>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1" t="str">
        <f>IF(项目基本情况!D5="房地产市场价值","——",MID(F116,3,LEN(F116)-2))</f>
        <v/>
      </c>
      <c r="B133" s="3432"/>
      <c r="C133" s="3419"/>
      <c r="D133" s="3435" t="str">
        <f>I116</f>
        <v>——</v>
      </c>
      <c r="E133" s="3435"/>
      <c r="F133" s="3435"/>
      <c r="G133" s="3435"/>
      <c r="H133" s="3435"/>
      <c r="I133" s="3435"/>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0" t="s">
        <v>2557</v>
      </c>
      <c r="B134" s="3441"/>
      <c r="C134" s="3441"/>
      <c r="D134" s="3446">
        <f>H118</f>
        <v>0</v>
      </c>
      <c r="E134" s="3447"/>
      <c r="F134" s="3447"/>
      <c r="G134" s="3447"/>
      <c r="H134" s="3447"/>
      <c r="I134" s="3448"/>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1959713</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15060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20821</v>
      </c>
      <c r="D9" s="1101">
        <f>IF('数据-取费表'!B10="住宅",IF(B1="仅计算典型户型",'数据-取费表'!E5,'数据-取费表'!B5),0)</f>
        <v>130.13</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26026</v>
      </c>
      <c r="D19" s="1104">
        <f>IF(B1="仅计算典型户型",'数据-取费表'!E5,'数据-取费表'!B5)</f>
        <v>130.13</v>
      </c>
      <c r="E19" s="111">
        <f>'数据-取费表'!E15</f>
        <v>200</v>
      </c>
      <c r="F19" s="112"/>
      <c r="G19" s="1446"/>
    </row>
    <row r="20" spans="1:123" s="91" customFormat="1" ht="13.5" customHeight="1">
      <c r="A20" s="120" t="s">
        <v>1702</v>
      </c>
      <c r="B20" s="89" t="s">
        <v>1703</v>
      </c>
      <c r="C20" s="99">
        <f>ROUND((C5+C19)*F20,0)</f>
        <v>10565</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103256</v>
      </c>
      <c r="D22" s="101">
        <f ca="1">C26</f>
        <v>5.0000000000000001E-4</v>
      </c>
      <c r="E22" s="102" t="s">
        <v>1707</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2531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502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213418</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213418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1481230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473023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390390</v>
      </c>
      <c r="D34" s="1096"/>
      <c r="E34" s="115"/>
      <c r="F34" s="1107" t="str">
        <f>IF('数据-取费表'!B26=0,"",'数据-取费表'!E20)</f>
        <v/>
      </c>
      <c r="G34" s="95"/>
    </row>
    <row r="35" spans="1:123" ht="13.5" customHeight="1">
      <c r="A35" s="92" t="s">
        <v>1685</v>
      </c>
      <c r="B35" s="93" t="s">
        <v>1734</v>
      </c>
      <c r="C35" s="115">
        <f>ROUND(C34*F35,0)</f>
        <v>11712</v>
      </c>
      <c r="D35" s="115"/>
      <c r="E35" s="115"/>
      <c r="F35" s="1108">
        <f>'数据-取费表'!E21</f>
        <v>0.03</v>
      </c>
      <c r="G35" s="95" t="s">
        <v>1735</v>
      </c>
    </row>
    <row r="36" spans="1:123" ht="24">
      <c r="A36" s="92" t="s">
        <v>1687</v>
      </c>
      <c r="B36" s="93" t="s">
        <v>1736</v>
      </c>
      <c r="C36" s="115">
        <f>ROUND(IF('数据-取费表'!B10="住宅",C34*F36,0),0)</f>
        <v>39039</v>
      </c>
      <c r="D36" s="115"/>
      <c r="E36" s="115"/>
      <c r="F36" s="1108">
        <f>'数据-取费表'!E22</f>
        <v>0.1</v>
      </c>
      <c r="G36" s="123" t="s">
        <v>1737</v>
      </c>
    </row>
    <row r="37" spans="1:123" s="122" customFormat="1" ht="13.5" customHeight="1">
      <c r="A37" s="92" t="s">
        <v>1718</v>
      </c>
      <c r="B37" s="93" t="s">
        <v>1738</v>
      </c>
      <c r="C37" s="115">
        <f>ROUND(E37*D37,0)</f>
        <v>26026</v>
      </c>
      <c r="D37" s="1096">
        <f>IF(B1="仅计算典型户型",'数据-取费表'!E5,'数据-取费表'!B5)</f>
        <v>130.13</v>
      </c>
      <c r="E37" s="115">
        <f>'数据-取费表'!E23</f>
        <v>200</v>
      </c>
      <c r="F37" s="1108"/>
      <c r="G37" s="124" t="s">
        <v>1739</v>
      </c>
    </row>
    <row r="38" spans="1:123" ht="13.5" customHeight="1">
      <c r="A38" s="92" t="s">
        <v>1740</v>
      </c>
      <c r="B38" s="93" t="s">
        <v>1741</v>
      </c>
      <c r="C38" s="115">
        <f>ROUND(C34*F38,0)</f>
        <v>5856</v>
      </c>
      <c r="D38" s="115"/>
      <c r="E38" s="115"/>
      <c r="F38" s="1108">
        <f>'数据-取费表'!E24</f>
        <v>1.4999999999999999E-2</v>
      </c>
      <c r="G38" s="95" t="s">
        <v>1735</v>
      </c>
    </row>
    <row r="39" spans="1:123" s="91" customFormat="1" ht="13.5" customHeight="1">
      <c r="A39" s="120" t="s">
        <v>1700</v>
      </c>
      <c r="B39" s="89" t="s">
        <v>1703</v>
      </c>
      <c r="C39" s="99">
        <f>ROUND(C33*F20,0)</f>
        <v>4730</v>
      </c>
      <c r="D39" s="99"/>
      <c r="E39" s="99"/>
      <c r="F39" s="2806">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6">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22694</v>
      </c>
      <c r="D41" s="101">
        <f ca="1">C44</f>
        <v>5.0000000000000001E-4</v>
      </c>
      <c r="E41" s="102" t="s">
        <v>1743</v>
      </c>
      <c r="F41" s="2806">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22469</v>
      </c>
      <c r="D42" s="104"/>
      <c r="E42" s="104"/>
      <c r="F42" s="105"/>
      <c r="G42" s="3553" t="s">
        <v>1745</v>
      </c>
    </row>
    <row r="43" spans="1:123" ht="13.5" customHeight="1">
      <c r="A43" s="92" t="s">
        <v>1685</v>
      </c>
      <c r="B43" s="93" t="s">
        <v>1714</v>
      </c>
      <c r="C43" s="104">
        <f ca="1">ROUND(IF('数据-取费表'!B24&lt;=1,C39*F22*'数据-取费表'!B23/2,C39*(POWER((1+F22),'数据-取费表'!B23/2)-1)),0)</f>
        <v>225</v>
      </c>
      <c r="D43" s="104"/>
      <c r="E43" s="104"/>
      <c r="F43" s="105"/>
      <c r="G43" s="3554"/>
    </row>
    <row r="44" spans="1:123" ht="13.5" customHeight="1">
      <c r="A44" s="92" t="s">
        <v>1687</v>
      </c>
      <c r="B44" s="93" t="s">
        <v>1716</v>
      </c>
      <c r="C44" s="104">
        <f ca="1">ROUND(IF('数据-取费表'!B24&lt;=1,C40*F22*'数据-取费表'!B23/2,C40*(POWER((1+F22),'数据-取费表'!B23/2)-1)),4)</f>
        <v>5.0000000000000001E-4</v>
      </c>
      <c r="D44" s="104"/>
      <c r="E44" s="104"/>
      <c r="F44" s="105"/>
      <c r="G44" s="3555"/>
    </row>
    <row r="45" spans="1:123" s="91" customFormat="1" ht="13.5" customHeight="1">
      <c r="A45" s="120" t="s">
        <v>1709</v>
      </c>
      <c r="B45" s="110" t="s">
        <v>1721</v>
      </c>
      <c r="C45" s="111">
        <f>C46</f>
        <v>95551</v>
      </c>
      <c r="D45" s="101">
        <f>C47</f>
        <v>2E-3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95551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637977</v>
      </c>
      <c r="D49" s="99"/>
      <c r="E49" s="99"/>
      <c r="F49" s="126"/>
      <c r="G49" s="100" t="s">
        <v>1753</v>
      </c>
    </row>
    <row r="50" spans="1:123" s="122" customFormat="1" ht="24">
      <c r="A50" s="952" t="s">
        <v>1754</v>
      </c>
      <c r="B50" s="89" t="s">
        <v>1755</v>
      </c>
      <c r="C50" s="99"/>
      <c r="D50" s="99"/>
      <c r="E50" s="99"/>
      <c r="F50" s="126">
        <f>IF('数据-取费表'!B26=0,'数据-取费表'!E20,1)</f>
        <v>0.75</v>
      </c>
      <c r="G50" s="113" t="s">
        <v>1756</v>
      </c>
    </row>
    <row r="51" spans="1:123" ht="16.5" customHeight="1">
      <c r="A51" s="952" t="s">
        <v>1757</v>
      </c>
      <c r="B51" s="89" t="s">
        <v>1758</v>
      </c>
      <c r="C51" s="99">
        <f ca="1">ROUND(C49*F50,0)</f>
        <v>478483</v>
      </c>
      <c r="D51" s="99"/>
      <c r="E51" s="99"/>
      <c r="F51" s="126"/>
      <c r="G51" s="100" t="s">
        <v>1759</v>
      </c>
    </row>
    <row r="52" spans="1:123" s="88" customFormat="1" ht="16.5" thickBot="1">
      <c r="A52" s="127" t="s">
        <v>1760</v>
      </c>
      <c r="B52" s="128"/>
      <c r="C52" s="129">
        <f ca="1">C31+C51</f>
        <v>1959713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0.24399999999999999</v>
      </c>
    </row>
    <row r="57" spans="1:123">
      <c r="B57" s="135" t="s">
        <v>1763</v>
      </c>
      <c r="C57" s="137">
        <f ca="1">1-C56</f>
        <v>0.75600000000000001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0.1</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4.7500000000000001E-2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5" zoomScaleNormal="60" zoomScaleSheetLayoutView="85"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4772745</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36677</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147751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147567</v>
      </c>
      <c r="D6" s="36" t="s">
        <v>2461</v>
      </c>
      <c r="E6" s="235" t="s">
        <v>1776</v>
      </c>
      <c r="F6" s="236">
        <f>'数据-取费表'!B30</f>
        <v>105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130.13</v>
      </c>
      <c r="G7" s="909"/>
      <c r="H7" s="237"/>
      <c r="I7" s="238"/>
      <c r="J7" s="239"/>
      <c r="K7" s="240"/>
      <c r="L7" s="235" t="s">
        <v>1777</v>
      </c>
      <c r="M7" s="236">
        <f>IF('数据-取费表'!B42="",IF(D1="仅计算典型户型",'数据-取费表'!E5,'数据-取费表'!B5),'数据-取费表'!B42)</f>
        <v>130.13</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184</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478483</v>
      </c>
      <c r="D13" s="1023" t="s">
        <v>1791</v>
      </c>
      <c r="E13" s="1023" t="s">
        <v>1792</v>
      </c>
      <c r="F13" s="1024">
        <f>'数据-取费表'!E20</f>
        <v>0.75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390390</v>
      </c>
      <c r="D14" s="1256" t="s">
        <v>1795</v>
      </c>
      <c r="E14" s="1257"/>
      <c r="F14" s="757"/>
      <c r="G14" s="910"/>
      <c r="H14" s="253" t="s">
        <v>1774</v>
      </c>
      <c r="I14" s="235" t="s">
        <v>1796</v>
      </c>
      <c r="J14" s="13">
        <f ca="1">C29</f>
        <v>637977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11712</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39039</v>
      </c>
      <c r="D16" s="235" t="s">
        <v>1799</v>
      </c>
      <c r="E16" s="235" t="s">
        <v>1800</v>
      </c>
      <c r="F16" s="258">
        <f>IF('数据-取费表'!B10="住宅",'数据-取费表'!E22,0)</f>
        <v>0.1</v>
      </c>
      <c r="G16" s="910"/>
      <c r="H16" s="1021" t="s">
        <v>14</v>
      </c>
      <c r="I16" s="1022" t="s">
        <v>1805</v>
      </c>
      <c r="J16" s="243">
        <f ca="1">ROUND(J17+J22+J23+J24,0)</f>
        <v>6380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26026</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5856</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473023</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4730</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6380</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22694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4.7500000000000001E-2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-6380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95551</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637977</v>
      </c>
      <c r="D29" s="1034"/>
      <c r="E29" s="1032"/>
      <c r="F29" s="1035"/>
      <c r="G29" s="652"/>
      <c r="H29" s="271" t="s">
        <v>24</v>
      </c>
      <c r="I29" s="272" t="s">
        <v>1869</v>
      </c>
      <c r="J29" s="273">
        <f ca="1">ROUND(J26/(1+F40)^F41,0)</f>
        <v>0</v>
      </c>
      <c r="K29" s="274" t="s">
        <v>1870</v>
      </c>
      <c r="L29" s="275"/>
      <c r="M29" s="276">
        <f>IF(D1="仅计算典型户型",'数据-取费表'!E5,'数据-取费表'!B5)</f>
        <v>130.13</v>
      </c>
    </row>
    <row r="30" spans="1:37" ht="18" customHeight="1" thickTop="1">
      <c r="A30" s="1021" t="s">
        <v>14</v>
      </c>
      <c r="B30" s="1022" t="s">
        <v>1871</v>
      </c>
      <c r="C30" s="243">
        <f ca="1">ROUND(C31+C36+C37+C38,0)</f>
        <v>11850</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3514</v>
      </c>
      <c r="D31" s="1256" t="s">
        <v>1873</v>
      </c>
      <c r="E31" s="1259" t="s">
        <v>1874</v>
      </c>
      <c r="F31" s="2744">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6380</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478</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1478</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135901</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4772745</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52</v>
      </c>
      <c r="H41" s="908"/>
      <c r="I41" s="135" t="s">
        <v>1762</v>
      </c>
      <c r="J41" s="136">
        <f ca="1">ROUND(C13/C40,3)</f>
        <v>0.1</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0.9</v>
      </c>
      <c r="K42" s="905"/>
      <c r="L42" s="908"/>
      <c r="M42" s="908"/>
      <c r="Q42" s="656"/>
    </row>
    <row r="43" spans="1:18" s="652" customFormat="1" ht="18" customHeight="1" thickBot="1">
      <c r="A43" s="271" t="s">
        <v>24</v>
      </c>
      <c r="B43" s="272" t="s">
        <v>1891</v>
      </c>
      <c r="C43" s="273">
        <f ca="1">ROUND(C40/F43,0)</f>
        <v>36677</v>
      </c>
      <c r="D43" s="274" t="s">
        <v>1892</v>
      </c>
      <c r="E43" s="275" t="s">
        <v>1893</v>
      </c>
      <c r="F43" s="276">
        <f>IF(D1="仅计算典型户型",'数据-取费表'!E5,'数据-取费表'!B5)</f>
        <v>130.13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4772745</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-4899056</v>
      </c>
      <c r="D47" s="1456" t="str">
        <f>C2</f>
        <v>元</v>
      </c>
      <c r="E47" s="649"/>
      <c r="F47" s="649"/>
      <c r="I47" s="1457" t="s">
        <v>1904</v>
      </c>
      <c r="J47" s="981"/>
      <c r="K47" s="982"/>
      <c r="L47" s="995">
        <f>IF(M48="住宅",0,IF(L49&gt;J52,L61,J61))</f>
        <v>0</v>
      </c>
      <c r="O47" s="1009" t="s">
        <v>769</v>
      </c>
      <c r="P47" s="1006" t="s">
        <v>1905</v>
      </c>
      <c r="Q47" s="1007">
        <f ca="1">C29</f>
        <v>637977</v>
      </c>
      <c r="R47" s="1008" t="s">
        <v>1900</v>
      </c>
    </row>
    <row r="48" spans="1:18" s="652" customFormat="1" ht="15.75" thickBot="1">
      <c r="A48" s="228" t="s">
        <v>1906</v>
      </c>
      <c r="B48" s="229" t="s">
        <v>1907</v>
      </c>
      <c r="C48" s="229" t="s">
        <v>1908</v>
      </c>
      <c r="D48" s="229" t="s">
        <v>1909</v>
      </c>
      <c r="E48" s="944" t="s">
        <v>1910</v>
      </c>
      <c r="F48" s="945"/>
      <c r="I48" s="1458" t="s">
        <v>1911</v>
      </c>
      <c r="J48" s="1459"/>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c r="K49" s="1463" t="s">
        <v>1916</v>
      </c>
      <c r="L49" s="821">
        <f>'数据-取费表'!B13</f>
        <v>52</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2006</v>
      </c>
      <c r="K50" s="1465" t="s">
        <v>1921</v>
      </c>
      <c r="L50" s="984"/>
      <c r="O50" s="1009" t="s">
        <v>772</v>
      </c>
      <c r="P50" s="1006" t="s">
        <v>1922</v>
      </c>
      <c r="Q50" s="1007">
        <f>J54</f>
        <v>52</v>
      </c>
      <c r="R50" s="1008" t="s">
        <v>1923</v>
      </c>
    </row>
    <row r="51" spans="1:18" s="652" customFormat="1" ht="15.75" thickBot="1">
      <c r="A51" s="237"/>
      <c r="B51" s="238"/>
      <c r="C51" s="239"/>
      <c r="D51" s="240"/>
      <c r="E51" s="255" t="s">
        <v>1777</v>
      </c>
      <c r="F51" s="943">
        <f>F7</f>
        <v>130.13</v>
      </c>
      <c r="I51" s="1461" t="s">
        <v>1924</v>
      </c>
      <c r="J51" s="985">
        <f>SUMPRODUCT((I64:I66=J48)*(J63:L63=J49)*(J64:L66))</f>
        <v>0</v>
      </c>
      <c r="K51" s="1465" t="s">
        <v>1925</v>
      </c>
      <c r="L51" s="984"/>
      <c r="O51" s="1005" t="s">
        <v>773</v>
      </c>
      <c r="P51" s="1006" t="str">
        <f>IF(C2="元","收益价值(元)","收益价值(万元)")</f>
        <v>收益价值(元)</v>
      </c>
      <c r="Q51" s="1007">
        <f ca="1">ROUND(IF(C2="元",Q45+Q46,(Q45+Q46)/10000),0)</f>
        <v>4772745</v>
      </c>
      <c r="R51" s="1008" t="s">
        <v>774</v>
      </c>
    </row>
    <row r="52" spans="1:18" s="652" customFormat="1" ht="16.5" thickBot="1">
      <c r="A52" s="237"/>
      <c r="B52" s="238"/>
      <c r="C52" s="239"/>
      <c r="D52" s="240"/>
      <c r="E52" s="235" t="s">
        <v>1779</v>
      </c>
      <c r="F52" s="236">
        <f>F8</f>
        <v>12</v>
      </c>
      <c r="I52" s="1466" t="s">
        <v>1926</v>
      </c>
      <c r="J52" s="986">
        <f>IF(J50="",J51,J50+J51-YEAR('数据-取费表'!B2))</f>
        <v>-16</v>
      </c>
      <c r="K52" s="1467" t="s">
        <v>1927</v>
      </c>
      <c r="L52" s="987">
        <f ca="1">ROUND(-PV('数据-取费表'!B15,J52,(C40-C13*J35)),0)</f>
        <v>-104162922</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52</v>
      </c>
      <c r="K54" s="3556" t="s">
        <v>2460</v>
      </c>
      <c r="L54" s="3557"/>
      <c r="O54" s="1005" t="s">
        <v>767</v>
      </c>
      <c r="P54" s="1006" t="s">
        <v>1899</v>
      </c>
      <c r="Q54" s="1007">
        <f ca="1">C40+J29</f>
        <v>4772745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478483</v>
      </c>
      <c r="D57" s="941"/>
      <c r="E57" s="942"/>
      <c r="F57" s="949"/>
      <c r="I57" s="1475" t="s">
        <v>1936</v>
      </c>
      <c r="J57" s="993"/>
      <c r="K57" s="1461" t="s">
        <v>1937</v>
      </c>
      <c r="L57" s="821">
        <f>IF(L49&lt;J52,"——",L49-J52)</f>
        <v>68</v>
      </c>
      <c r="O57" s="1009" t="s">
        <v>770</v>
      </c>
      <c r="P57" s="1006" t="s">
        <v>1938</v>
      </c>
      <c r="Q57" s="1010">
        <f>L53</f>
        <v>0</v>
      </c>
      <c r="R57" s="1008"/>
    </row>
    <row r="58" spans="1:18" s="652" customFormat="1" ht="29.25" thickBot="1">
      <c r="A58" s="948"/>
      <c r="B58" s="235" t="s">
        <v>1868</v>
      </c>
      <c r="C58" s="104">
        <f ca="1">C29</f>
        <v>637977</v>
      </c>
      <c r="D58" s="941"/>
      <c r="E58" s="942"/>
      <c r="F58" s="949"/>
      <c r="I58" s="1476" t="s">
        <v>1939</v>
      </c>
      <c r="J58" s="992" t="str">
        <f>IF(OR(M48="住宅",J52&lt;L49,J57="是"),"——",J52-L49)</f>
        <v>——</v>
      </c>
      <c r="K58" s="1461" t="s">
        <v>1940</v>
      </c>
      <c r="L58" s="821">
        <f ca="1">IF(L49&lt;J52,"——",IF(L56="比较法",L50,IF(L56="基准地价",L51,L52)))</f>
        <v>-104162922</v>
      </c>
      <c r="O58" s="1009" t="s">
        <v>771</v>
      </c>
      <c r="P58" s="1006" t="s">
        <v>1941</v>
      </c>
      <c r="Q58" s="1007" t="e">
        <f>L59</f>
        <v>#DIV/0!</v>
      </c>
      <c r="R58" s="1008" t="s">
        <v>1942</v>
      </c>
    </row>
    <row r="59" spans="1:18" s="652" customFormat="1" ht="29.25" thickBot="1">
      <c r="A59" s="248" t="s">
        <v>14</v>
      </c>
      <c r="B59" s="249" t="s">
        <v>1871</v>
      </c>
      <c r="C59" s="250">
        <f ca="1">ROUND(C60+C65+C66+C67,0)</f>
        <v>6858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4772745</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4772745</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6380</v>
      </c>
      <c r="D65" s="1259" t="s">
        <v>1881</v>
      </c>
      <c r="E65" s="235" t="s">
        <v>1825</v>
      </c>
      <c r="F65" s="265">
        <f t="shared" si="0"/>
        <v>0.01</v>
      </c>
      <c r="I65" s="1479" t="s">
        <v>1961</v>
      </c>
      <c r="J65" s="1251">
        <v>50</v>
      </c>
      <c r="K65" s="1251">
        <v>35</v>
      </c>
      <c r="L65" s="1251">
        <v>60</v>
      </c>
      <c r="M65" s="1250">
        <v>0</v>
      </c>
      <c r="O65" s="1009" t="s">
        <v>769</v>
      </c>
      <c r="P65" s="1006" t="s">
        <v>1935</v>
      </c>
      <c r="Q65" s="1011">
        <f ca="1">L52</f>
        <v>-104162922</v>
      </c>
      <c r="R65" s="1012" t="s">
        <v>1962</v>
      </c>
    </row>
    <row r="66" spans="1:18" s="652" customFormat="1" ht="20.25" thickBot="1">
      <c r="A66" s="253" t="s">
        <v>20</v>
      </c>
      <c r="B66" s="235" t="s">
        <v>1840</v>
      </c>
      <c r="C66" s="13">
        <f ca="1">ROUND(C57*F66,0)</f>
        <v>478</v>
      </c>
      <c r="D66" s="1259" t="s">
        <v>1841</v>
      </c>
      <c r="E66" s="235" t="s">
        <v>1842</v>
      </c>
      <c r="F66" s="266">
        <f t="shared" si="0"/>
        <v>1E-3</v>
      </c>
      <c r="I66" s="1479" t="s">
        <v>1963</v>
      </c>
      <c r="J66" s="1251">
        <v>40</v>
      </c>
      <c r="K66" s="1251">
        <v>30</v>
      </c>
      <c r="L66" s="1251">
        <v>50</v>
      </c>
      <c r="M66" s="1249">
        <v>0.02</v>
      </c>
      <c r="O66" s="1009" t="s">
        <v>770</v>
      </c>
      <c r="P66" s="1013" t="s">
        <v>1964</v>
      </c>
      <c r="Q66" s="1007">
        <f ca="1">ROUND(Q67-Q68*Q69,0)</f>
        <v>135901</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135901</v>
      </c>
      <c r="R67" s="1008" t="s">
        <v>1900</v>
      </c>
    </row>
    <row r="68" spans="1:18" ht="15.75" thickBot="1">
      <c r="A68" s="248" t="s">
        <v>22</v>
      </c>
      <c r="B68" s="41" t="s">
        <v>1850</v>
      </c>
      <c r="C68" s="250">
        <f ca="1">C49-C59</f>
        <v>-6858</v>
      </c>
      <c r="D68" s="1256" t="s">
        <v>1851</v>
      </c>
      <c r="E68" s="1258"/>
      <c r="F68" s="268"/>
      <c r="H68" s="652"/>
      <c r="I68" s="652"/>
      <c r="J68" s="652"/>
      <c r="K68" s="652"/>
      <c r="L68" s="652"/>
      <c r="M68" s="652"/>
      <c r="O68" s="1009" t="s">
        <v>776</v>
      </c>
      <c r="P68" s="1013" t="s">
        <v>1966</v>
      </c>
      <c r="Q68" s="1007">
        <f ca="1">C13</f>
        <v>478483</v>
      </c>
      <c r="R68" s="1008" t="s">
        <v>1900</v>
      </c>
    </row>
    <row r="69" spans="1:18" ht="15.75" thickBot="1">
      <c r="A69" s="232" t="s">
        <v>23</v>
      </c>
      <c r="B69" s="233" t="s">
        <v>1888</v>
      </c>
      <c r="C69" s="234">
        <f ca="1">ROUND(C68*(1-((1+F71)/(1+F69))^F70)/(F69-F71),0)</f>
        <v>-126311</v>
      </c>
      <c r="D69" s="261" t="s">
        <v>1856</v>
      </c>
      <c r="E69" s="235" t="s">
        <v>1857</v>
      </c>
      <c r="F69" s="245">
        <f>F40</f>
        <v>0.05</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52</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-971</v>
      </c>
      <c r="D72" s="274" t="s">
        <v>1892</v>
      </c>
      <c r="E72" s="275" t="s">
        <v>1893</v>
      </c>
      <c r="F72" s="276">
        <f>F43</f>
        <v>130.13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4772745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G53" sqref="G53"/>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58" t="s">
        <v>2651</v>
      </c>
      <c r="K2" s="3559"/>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60" t="s">
        <v>2661</v>
      </c>
      <c r="K3" s="3561"/>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60" t="s">
        <v>2663</v>
      </c>
      <c r="K4" s="3561"/>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62" t="s">
        <v>2667</v>
      </c>
      <c r="B6" s="3563"/>
      <c r="C6" s="3564"/>
      <c r="D6" s="3152"/>
      <c r="E6" s="3096"/>
      <c r="F6" s="3097"/>
      <c r="G6" s="3197"/>
      <c r="H6" s="3183"/>
      <c r="I6" s="3184"/>
      <c r="J6" s="3565">
        <v>1</v>
      </c>
      <c r="K6" s="3566"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5"/>
      <c r="K7" s="3567"/>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69" t="s">
        <v>2680</v>
      </c>
      <c r="C8" s="3570"/>
      <c r="D8" s="3106" t="s">
        <v>2681</v>
      </c>
      <c r="E8" s="3107" t="s">
        <v>2682</v>
      </c>
      <c r="F8" s="3090" t="s">
        <v>2683</v>
      </c>
      <c r="G8" s="3260" t="s">
        <v>2791</v>
      </c>
      <c r="H8" s="3183"/>
      <c r="I8" s="3184"/>
      <c r="J8" s="3565"/>
      <c r="K8" s="3567"/>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69" t="s">
        <v>2685</v>
      </c>
      <c r="C9" s="3570"/>
      <c r="D9" s="3106">
        <f>ROUND(D6*E9,0)</f>
        <v>0</v>
      </c>
      <c r="E9" s="3153"/>
      <c r="F9" s="3108" t="s">
        <v>2686</v>
      </c>
      <c r="G9" s="3206" t="s">
        <v>2789</v>
      </c>
      <c r="H9" s="3183"/>
      <c r="I9" s="3184"/>
      <c r="J9" s="3565"/>
      <c r="K9" s="3567"/>
      <c r="L9" s="3201" t="s">
        <v>2779</v>
      </c>
      <c r="M9" s="3202"/>
      <c r="N9" s="3202"/>
      <c r="O9" s="3203"/>
      <c r="P9" s="3203"/>
      <c r="Q9" s="3204">
        <v>365</v>
      </c>
      <c r="R9" s="3205">
        <f t="shared" si="0"/>
        <v>0</v>
      </c>
      <c r="S9" s="3181"/>
      <c r="T9" s="3181"/>
      <c r="U9" s="3181"/>
      <c r="V9" s="3184"/>
      <c r="W9" s="3183"/>
    </row>
    <row r="10" spans="1:23" s="3089" customFormat="1" ht="13.15" customHeight="1">
      <c r="A10" s="3105">
        <v>2</v>
      </c>
      <c r="B10" s="3569" t="s">
        <v>2687</v>
      </c>
      <c r="C10" s="3570"/>
      <c r="D10" s="3106">
        <f>ROUND(D6*E10,0)</f>
        <v>0</v>
      </c>
      <c r="E10" s="3153"/>
      <c r="F10" s="3108" t="s">
        <v>2688</v>
      </c>
      <c r="G10" s="3206" t="s">
        <v>2790</v>
      </c>
      <c r="H10" s="3183"/>
      <c r="I10" s="3184"/>
      <c r="J10" s="3565"/>
      <c r="K10" s="3567"/>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69" t="s">
        <v>2689</v>
      </c>
      <c r="C11" s="3570"/>
      <c r="D11" s="3106">
        <f>D12+D14+D15+D16</f>
        <v>0</v>
      </c>
      <c r="E11" s="3109" t="e">
        <f>D11/D6</f>
        <v>#DIV/0!</v>
      </c>
      <c r="F11" s="3090"/>
      <c r="G11" s="3206"/>
      <c r="H11" s="3183"/>
      <c r="I11" s="3184"/>
      <c r="J11" s="3565"/>
      <c r="K11" s="3567"/>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1" t="s">
        <v>2691</v>
      </c>
      <c r="C12" s="3572"/>
      <c r="D12" s="3111">
        <f>ROUND(D13*1.2%*(1-30%),0)</f>
        <v>0</v>
      </c>
      <c r="E12" s="3112">
        <v>1.2E-2</v>
      </c>
      <c r="F12" s="3090" t="s">
        <v>2692</v>
      </c>
      <c r="G12" s="3206"/>
      <c r="H12" s="3183"/>
      <c r="I12" s="3184"/>
      <c r="J12" s="3565"/>
      <c r="K12" s="3567"/>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5"/>
      <c r="K13" s="3567"/>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1" t="s">
        <v>2695</v>
      </c>
      <c r="C14" s="3572"/>
      <c r="D14" s="3111">
        <f>ROUND(E14*B5/10000,0)</f>
        <v>0</v>
      </c>
      <c r="E14" s="3155"/>
      <c r="F14" s="3090" t="s">
        <v>2696</v>
      </c>
      <c r="G14" s="3206"/>
      <c r="H14" s="3183"/>
      <c r="I14" s="3184"/>
      <c r="J14" s="3565"/>
      <c r="K14" s="3568"/>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1" t="s">
        <v>2699</v>
      </c>
      <c r="C15" s="3572"/>
      <c r="D15" s="3111">
        <f>ROUND(D6*E15,0)</f>
        <v>0</v>
      </c>
      <c r="E15" s="3112">
        <v>5.5E-2</v>
      </c>
      <c r="F15" s="3090" t="s">
        <v>2700</v>
      </c>
      <c r="G15" s="3206"/>
      <c r="H15" s="3183"/>
      <c r="I15" s="3184"/>
      <c r="J15" s="3565">
        <v>2</v>
      </c>
      <c r="K15" s="3566"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1" t="s">
        <v>2710</v>
      </c>
      <c r="C16" s="3572"/>
      <c r="D16" s="3156">
        <f>D6*E16</f>
        <v>0</v>
      </c>
      <c r="E16" s="3157"/>
      <c r="F16" s="3108" t="s">
        <v>2711</v>
      </c>
      <c r="G16" s="3206"/>
      <c r="H16" s="3183"/>
      <c r="I16" s="3184"/>
      <c r="J16" s="3565"/>
      <c r="K16" s="3567"/>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3" t="s">
        <v>2712</v>
      </c>
      <c r="C17" s="3574"/>
      <c r="D17" s="3117">
        <f>ROUND(D6*E17,0)</f>
        <v>0</v>
      </c>
      <c r="E17" s="3158"/>
      <c r="F17" s="3118" t="s">
        <v>2713</v>
      </c>
      <c r="G17" s="3259">
        <v>0.1</v>
      </c>
      <c r="H17" s="3183"/>
      <c r="I17" s="3184"/>
      <c r="J17" s="3565"/>
      <c r="K17" s="3567"/>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5"/>
      <c r="K18" s="3567"/>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5"/>
      <c r="K19" s="3568"/>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5">
        <v>3</v>
      </c>
      <c r="K20" s="3566"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5"/>
      <c r="K21" s="3567"/>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5"/>
      <c r="K22" s="3567"/>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5"/>
      <c r="K23" s="3567"/>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5"/>
      <c r="K24" s="3568"/>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5">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6"/>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58" t="s">
        <v>2749</v>
      </c>
      <c r="K32" s="3559"/>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60" t="s">
        <v>2753</v>
      </c>
      <c r="K33" s="3561"/>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60" t="s">
        <v>2755</v>
      </c>
      <c r="K34" s="3561"/>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5">
        <v>1</v>
      </c>
      <c r="K36" s="3566"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5"/>
      <c r="K37" s="3567"/>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5"/>
      <c r="K38" s="3567"/>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5"/>
      <c r="K39" s="3567"/>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5"/>
      <c r="K40" s="3568"/>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5">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6"/>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0" t="s">
        <v>1973</v>
      </c>
      <c r="D4" s="3581"/>
      <c r="E4" s="3581"/>
      <c r="F4" s="3581"/>
      <c r="G4" s="3581"/>
      <c r="H4" s="3581"/>
      <c r="I4" s="3581"/>
      <c r="J4" s="3581"/>
      <c r="K4" s="3581"/>
      <c r="L4" s="3581"/>
      <c r="M4" s="3581"/>
      <c r="N4" s="3581"/>
      <c r="O4" s="3581"/>
      <c r="P4" s="3581"/>
      <c r="Q4" s="3581"/>
      <c r="R4" s="3581"/>
      <c r="S4" s="358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7" t="s">
        <v>45</v>
      </c>
      <c r="D25" s="3578"/>
      <c r="E25" s="3578"/>
      <c r="F25" s="3578"/>
      <c r="G25" s="3578"/>
      <c r="H25" s="3578"/>
      <c r="I25" s="3578"/>
      <c r="J25" s="3578"/>
      <c r="K25" s="3578"/>
      <c r="L25" s="3578"/>
      <c r="M25" s="3578"/>
      <c r="N25" s="3578"/>
      <c r="O25" s="3578"/>
      <c r="P25" s="3578"/>
      <c r="Q25" s="3579"/>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8" zoomScale="85" zoomScaleNormal="70" zoomScaleSheetLayoutView="85" workbookViewId="0">
      <selection activeCell="I47" sqref="I47"/>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8903104</v>
      </c>
      <c r="C2" s="1579" t="str">
        <f>'数据-取费表'!B3</f>
        <v>元</v>
      </c>
      <c r="D2" s="1580" t="s">
        <v>1001</v>
      </c>
      <c r="E2" s="1581" t="e">
        <f ca="1">SUMIF(INDIRECT("'"&amp;G2&amp;"'"&amp;"!A:A"),"承租人权益价值",INDIRECT("'"&amp;G2&amp;"'"&amp;"!c:c"))</f>
        <v>#REF!</v>
      </c>
      <c r="F2" s="1582" t="str">
        <f>C2</f>
        <v>元</v>
      </c>
      <c r="G2" s="1583" t="s">
        <v>3042</v>
      </c>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68417</v>
      </c>
      <c r="C3" s="1588" t="s">
        <v>2005</v>
      </c>
      <c r="D3" s="1588">
        <f>IF(C1="仅计算典型户型",'数据-取费表'!E5,'数据-取费表'!B5)</f>
        <v>130.13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6" t="s">
        <v>2007</v>
      </c>
      <c r="D4" s="3617"/>
      <c r="E4" s="3618" t="s">
        <v>2008</v>
      </c>
      <c r="F4" s="3619"/>
      <c r="G4" s="3616" t="s">
        <v>2009</v>
      </c>
      <c r="H4" s="3617"/>
      <c r="I4" s="3616" t="s">
        <v>2010</v>
      </c>
      <c r="J4" s="3617"/>
      <c r="K4" s="1593" t="s">
        <v>2011</v>
      </c>
      <c r="L4" s="2915"/>
      <c r="M4" s="2916"/>
      <c r="N4" s="2916"/>
      <c r="O4" s="2916"/>
      <c r="P4" s="3620" t="s">
        <v>2012</v>
      </c>
      <c r="Q4" s="3621"/>
      <c r="R4" s="3605" t="s">
        <v>2008</v>
      </c>
      <c r="S4" s="3606"/>
      <c r="T4" s="3605" t="s">
        <v>2009</v>
      </c>
      <c r="U4" s="3606"/>
      <c r="V4" s="3626" t="s">
        <v>2010</v>
      </c>
      <c r="W4" s="3626"/>
      <c r="X4" s="1594"/>
      <c r="Y4" s="3605" t="s">
        <v>2012</v>
      </c>
      <c r="Z4" s="3606"/>
      <c r="AA4" s="3613" t="s">
        <v>2008</v>
      </c>
      <c r="AB4" s="3613" t="s">
        <v>2009</v>
      </c>
      <c r="AC4" s="3613" t="s">
        <v>2010</v>
      </c>
    </row>
    <row r="5" spans="1:29" ht="15">
      <c r="A5" s="1596"/>
      <c r="B5" s="1597"/>
      <c r="C5" s="3732" t="s">
        <v>3045</v>
      </c>
      <c r="D5" s="3602"/>
      <c r="E5" s="3627" t="str">
        <f>C5</f>
        <v>梵谷水郡</v>
      </c>
      <c r="F5" s="3628"/>
      <c r="G5" s="3601" t="str">
        <f>C5</f>
        <v>梵谷水郡</v>
      </c>
      <c r="H5" s="3602"/>
      <c r="I5" s="3601" t="str">
        <f>C5</f>
        <v>梵谷水郡</v>
      </c>
      <c r="J5" s="3602"/>
      <c r="K5" s="1598"/>
      <c r="L5" s="2915"/>
      <c r="M5" s="2916"/>
      <c r="N5" s="2916"/>
      <c r="O5" s="2916"/>
      <c r="P5" s="3622"/>
      <c r="Q5" s="3623"/>
      <c r="R5" s="3607"/>
      <c r="S5" s="3608"/>
      <c r="T5" s="3607"/>
      <c r="U5" s="3608"/>
      <c r="V5" s="3626"/>
      <c r="W5" s="3626"/>
      <c r="X5" s="1594"/>
      <c r="Y5" s="3607"/>
      <c r="Z5" s="3608"/>
      <c r="AA5" s="3614"/>
      <c r="AB5" s="3614"/>
      <c r="AC5" s="3614"/>
    </row>
    <row r="6" spans="1:29" ht="15.75" thickBot="1">
      <c r="A6" s="1599"/>
      <c r="B6" s="1600"/>
      <c r="C6" s="3599" t="str">
        <f>项目基本情况!C8</f>
        <v>驼房营南路2号院18号楼9-901</v>
      </c>
      <c r="D6" s="3600"/>
      <c r="E6" s="3629" t="s">
        <v>3074</v>
      </c>
      <c r="F6" s="3630"/>
      <c r="G6" s="3599" t="s">
        <v>3073</v>
      </c>
      <c r="H6" s="3600"/>
      <c r="I6" s="3742" t="s">
        <v>3072</v>
      </c>
      <c r="J6" s="3600"/>
      <c r="K6" s="1598" t="s">
        <v>2018</v>
      </c>
      <c r="L6" s="2915"/>
      <c r="M6" s="2916"/>
      <c r="N6" s="2916"/>
      <c r="O6" s="2916"/>
      <c r="P6" s="3624"/>
      <c r="Q6" s="3625"/>
      <c r="R6" s="3607"/>
      <c r="S6" s="3608"/>
      <c r="T6" s="3609"/>
      <c r="U6" s="3610"/>
      <c r="V6" s="3626"/>
      <c r="W6" s="3626"/>
      <c r="X6" s="1594"/>
      <c r="Y6" s="3609"/>
      <c r="Z6" s="3610"/>
      <c r="AA6" s="3615"/>
      <c r="AB6" s="3615"/>
      <c r="AC6" s="3615"/>
    </row>
    <row r="7" spans="1:29" s="1613" customFormat="1" ht="15.75" thickBot="1">
      <c r="A7" s="1601" t="s">
        <v>2019</v>
      </c>
      <c r="B7" s="1602"/>
      <c r="C7" s="1603">
        <f>'数据-取费表'!B2</f>
        <v>44820</v>
      </c>
      <c r="D7" s="1604">
        <v>100</v>
      </c>
      <c r="E7" s="1605">
        <v>44817</v>
      </c>
      <c r="F7" s="1606">
        <f>SUMIF(58:58,YEAR(E7)&amp;"-"&amp;MONTH(E7),59:59)</f>
        <v>100</v>
      </c>
      <c r="G7" s="1605">
        <v>44797</v>
      </c>
      <c r="H7" s="1604">
        <f>SUMIF(58:58,YEAR(G7)&amp;"-"&amp;MONTH(G7),59:59)</f>
        <v>100</v>
      </c>
      <c r="I7" s="1605">
        <v>44604</v>
      </c>
      <c r="J7" s="1604">
        <f>SUMIF(58:58,YEAR(I7)&amp;"-"&amp;MONTH(I7),59:59)</f>
        <v>99</v>
      </c>
      <c r="K7" s="1607"/>
      <c r="L7" s="2915"/>
      <c r="M7" s="2888"/>
      <c r="N7" s="2888"/>
      <c r="O7" s="2888"/>
      <c r="P7" s="3603" t="s">
        <v>2020</v>
      </c>
      <c r="Q7" s="3611"/>
      <c r="R7" s="1609" t="s">
        <v>34</v>
      </c>
      <c r="S7" s="1610">
        <f t="shared" ref="S7:S15" si="0">F7</f>
        <v>100</v>
      </c>
      <c r="T7" s="1609" t="s">
        <v>34</v>
      </c>
      <c r="U7" s="1610">
        <f t="shared" ref="U7:U15" si="1">H7</f>
        <v>100</v>
      </c>
      <c r="V7" s="1609" t="s">
        <v>34</v>
      </c>
      <c r="W7" s="1610">
        <f t="shared" ref="W7:W15" si="2">J7</f>
        <v>99</v>
      </c>
      <c r="X7" s="1611"/>
      <c r="Y7" s="3603" t="s">
        <v>2020</v>
      </c>
      <c r="Z7" s="3604"/>
      <c r="AA7" s="1612">
        <f>D7/F7</f>
        <v>1</v>
      </c>
      <c r="AB7" s="1612">
        <f>D7/H7</f>
        <v>1</v>
      </c>
      <c r="AC7" s="1612">
        <f>D7/J7</f>
        <v>1.0101010101010102</v>
      </c>
    </row>
    <row r="8" spans="1:29" s="1613" customFormat="1" ht="15.75" thickBot="1">
      <c r="A8" s="1601" t="s">
        <v>2021</v>
      </c>
      <c r="B8" s="1602"/>
      <c r="C8" s="1614" t="s">
        <v>2022</v>
      </c>
      <c r="D8" s="1604">
        <v>100</v>
      </c>
      <c r="E8" s="1615" t="s">
        <v>2637</v>
      </c>
      <c r="F8" s="1606">
        <f>SUMIF(61:61,E8,62:62)-SUMIF(61:61,C8,62:62)+100</f>
        <v>100</v>
      </c>
      <c r="G8" s="1614" t="s">
        <v>2637</v>
      </c>
      <c r="H8" s="1604">
        <f>SUMIF(61:61,G8,62:62)-SUMIF(61:61,C8,62:62)+100</f>
        <v>100</v>
      </c>
      <c r="I8" s="1615" t="s">
        <v>2637</v>
      </c>
      <c r="J8" s="1604">
        <f>SUMIF(61:61,I8,62:62)-SUMIF(61:61,C8,62:62)+100</f>
        <v>100</v>
      </c>
      <c r="K8" s="1607"/>
      <c r="L8" s="2915"/>
      <c r="M8" s="2888"/>
      <c r="N8" s="2888"/>
      <c r="O8" s="2888"/>
      <c r="P8" s="3603" t="s">
        <v>2023</v>
      </c>
      <c r="Q8" s="3604"/>
      <c r="R8" s="1609" t="s">
        <v>34</v>
      </c>
      <c r="S8" s="1610">
        <f t="shared" si="0"/>
        <v>100</v>
      </c>
      <c r="T8" s="1609" t="s">
        <v>34</v>
      </c>
      <c r="U8" s="1610">
        <f t="shared" si="1"/>
        <v>100</v>
      </c>
      <c r="V8" s="1609" t="s">
        <v>34</v>
      </c>
      <c r="W8" s="1610">
        <f t="shared" si="2"/>
        <v>100</v>
      </c>
      <c r="X8" s="1611"/>
      <c r="Y8" s="3603" t="s">
        <v>2023</v>
      </c>
      <c r="Z8" s="3604"/>
      <c r="AA8" s="1612">
        <f t="shared" ref="AA8:AA46" si="3">D8/F8</f>
        <v>1</v>
      </c>
      <c r="AB8" s="1612">
        <f t="shared" ref="AB8:AB46" si="4">D8/H8</f>
        <v>1</v>
      </c>
      <c r="AC8" s="1612">
        <f t="shared" ref="AC8:AC46" si="5">D8/J8</f>
        <v>1</v>
      </c>
    </row>
    <row r="9" spans="1:29" s="1613" customFormat="1" ht="15">
      <c r="A9" s="1564" t="s">
        <v>2024</v>
      </c>
      <c r="B9" s="1616" t="s">
        <v>2025</v>
      </c>
      <c r="C9" s="3731" t="s">
        <v>3043</v>
      </c>
      <c r="D9" s="1618">
        <v>100</v>
      </c>
      <c r="E9" s="1619" t="s">
        <v>2641</v>
      </c>
      <c r="F9" s="1620">
        <f>SUMIF(63:63,E9,64:64)-SUMIF(63:63,C9,64:64)+100</f>
        <v>100</v>
      </c>
      <c r="G9" s="1621" t="s">
        <v>2641</v>
      </c>
      <c r="H9" s="1618">
        <f>SUMIF(63:63,G9,64:64)-SUMIF(63:63,C9,64:64)+100</f>
        <v>100</v>
      </c>
      <c r="I9" s="1621" t="s">
        <v>2641</v>
      </c>
      <c r="J9" s="1618">
        <f>SUMIF(63:63,I9,64:64)-SUMIF(63:63,C9,64:64)+100</f>
        <v>100</v>
      </c>
      <c r="K9" s="1607"/>
      <c r="L9" s="2915"/>
      <c r="M9" s="2888"/>
      <c r="N9" s="2888"/>
      <c r="O9" s="2888"/>
      <c r="P9" s="3612" t="s">
        <v>2026</v>
      </c>
      <c r="Q9" s="1563"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7">
      <c r="A10" s="1623"/>
      <c r="B10" s="1624" t="s">
        <v>2028</v>
      </c>
      <c r="C10" s="1625" t="s">
        <v>3044</v>
      </c>
      <c r="D10" s="1626">
        <v>100</v>
      </c>
      <c r="E10" s="1627" t="s">
        <v>3044</v>
      </c>
      <c r="F10" s="1628">
        <f>SUMIF(65:65,E10,66:66)-SUMIF(65:65,C10,66:66)+100</f>
        <v>100</v>
      </c>
      <c r="G10" s="1625" t="s">
        <v>3044</v>
      </c>
      <c r="H10" s="1626">
        <f>SUMIF(65:65,G10,66:66)-SUMIF(65:65,C10,66:66)+100</f>
        <v>100</v>
      </c>
      <c r="I10" s="1625" t="s">
        <v>3044</v>
      </c>
      <c r="J10" s="1626">
        <f>SUMIF(65:65,I10,66:66)-SUMIF(65:65,C10,66:66)+100</f>
        <v>100</v>
      </c>
      <c r="K10" s="1629"/>
      <c r="L10" s="2917"/>
      <c r="M10" s="2918"/>
      <c r="N10" s="2918"/>
      <c r="O10" s="2918"/>
      <c r="P10" s="3612"/>
      <c r="Q10" s="1563" t="str">
        <f t="shared" si="6"/>
        <v>土地使用年限（年）</v>
      </c>
      <c r="R10" s="1609" t="s">
        <v>25</v>
      </c>
      <c r="S10" s="1610">
        <f t="shared" si="0"/>
        <v>100</v>
      </c>
      <c r="T10" s="1609" t="s">
        <v>25</v>
      </c>
      <c r="U10" s="1610">
        <f t="shared" si="1"/>
        <v>100</v>
      </c>
      <c r="V10" s="1609" t="s">
        <v>25</v>
      </c>
      <c r="W10" s="1610">
        <f t="shared" si="2"/>
        <v>100</v>
      </c>
      <c r="X10" s="1611"/>
      <c r="Y10" s="3449"/>
      <c r="Z10" s="1622" t="str">
        <f t="shared" si="7"/>
        <v>土地使用年限（年）</v>
      </c>
      <c r="AA10" s="1612">
        <f t="shared" si="3"/>
        <v>1</v>
      </c>
      <c r="AB10" s="1612">
        <f t="shared" si="4"/>
        <v>1</v>
      </c>
      <c r="AC10" s="1612">
        <f t="shared" si="5"/>
        <v>1</v>
      </c>
    </row>
    <row r="11" spans="1:29" ht="15.75" thickBot="1">
      <c r="A11" s="1631"/>
      <c r="B11" s="1624" t="s">
        <v>2029</v>
      </c>
      <c r="C11" s="1632">
        <v>2.6</v>
      </c>
      <c r="D11" s="1626">
        <v>100</v>
      </c>
      <c r="E11" s="1633">
        <v>2.6</v>
      </c>
      <c r="F11" s="1628">
        <f>LOOKUP(E11,68:68,69:69)-LOOKUP(C11,68:68,69:69)+100</f>
        <v>100</v>
      </c>
      <c r="G11" s="1632">
        <v>2.6</v>
      </c>
      <c r="H11" s="1626">
        <f>LOOKUP(G11,68:68,69:69)-LOOKUP(C11,68:68,69:69)+100</f>
        <v>100</v>
      </c>
      <c r="I11" s="1632">
        <v>2.6</v>
      </c>
      <c r="J11" s="1626">
        <f>LOOKUP(I11,68:68,69:69)-LOOKUP(C11,68:68,69:69)+100</f>
        <v>100</v>
      </c>
      <c r="K11" s="1629"/>
      <c r="L11" s="2919"/>
      <c r="M11" s="2916"/>
      <c r="N11" s="2916"/>
      <c r="O11" s="2916"/>
      <c r="P11" s="3612"/>
      <c r="Q11" s="1563" t="str">
        <f t="shared" si="6"/>
        <v>容积率</v>
      </c>
      <c r="R11" s="1609" t="s">
        <v>28</v>
      </c>
      <c r="S11" s="1610">
        <f t="shared" si="0"/>
        <v>100</v>
      </c>
      <c r="T11" s="1609" t="s">
        <v>28</v>
      </c>
      <c r="U11" s="1610">
        <f t="shared" si="1"/>
        <v>100</v>
      </c>
      <c r="V11" s="1609" t="s">
        <v>28</v>
      </c>
      <c r="W11" s="1610">
        <f t="shared" si="2"/>
        <v>100</v>
      </c>
      <c r="X11" s="1611"/>
      <c r="Y11" s="3449"/>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2"/>
      <c r="Q12" s="1563">
        <f t="shared" si="6"/>
        <v>111</v>
      </c>
      <c r="R12" s="1609" t="s">
        <v>28</v>
      </c>
      <c r="S12" s="1610">
        <f t="shared" si="0"/>
        <v>100</v>
      </c>
      <c r="T12" s="1609" t="s">
        <v>28</v>
      </c>
      <c r="U12" s="1610">
        <f t="shared" si="1"/>
        <v>100</v>
      </c>
      <c r="V12" s="1609" t="s">
        <v>28</v>
      </c>
      <c r="W12" s="1610">
        <f t="shared" si="2"/>
        <v>100</v>
      </c>
      <c r="X12" s="1611"/>
      <c r="Y12" s="3449"/>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2"/>
      <c r="Q13" s="1563">
        <f t="shared" si="6"/>
        <v>111</v>
      </c>
      <c r="R13" s="1609" t="s">
        <v>28</v>
      </c>
      <c r="S13" s="1610">
        <f t="shared" si="0"/>
        <v>100</v>
      </c>
      <c r="T13" s="1609" t="s">
        <v>28</v>
      </c>
      <c r="U13" s="1610">
        <f t="shared" si="1"/>
        <v>100</v>
      </c>
      <c r="V13" s="1609" t="s">
        <v>28</v>
      </c>
      <c r="W13" s="1610">
        <f t="shared" si="2"/>
        <v>100</v>
      </c>
      <c r="X13" s="1611"/>
      <c r="Y13" s="3449"/>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2"/>
      <c r="Q14" s="1563">
        <f t="shared" si="6"/>
        <v>111</v>
      </c>
      <c r="R14" s="1609" t="s">
        <v>28</v>
      </c>
      <c r="S14" s="1610">
        <f t="shared" si="0"/>
        <v>100</v>
      </c>
      <c r="T14" s="1609" t="s">
        <v>28</v>
      </c>
      <c r="U14" s="1610">
        <f t="shared" si="1"/>
        <v>100</v>
      </c>
      <c r="V14" s="1609" t="s">
        <v>28</v>
      </c>
      <c r="W14" s="1610">
        <f t="shared" si="2"/>
        <v>100</v>
      </c>
      <c r="X14" s="1611"/>
      <c r="Y14" s="3449"/>
      <c r="Z14" s="1622">
        <f t="shared" si="7"/>
        <v>111</v>
      </c>
      <c r="AA14" s="1612">
        <f t="shared" si="3"/>
        <v>1</v>
      </c>
      <c r="AB14" s="1612">
        <f t="shared" si="4"/>
        <v>1</v>
      </c>
      <c r="AC14" s="1612">
        <f t="shared" si="5"/>
        <v>1</v>
      </c>
    </row>
    <row r="15" spans="1:29" ht="69.75" customHeight="1">
      <c r="A15" s="1646" t="s">
        <v>2030</v>
      </c>
      <c r="B15" s="1647" t="s">
        <v>1464</v>
      </c>
      <c r="C15" s="1648" t="str">
        <f>估价对象房地状况!C3</f>
        <v>估价对象周边有首信小区、亮马嘉园、兆维小区等，综合评价居住社区成熟度较好</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0" t="s">
        <v>2031</v>
      </c>
      <c r="Q15" s="1544" t="str">
        <f t="shared" si="6"/>
        <v>居住社区成熟度</v>
      </c>
      <c r="R15" s="1654" t="s">
        <v>28</v>
      </c>
      <c r="S15" s="1655">
        <f t="shared" si="0"/>
        <v>100</v>
      </c>
      <c r="T15" s="1654" t="s">
        <v>28</v>
      </c>
      <c r="U15" s="1655">
        <f t="shared" si="1"/>
        <v>100</v>
      </c>
      <c r="V15" s="1654" t="s">
        <v>28</v>
      </c>
      <c r="W15" s="1655">
        <f t="shared" si="2"/>
        <v>100</v>
      </c>
      <c r="X15" s="1594"/>
      <c r="Y15" s="359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1"/>
      <c r="Q16" s="1544"/>
      <c r="R16" s="1654"/>
      <c r="S16" s="1655"/>
      <c r="T16" s="1654"/>
      <c r="U16" s="1655"/>
      <c r="V16" s="1654"/>
      <c r="W16" s="1655"/>
      <c r="X16" s="1594"/>
      <c r="Y16" s="359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1"/>
      <c r="Q17" s="1544" t="str">
        <f>B17</f>
        <v>交通便捷度</v>
      </c>
      <c r="R17" s="1654" t="s">
        <v>28</v>
      </c>
      <c r="S17" s="1655">
        <f>F17</f>
        <v>100</v>
      </c>
      <c r="T17" s="1654" t="s">
        <v>28</v>
      </c>
      <c r="U17" s="1655">
        <f>H17</f>
        <v>100</v>
      </c>
      <c r="V17" s="1654" t="s">
        <v>28</v>
      </c>
      <c r="W17" s="1655">
        <f>J17</f>
        <v>100</v>
      </c>
      <c r="X17" s="1594"/>
      <c r="Y17" s="359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1"/>
      <c r="Q18" s="1544"/>
      <c r="R18" s="1654"/>
      <c r="S18" s="1655"/>
      <c r="T18" s="1654"/>
      <c r="U18" s="1655"/>
      <c r="V18" s="1654"/>
      <c r="W18" s="1655"/>
      <c r="X18" s="1594"/>
      <c r="Y18" s="359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1"/>
      <c r="Q19" s="1544" t="str">
        <f>B19</f>
        <v>公共配套设施</v>
      </c>
      <c r="R19" s="1654" t="s">
        <v>28</v>
      </c>
      <c r="S19" s="1655">
        <f>F19</f>
        <v>100</v>
      </c>
      <c r="T19" s="1654" t="s">
        <v>28</v>
      </c>
      <c r="U19" s="1655">
        <f>H19</f>
        <v>100</v>
      </c>
      <c r="V19" s="1654" t="s">
        <v>28</v>
      </c>
      <c r="W19" s="1655">
        <f>J19</f>
        <v>100</v>
      </c>
      <c r="X19" s="1594"/>
      <c r="Y19" s="359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1"/>
      <c r="Q20" s="1544"/>
      <c r="R20" s="1654"/>
      <c r="S20" s="1655"/>
      <c r="T20" s="1654"/>
      <c r="U20" s="1655"/>
      <c r="V20" s="1654"/>
      <c r="W20" s="1655"/>
      <c r="X20" s="1594"/>
      <c r="Y20" s="3593"/>
      <c r="Z20" s="1656"/>
      <c r="AA20" s="1657">
        <v>1</v>
      </c>
      <c r="AB20" s="1657">
        <v>1</v>
      </c>
      <c r="AC20" s="1657">
        <v>1</v>
      </c>
    </row>
    <row r="21" spans="1:29" ht="28.5">
      <c r="A21" s="1631"/>
      <c r="B21" s="1679" t="s">
        <v>1467</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1"/>
      <c r="Q21" s="1544" t="str">
        <f>B21</f>
        <v>基础设施水平</v>
      </c>
      <c r="R21" s="1654" t="s">
        <v>28</v>
      </c>
      <c r="S21" s="1655">
        <f>F21</f>
        <v>100</v>
      </c>
      <c r="T21" s="1654" t="s">
        <v>28</v>
      </c>
      <c r="U21" s="1655">
        <f>H21</f>
        <v>100</v>
      </c>
      <c r="V21" s="1654" t="s">
        <v>28</v>
      </c>
      <c r="W21" s="1655">
        <f>J21</f>
        <v>100</v>
      </c>
      <c r="X21" s="1594"/>
      <c r="Y21" s="359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1"/>
      <c r="Q22" s="1544"/>
      <c r="R22" s="1654"/>
      <c r="S22" s="1655"/>
      <c r="T22" s="1654"/>
      <c r="U22" s="1655"/>
      <c r="V22" s="1654"/>
      <c r="W22" s="1655"/>
      <c r="X22" s="1594"/>
      <c r="Y22" s="3593"/>
      <c r="Z22" s="1656"/>
      <c r="AA22" s="1657">
        <v>1</v>
      </c>
      <c r="AB22" s="1657">
        <v>1</v>
      </c>
      <c r="AC22" s="1657">
        <v>1</v>
      </c>
    </row>
    <row r="23" spans="1:29" ht="90.75" customHeight="1">
      <c r="A23" s="1631"/>
      <c r="B23" s="1666" t="s">
        <v>1468</v>
      </c>
      <c r="C23" s="1667" t="str">
        <f>估价对象房地状况!C9</f>
        <v>区域自然环境：亮马河、东风公园等；人文环境；东风艺术区、七棵树创意园，综合评价环境状况较好</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1"/>
      <c r="Q23" s="1544" t="str">
        <f>B23</f>
        <v>自然及人文环境</v>
      </c>
      <c r="R23" s="1654" t="s">
        <v>28</v>
      </c>
      <c r="S23" s="1655">
        <f>F23</f>
        <v>100</v>
      </c>
      <c r="T23" s="1654" t="s">
        <v>28</v>
      </c>
      <c r="U23" s="1655">
        <f>H23</f>
        <v>100</v>
      </c>
      <c r="V23" s="1654" t="s">
        <v>28</v>
      </c>
      <c r="W23" s="1655">
        <f>J23</f>
        <v>100</v>
      </c>
      <c r="X23" s="1594"/>
      <c r="Y23" s="359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1"/>
      <c r="Q24" s="1544"/>
      <c r="R24" s="1654"/>
      <c r="S24" s="1655"/>
      <c r="T24" s="1654"/>
      <c r="U24" s="1655"/>
      <c r="V24" s="1654"/>
      <c r="W24" s="1655"/>
      <c r="X24" s="1594"/>
      <c r="Y24" s="3593"/>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1"/>
      <c r="Q25" s="1544" t="str">
        <f t="shared" ref="Q25:Q46" si="11">B25</f>
        <v>楼层-1</v>
      </c>
      <c r="R25" s="1654" t="s">
        <v>28</v>
      </c>
      <c r="S25" s="1655">
        <f>F25</f>
        <v>100</v>
      </c>
      <c r="T25" s="1654" t="s">
        <v>28</v>
      </c>
      <c r="U25" s="1655">
        <f>H25</f>
        <v>100</v>
      </c>
      <c r="V25" s="1654" t="s">
        <v>28</v>
      </c>
      <c r="W25" s="1655">
        <f>J25</f>
        <v>100</v>
      </c>
      <c r="X25" s="1594"/>
      <c r="Y25" s="3593"/>
      <c r="Z25" s="1656" t="str">
        <f>Q25</f>
        <v>楼层-1</v>
      </c>
      <c r="AA25" s="1657">
        <f t="shared" si="3"/>
        <v>1</v>
      </c>
      <c r="AB25" s="1657">
        <f t="shared" si="4"/>
        <v>1</v>
      </c>
      <c r="AC25" s="1657">
        <f t="shared" si="5"/>
        <v>1</v>
      </c>
    </row>
    <row r="26" spans="1:29" ht="15">
      <c r="A26" s="1631"/>
      <c r="B26" s="1624" t="s">
        <v>2033</v>
      </c>
      <c r="C26" s="1681" t="s">
        <v>3053</v>
      </c>
      <c r="D26" s="1640">
        <v>100</v>
      </c>
      <c r="E26" s="1682" t="s">
        <v>3075</v>
      </c>
      <c r="F26" s="1683">
        <f>SUMIF(88:88,E26,89:89)-SUMIF(88:88,C26,89:89)+100</f>
        <v>95</v>
      </c>
      <c r="G26" s="1684" t="s">
        <v>3055</v>
      </c>
      <c r="H26" s="1640">
        <f>SUMIF(88:88,G26,89:89)-SUMIF(88:88,C26,89:89)+100</f>
        <v>99</v>
      </c>
      <c r="I26" s="1682" t="s">
        <v>3055</v>
      </c>
      <c r="J26" s="1640">
        <f>SUMIF(88:88,I26,89:89)-SUMIF(88:88,C26,89:89)+100</f>
        <v>99</v>
      </c>
      <c r="K26" s="1629">
        <v>1</v>
      </c>
      <c r="L26" s="2920"/>
      <c r="M26" s="2916"/>
      <c r="N26" s="2916"/>
      <c r="O26" s="2916"/>
      <c r="P26" s="3591"/>
      <c r="Q26" s="1544" t="str">
        <f t="shared" si="11"/>
        <v>朝向</v>
      </c>
      <c r="R26" s="1654" t="s">
        <v>28</v>
      </c>
      <c r="S26" s="1655">
        <f>F26</f>
        <v>95</v>
      </c>
      <c r="T26" s="1654" t="s">
        <v>28</v>
      </c>
      <c r="U26" s="1655">
        <f>H26</f>
        <v>99</v>
      </c>
      <c r="V26" s="1654" t="s">
        <v>28</v>
      </c>
      <c r="W26" s="1655">
        <f>J26</f>
        <v>99</v>
      </c>
      <c r="X26" s="1594"/>
      <c r="Y26" s="3593"/>
      <c r="Z26" s="1656" t="str">
        <f>Q26</f>
        <v>朝向</v>
      </c>
      <c r="AA26" s="1657">
        <f t="shared" si="3"/>
        <v>1.0526315789473684</v>
      </c>
      <c r="AB26" s="1657">
        <f t="shared" si="4"/>
        <v>1.0101010101010102</v>
      </c>
      <c r="AC26" s="1657">
        <f t="shared" si="5"/>
        <v>1.0101010101010102</v>
      </c>
    </row>
    <row r="27" spans="1:29" s="1613" customFormat="1" ht="28.5">
      <c r="A27" s="1634"/>
      <c r="B27" s="1635" t="s">
        <v>2034</v>
      </c>
      <c r="C27" s="1636" t="str">
        <f>估价对象房地状况!C10</f>
        <v>城市支路——驼房营南路</v>
      </c>
      <c r="D27" s="1685">
        <v>100</v>
      </c>
      <c r="E27" s="2409" t="str">
        <f>C27</f>
        <v>城市支路——驼房营南路</v>
      </c>
      <c r="F27" s="1687">
        <f>SUMIF(90:90,E27,91:91)-SUMIF(90:90,C27,91:91)+100</f>
        <v>100</v>
      </c>
      <c r="G27" s="1636" t="str">
        <f>C27</f>
        <v>城市支路——驼房营南路</v>
      </c>
      <c r="H27" s="1685">
        <f>SUMIF(90:90,G27,91:91)-SUMIF(90:90,C27,91:91)+100</f>
        <v>100</v>
      </c>
      <c r="I27" s="2409" t="str">
        <f>C27</f>
        <v>城市支路——驼房营南路</v>
      </c>
      <c r="J27" s="1685">
        <f>SUMIF(90:90,I27,91:91)-SUMIF(90:90,C27,91:91)+100</f>
        <v>100</v>
      </c>
      <c r="K27" s="1638"/>
      <c r="L27" s="2915"/>
      <c r="M27" s="2888"/>
      <c r="N27" s="2888"/>
      <c r="O27" s="2888"/>
      <c r="P27" s="3591"/>
      <c r="Q27" s="1563" t="str">
        <f t="shared" si="11"/>
        <v>道路级别</v>
      </c>
      <c r="R27" s="1609" t="s">
        <v>28</v>
      </c>
      <c r="S27" s="1610">
        <f>F27</f>
        <v>100</v>
      </c>
      <c r="T27" s="1609" t="s">
        <v>28</v>
      </c>
      <c r="U27" s="1610">
        <f>H27</f>
        <v>100</v>
      </c>
      <c r="V27" s="1609" t="s">
        <v>28</v>
      </c>
      <c r="W27" s="1610">
        <f>J27</f>
        <v>100</v>
      </c>
      <c r="X27" s="1611"/>
      <c r="Y27" s="3593"/>
      <c r="Z27" s="1622" t="str">
        <f>Q27</f>
        <v>道路级别</v>
      </c>
      <c r="AA27" s="1657">
        <f>D27/F27</f>
        <v>1</v>
      </c>
      <c r="AB27" s="1657">
        <f>D27/H27</f>
        <v>1</v>
      </c>
      <c r="AC27" s="1657">
        <f>D27/J27</f>
        <v>1</v>
      </c>
    </row>
    <row r="28" spans="1:29" ht="15.75" thickBot="1">
      <c r="A28" s="1631"/>
      <c r="B28" s="3738" t="s">
        <v>3052</v>
      </c>
      <c r="C28" s="3743" t="str">
        <f>C92</f>
        <v>9/9（顶层）</v>
      </c>
      <c r="D28" s="1640">
        <v>100</v>
      </c>
      <c r="E28" s="3743" t="str">
        <f>D92</f>
        <v>5/9（中层）</v>
      </c>
      <c r="F28" s="1683">
        <f>SUMIF(92:92,E28,93:93)-SUMIF(92:92,C28,93:93)+100</f>
        <v>102</v>
      </c>
      <c r="G28" s="3743" t="str">
        <f>E92</f>
        <v>2/9（低层）</v>
      </c>
      <c r="H28" s="1640">
        <f>SUMIF(92:92,G28,93:93)-SUMIF(92:92,C28,93:93)+100</f>
        <v>101</v>
      </c>
      <c r="I28" s="3743" t="str">
        <f>F92</f>
        <v>8/9（高层）</v>
      </c>
      <c r="J28" s="1640">
        <f>SUMIF(92:92,I28,93:93)-SUMIF(92:92,C28,93:93)+100</f>
        <v>103</v>
      </c>
      <c r="K28" s="1638"/>
      <c r="L28" s="2920"/>
      <c r="M28" s="2916"/>
      <c r="N28" s="2916"/>
      <c r="O28" s="2916"/>
      <c r="P28" s="3591"/>
      <c r="Q28" s="1544" t="str">
        <f t="shared" si="11"/>
        <v>楼层</v>
      </c>
      <c r="R28" s="1654" t="s">
        <v>28</v>
      </c>
      <c r="S28" s="1655">
        <f t="shared" ref="S28:S46" si="12">F28</f>
        <v>102</v>
      </c>
      <c r="T28" s="1654" t="s">
        <v>28</v>
      </c>
      <c r="U28" s="1655">
        <f t="shared" ref="U28:U46" si="13">H28</f>
        <v>101</v>
      </c>
      <c r="V28" s="1654" t="s">
        <v>28</v>
      </c>
      <c r="W28" s="1655">
        <f t="shared" ref="W28:W46" si="14">J28</f>
        <v>103</v>
      </c>
      <c r="X28" s="1594"/>
      <c r="Y28" s="3593"/>
      <c r="Z28" s="1656" t="str">
        <f t="shared" ref="Z28:Z46" si="15">Q28</f>
        <v>楼层</v>
      </c>
      <c r="AA28" s="1657">
        <f t="shared" si="3"/>
        <v>0.98039215686274506</v>
      </c>
      <c r="AB28" s="1657">
        <f t="shared" si="4"/>
        <v>0.99009900990099009</v>
      </c>
      <c r="AC28" s="1657">
        <f t="shared" si="5"/>
        <v>0.970873786407767</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1"/>
      <c r="Q29" s="1544">
        <f t="shared" si="11"/>
        <v>111</v>
      </c>
      <c r="R29" s="1654" t="s">
        <v>28</v>
      </c>
      <c r="S29" s="1655">
        <f t="shared" si="12"/>
        <v>100</v>
      </c>
      <c r="T29" s="1654" t="s">
        <v>28</v>
      </c>
      <c r="U29" s="1655">
        <f t="shared" si="13"/>
        <v>100</v>
      </c>
      <c r="V29" s="1654" t="s">
        <v>28</v>
      </c>
      <c r="W29" s="1655">
        <f t="shared" si="14"/>
        <v>100</v>
      </c>
      <c r="X29" s="1594"/>
      <c r="Y29" s="3593"/>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1"/>
      <c r="Q30" s="1544">
        <f t="shared" si="11"/>
        <v>111</v>
      </c>
      <c r="R30" s="1654" t="s">
        <v>28</v>
      </c>
      <c r="S30" s="1655">
        <f t="shared" si="12"/>
        <v>100</v>
      </c>
      <c r="T30" s="1654" t="s">
        <v>28</v>
      </c>
      <c r="U30" s="1655">
        <f t="shared" si="13"/>
        <v>100</v>
      </c>
      <c r="V30" s="1654" t="s">
        <v>28</v>
      </c>
      <c r="W30" s="1655">
        <f t="shared" si="14"/>
        <v>100</v>
      </c>
      <c r="X30" s="1594"/>
      <c r="Y30" s="3593"/>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1"/>
      <c r="Q31" s="1544">
        <f t="shared" si="11"/>
        <v>111</v>
      </c>
      <c r="R31" s="1654" t="s">
        <v>28</v>
      </c>
      <c r="S31" s="1655">
        <f t="shared" si="12"/>
        <v>100</v>
      </c>
      <c r="T31" s="1654" t="s">
        <v>28</v>
      </c>
      <c r="U31" s="1655">
        <f t="shared" si="13"/>
        <v>100</v>
      </c>
      <c r="V31" s="1654" t="s">
        <v>28</v>
      </c>
      <c r="W31" s="1655">
        <f t="shared" si="14"/>
        <v>100</v>
      </c>
      <c r="X31" s="1594"/>
      <c r="Y31" s="3593"/>
      <c r="Z31" s="1656">
        <f t="shared" si="15"/>
        <v>111</v>
      </c>
      <c r="AA31" s="1657">
        <f t="shared" si="3"/>
        <v>1</v>
      </c>
      <c r="AB31" s="1657">
        <f t="shared" si="4"/>
        <v>1</v>
      </c>
      <c r="AC31" s="1657">
        <f t="shared" si="5"/>
        <v>1</v>
      </c>
    </row>
    <row r="32" spans="1:29" ht="15">
      <c r="A32" s="1646" t="s">
        <v>2035</v>
      </c>
      <c r="B32" s="1616" t="s">
        <v>2036</v>
      </c>
      <c r="C32" s="1690" t="s">
        <v>3081</v>
      </c>
      <c r="D32" s="1691">
        <v>100</v>
      </c>
      <c r="E32" s="1692" t="s">
        <v>3081</v>
      </c>
      <c r="F32" s="1683">
        <f>SUMIF(100:100,E32,101:101)-SUMIF(100:100,C32,101:101)+100</f>
        <v>100</v>
      </c>
      <c r="G32" s="1690" t="s">
        <v>3081</v>
      </c>
      <c r="H32" s="1691">
        <f>SUMIF(100:100,G32,101:101)-SUMIF(100:100,C32,101:101)+100</f>
        <v>100</v>
      </c>
      <c r="I32" s="1692" t="s">
        <v>3081</v>
      </c>
      <c r="J32" s="1640">
        <f>SUMIF(100:100,I32,101:101)-SUMIF(100:100,C32,101:101)+100</f>
        <v>100</v>
      </c>
      <c r="K32" s="1629"/>
      <c r="L32" s="2920"/>
      <c r="M32" s="2916"/>
      <c r="N32" s="2916"/>
      <c r="O32" s="2916"/>
      <c r="P32" s="3594" t="s">
        <v>2037</v>
      </c>
      <c r="Q32" s="1544" t="str">
        <f t="shared" si="11"/>
        <v>建筑类型</v>
      </c>
      <c r="R32" s="1654" t="s">
        <v>28</v>
      </c>
      <c r="S32" s="1655">
        <f t="shared" si="12"/>
        <v>100</v>
      </c>
      <c r="T32" s="1654" t="s">
        <v>28</v>
      </c>
      <c r="U32" s="1655">
        <f t="shared" si="13"/>
        <v>100</v>
      </c>
      <c r="V32" s="1654" t="s">
        <v>28</v>
      </c>
      <c r="W32" s="1655">
        <f t="shared" si="14"/>
        <v>100</v>
      </c>
      <c r="X32" s="1594"/>
      <c r="Y32" s="3597" t="s">
        <v>2037</v>
      </c>
      <c r="Z32" s="1656" t="str">
        <f t="shared" si="15"/>
        <v>建筑类型</v>
      </c>
      <c r="AA32" s="1657">
        <f t="shared" si="3"/>
        <v>1</v>
      </c>
      <c r="AB32" s="1657">
        <f t="shared" si="4"/>
        <v>1</v>
      </c>
      <c r="AC32" s="1657">
        <f t="shared" si="5"/>
        <v>1</v>
      </c>
    </row>
    <row r="33" spans="1:29" s="1700" customFormat="1" ht="15">
      <c r="A33" s="1693"/>
      <c r="B33" s="1624" t="s">
        <v>2038</v>
      </c>
      <c r="C33" s="1694">
        <v>130.13</v>
      </c>
      <c r="D33" s="1626">
        <v>100</v>
      </c>
      <c r="E33" s="1633">
        <v>87.17</v>
      </c>
      <c r="F33" s="1628">
        <f>LOOKUP(E33,103:103,104:104)-LOOKUP(C33,103:103,104:104)+100</f>
        <v>104</v>
      </c>
      <c r="G33" s="1632">
        <v>122.95</v>
      </c>
      <c r="H33" s="1626">
        <f>LOOKUP(G33,103:103,104:104)-LOOKUP(C33,103:103,104:104)+100</f>
        <v>100</v>
      </c>
      <c r="I33" s="1633">
        <v>125.09</v>
      </c>
      <c r="J33" s="1626">
        <f>LOOKUP(I33,103:103,104:104)-LOOKUP(C33,103:103,104:104)+100</f>
        <v>100</v>
      </c>
      <c r="K33" s="1638"/>
      <c r="L33" s="2919"/>
      <c r="M33" s="1988"/>
      <c r="N33" s="1988"/>
      <c r="O33" s="1988"/>
      <c r="P33" s="3595"/>
      <c r="Q33" s="1695" t="str">
        <f t="shared" si="11"/>
        <v>项目建筑规模</v>
      </c>
      <c r="R33" s="1696" t="s">
        <v>28</v>
      </c>
      <c r="S33" s="1697">
        <f t="shared" si="12"/>
        <v>104</v>
      </c>
      <c r="T33" s="1696" t="s">
        <v>28</v>
      </c>
      <c r="U33" s="1697">
        <f t="shared" si="13"/>
        <v>100</v>
      </c>
      <c r="V33" s="1696" t="s">
        <v>28</v>
      </c>
      <c r="W33" s="1697">
        <f t="shared" si="14"/>
        <v>100</v>
      </c>
      <c r="X33" s="1698"/>
      <c r="Y33" s="3597"/>
      <c r="Z33" s="1699" t="str">
        <f t="shared" si="15"/>
        <v>项目建筑规模</v>
      </c>
      <c r="AA33" s="1657">
        <f t="shared" si="3"/>
        <v>0.96153846153846156</v>
      </c>
      <c r="AB33" s="1657">
        <f t="shared" si="4"/>
        <v>1</v>
      </c>
      <c r="AC33" s="1657">
        <f t="shared" si="5"/>
        <v>1</v>
      </c>
    </row>
    <row r="34" spans="1:29" ht="15">
      <c r="A34" s="1701"/>
      <c r="B34" s="1624" t="s">
        <v>2039</v>
      </c>
      <c r="C34" s="1702" t="s">
        <v>3057</v>
      </c>
      <c r="D34" s="1640">
        <v>100</v>
      </c>
      <c r="E34" s="1703" t="s">
        <v>3057</v>
      </c>
      <c r="F34" s="1683">
        <f>SUMIF(105:105,E34,106:106)-SUMIF(105:105,C34,106:106)+100</f>
        <v>100</v>
      </c>
      <c r="G34" s="1702" t="s">
        <v>3057</v>
      </c>
      <c r="H34" s="1640">
        <f>SUMIF(105:105,G34,106:106)-SUMIF(105:105,C34,106:106)+100</f>
        <v>100</v>
      </c>
      <c r="I34" s="1703" t="s">
        <v>3057</v>
      </c>
      <c r="J34" s="1640">
        <f>SUMIF(105:105,I34,106:106)-SUMIF(105:105,C34,106:106)+100</f>
        <v>100</v>
      </c>
      <c r="K34" s="1629"/>
      <c r="L34" s="2920"/>
      <c r="M34" s="2916"/>
      <c r="N34" s="2916"/>
      <c r="O34" s="2916"/>
      <c r="P34" s="3595"/>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1"/>
      <c r="B35" s="1624" t="s">
        <v>2040</v>
      </c>
      <c r="C35" s="1684" t="s">
        <v>30</v>
      </c>
      <c r="D35" s="1640">
        <v>100</v>
      </c>
      <c r="E35" s="1682" t="s">
        <v>30</v>
      </c>
      <c r="F35" s="1683">
        <f>SUMIF(107:107,E35,108:108)-SUMIF(107:107,C35,108:108)+100</f>
        <v>100</v>
      </c>
      <c r="G35" s="1684" t="s">
        <v>30</v>
      </c>
      <c r="H35" s="1640">
        <f>SUMIF(107:107,G35,108:108)-SUMIF(107:107,C35,108:108)+100</f>
        <v>100</v>
      </c>
      <c r="I35" s="1682" t="s">
        <v>30</v>
      </c>
      <c r="J35" s="1640">
        <f>SUMIF(107:107,I35,108:108)-SUMIF(107:107,C35,108:108)+100</f>
        <v>100</v>
      </c>
      <c r="K35" s="1629"/>
      <c r="L35" s="2920"/>
      <c r="M35" s="2916"/>
      <c r="N35" s="2916"/>
      <c r="O35" s="2916"/>
      <c r="P35" s="3595"/>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1"/>
      <c r="B36" s="1624" t="s">
        <v>2041</v>
      </c>
      <c r="C36" s="1684" t="s">
        <v>3060</v>
      </c>
      <c r="D36" s="1640">
        <v>100</v>
      </c>
      <c r="E36" s="1682" t="s">
        <v>3060</v>
      </c>
      <c r="F36" s="1683">
        <f>SUMIF(109:109,E36,110:110)-SUMIF(109:109,C36,110:110)+100</f>
        <v>100</v>
      </c>
      <c r="G36" s="1684" t="s">
        <v>3060</v>
      </c>
      <c r="H36" s="1640">
        <f>SUMIF(109:109,G36,110:110)-SUMIF(109:109,C36,110:110)+100</f>
        <v>100</v>
      </c>
      <c r="I36" s="1682" t="s">
        <v>3060</v>
      </c>
      <c r="J36" s="1640">
        <f>SUMIF(109:109,I36,110:110)-SUMIF(109:109,C36,110:110)+100</f>
        <v>100</v>
      </c>
      <c r="K36" s="1629"/>
      <c r="L36" s="2920"/>
      <c r="M36" s="2916"/>
      <c r="N36" s="2916"/>
      <c r="O36" s="2916"/>
      <c r="P36" s="3595"/>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4"/>
      <c r="B37" s="1624" t="s">
        <v>2042</v>
      </c>
      <c r="C37" s="1705">
        <f>'数据-取费表'!E20</f>
        <v>0.75</v>
      </c>
      <c r="D37" s="1626">
        <v>100</v>
      </c>
      <c r="E37" s="1706">
        <f>C37</f>
        <v>0.75</v>
      </c>
      <c r="F37" s="1628">
        <f>LOOKUP(E37,112:112,113:113)-LOOKUP(C37,112:112,113:113)+100</f>
        <v>100</v>
      </c>
      <c r="G37" s="1707">
        <f>C37</f>
        <v>0.75</v>
      </c>
      <c r="H37" s="1626">
        <f>LOOKUP(G37,112:112,113:113)-LOOKUP(C37,112:112,113:113)+100</f>
        <v>100</v>
      </c>
      <c r="I37" s="1706">
        <f>C37</f>
        <v>0.75</v>
      </c>
      <c r="J37" s="1626">
        <f>LOOKUP(I37,112:112,113:113)-LOOKUP(C37,112:112,113:113)+100</f>
        <v>100</v>
      </c>
      <c r="K37" s="1629"/>
      <c r="L37" s="2915"/>
      <c r="M37" s="2888"/>
      <c r="N37" s="2888"/>
      <c r="O37" s="2888"/>
      <c r="P37" s="3595"/>
      <c r="Q37" s="1563" t="str">
        <f t="shared" si="11"/>
        <v>成新度</v>
      </c>
      <c r="R37" s="1609" t="s">
        <v>28</v>
      </c>
      <c r="S37" s="1610">
        <f t="shared" si="12"/>
        <v>100</v>
      </c>
      <c r="T37" s="1609" t="s">
        <v>28</v>
      </c>
      <c r="U37" s="1610">
        <f t="shared" si="13"/>
        <v>100</v>
      </c>
      <c r="V37" s="1609" t="s">
        <v>28</v>
      </c>
      <c r="W37" s="1610">
        <f t="shared" si="14"/>
        <v>100</v>
      </c>
      <c r="X37" s="1611"/>
      <c r="Y37" s="3597"/>
      <c r="Z37" s="1622" t="str">
        <f t="shared" si="15"/>
        <v>成新度</v>
      </c>
      <c r="AA37" s="1612">
        <f t="shared" si="3"/>
        <v>1</v>
      </c>
      <c r="AB37" s="1612">
        <f t="shared" si="4"/>
        <v>1</v>
      </c>
      <c r="AC37" s="1612">
        <f t="shared" si="5"/>
        <v>1</v>
      </c>
    </row>
    <row r="38" spans="1:29" ht="15">
      <c r="A38" s="1701"/>
      <c r="B38" s="1624" t="s">
        <v>2043</v>
      </c>
      <c r="C38" s="1684" t="s">
        <v>3062</v>
      </c>
      <c r="D38" s="1640">
        <v>100</v>
      </c>
      <c r="E38" s="1682" t="s">
        <v>3062</v>
      </c>
      <c r="F38" s="1683">
        <f>SUMIF(114:114,E38,115:115)-SUMIF(114:114,C38,115:115)+100</f>
        <v>100</v>
      </c>
      <c r="G38" s="1684" t="s">
        <v>3062</v>
      </c>
      <c r="H38" s="1640">
        <f>SUMIF(114:114,G38,115:115)-SUMIF(114:114,C38,115:115)+100</f>
        <v>100</v>
      </c>
      <c r="I38" s="1682" t="s">
        <v>3062</v>
      </c>
      <c r="J38" s="1640">
        <f>SUMIF(114:114,I38,115:115)-SUMIF(114:114,C38,115:115)+100</f>
        <v>100</v>
      </c>
      <c r="K38" s="1629"/>
      <c r="L38" s="2920"/>
      <c r="M38" s="2916"/>
      <c r="N38" s="2916"/>
      <c r="O38" s="2916"/>
      <c r="P38" s="3595" t="s">
        <v>2037</v>
      </c>
      <c r="Q38" s="1544" t="str">
        <f t="shared" si="11"/>
        <v>物业管理</v>
      </c>
      <c r="R38" s="1654" t="s">
        <v>28</v>
      </c>
      <c r="S38" s="1655">
        <f t="shared" si="12"/>
        <v>100</v>
      </c>
      <c r="T38" s="1654" t="s">
        <v>28</v>
      </c>
      <c r="U38" s="1655">
        <f t="shared" si="13"/>
        <v>100</v>
      </c>
      <c r="V38" s="1654" t="s">
        <v>28</v>
      </c>
      <c r="W38" s="1655">
        <f t="shared" si="14"/>
        <v>100</v>
      </c>
      <c r="X38" s="1594"/>
      <c r="Y38" s="3597" t="s">
        <v>2037</v>
      </c>
      <c r="Z38" s="1656" t="str">
        <f t="shared" si="15"/>
        <v>物业管理</v>
      </c>
      <c r="AA38" s="1657">
        <f t="shared" si="3"/>
        <v>1</v>
      </c>
      <c r="AB38" s="1657">
        <f t="shared" si="4"/>
        <v>1</v>
      </c>
      <c r="AC38" s="1657">
        <f t="shared" si="5"/>
        <v>1</v>
      </c>
    </row>
    <row r="39" spans="1:29" ht="15">
      <c r="A39" s="1701"/>
      <c r="B39" s="1624" t="s">
        <v>2044</v>
      </c>
      <c r="C39" s="1684" t="s">
        <v>3049</v>
      </c>
      <c r="D39" s="1640">
        <v>100</v>
      </c>
      <c r="E39" s="1682" t="s">
        <v>3049</v>
      </c>
      <c r="F39" s="1683">
        <f>SUMIF(116:116,E39,117:117)-SUMIF(116:116,C39,117:117)+100</f>
        <v>100</v>
      </c>
      <c r="G39" s="1684" t="s">
        <v>3049</v>
      </c>
      <c r="H39" s="1640">
        <f>SUMIF(116:116,G39,117:117)-SUMIF(116:116,C39,117:117)+100</f>
        <v>100</v>
      </c>
      <c r="I39" s="1682" t="s">
        <v>3049</v>
      </c>
      <c r="J39" s="1640">
        <f>SUMIF(116:116,I39,117:117)-SUMIF(116:116,C39,117:117)+100</f>
        <v>100</v>
      </c>
      <c r="K39" s="1629"/>
      <c r="L39" s="2920"/>
      <c r="M39" s="2916"/>
      <c r="N39" s="2916"/>
      <c r="O39" s="2916"/>
      <c r="P39" s="3595"/>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1"/>
      <c r="B40" s="1624" t="s">
        <v>2045</v>
      </c>
      <c r="C40" s="1684" t="s">
        <v>3065</v>
      </c>
      <c r="D40" s="1640">
        <v>100</v>
      </c>
      <c r="E40" s="1682" t="s">
        <v>3065</v>
      </c>
      <c r="F40" s="1683">
        <f>SUMIF(118:118,E40,119:119)-SUMIF(118:118,C40,119:119)+100</f>
        <v>100</v>
      </c>
      <c r="G40" s="1684" t="s">
        <v>3065</v>
      </c>
      <c r="H40" s="1640">
        <f>SUMIF(118:118,G40,119:119)-SUMIF(118:118,C40,119:119)+100</f>
        <v>100</v>
      </c>
      <c r="I40" s="1682" t="s">
        <v>3065</v>
      </c>
      <c r="J40" s="1640">
        <f>SUMIF(118:118,I40,119:119)-SUMIF(118:118,C40,119:119)+100</f>
        <v>100</v>
      </c>
      <c r="K40" s="1629"/>
      <c r="L40" s="2920"/>
      <c r="M40" s="2916"/>
      <c r="N40" s="2916"/>
      <c r="O40" s="2916"/>
      <c r="P40" s="3595"/>
      <c r="Q40" s="1544" t="str">
        <f t="shared" si="11"/>
        <v>房型</v>
      </c>
      <c r="R40" s="1654" t="s">
        <v>28</v>
      </c>
      <c r="S40" s="1655">
        <f t="shared" si="12"/>
        <v>100</v>
      </c>
      <c r="T40" s="1654" t="s">
        <v>28</v>
      </c>
      <c r="U40" s="1655">
        <f t="shared" si="13"/>
        <v>100</v>
      </c>
      <c r="V40" s="1654" t="s">
        <v>28</v>
      </c>
      <c r="W40" s="1655">
        <f t="shared" si="14"/>
        <v>100</v>
      </c>
      <c r="X40" s="1594"/>
      <c r="Y40" s="3597"/>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5"/>
      <c r="Q41" s="1695" t="str">
        <f t="shared" si="11"/>
        <v>单套/主力户型建筑面积</v>
      </c>
      <c r="R41" s="1696" t="s">
        <v>28</v>
      </c>
      <c r="S41" s="1697">
        <f t="shared" si="12"/>
        <v>100</v>
      </c>
      <c r="T41" s="1696" t="s">
        <v>28</v>
      </c>
      <c r="U41" s="1697">
        <f t="shared" si="13"/>
        <v>100</v>
      </c>
      <c r="V41" s="1696" t="s">
        <v>28</v>
      </c>
      <c r="W41" s="1697">
        <f t="shared" si="14"/>
        <v>100</v>
      </c>
      <c r="X41" s="1698"/>
      <c r="Y41" s="3597"/>
      <c r="Z41" s="1699" t="str">
        <f t="shared" si="15"/>
        <v>单套/主力户型建筑面积</v>
      </c>
      <c r="AA41" s="1657">
        <f t="shared" si="3"/>
        <v>1</v>
      </c>
      <c r="AB41" s="1657">
        <f t="shared" si="4"/>
        <v>1</v>
      </c>
      <c r="AC41" s="1657">
        <f t="shared" si="5"/>
        <v>1</v>
      </c>
    </row>
    <row r="42" spans="1:29" ht="15">
      <c r="A42" s="1701"/>
      <c r="B42" s="1624" t="s">
        <v>2047</v>
      </c>
      <c r="C42" s="1684" t="s">
        <v>3060</v>
      </c>
      <c r="D42" s="1640">
        <v>100</v>
      </c>
      <c r="E42" s="1682" t="s">
        <v>3060</v>
      </c>
      <c r="F42" s="1683">
        <f>SUMIF(122:122,E42,123:123)-SUMIF(122:122,C42,123:123)+100</f>
        <v>100</v>
      </c>
      <c r="G42" s="1684" t="s">
        <v>3060</v>
      </c>
      <c r="H42" s="1640">
        <f>SUMIF(122:122,G42,123:123)-SUMIF(122:122,C42,123:123)+100</f>
        <v>100</v>
      </c>
      <c r="I42" s="1682" t="s">
        <v>3060</v>
      </c>
      <c r="J42" s="1640">
        <f>SUMIF(122:122,I42,123:123)-SUMIF(122:122,C42,123:123)+100</f>
        <v>100</v>
      </c>
      <c r="K42" s="1629"/>
      <c r="L42" s="2920"/>
      <c r="M42" s="2916"/>
      <c r="N42" s="2916"/>
      <c r="O42" s="2916"/>
      <c r="P42" s="3595"/>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15">
      <c r="A43" s="1701"/>
      <c r="B43" s="1624" t="s">
        <v>2048</v>
      </c>
      <c r="C43" s="1684" t="s">
        <v>30</v>
      </c>
      <c r="D43" s="1640">
        <v>100</v>
      </c>
      <c r="E43" s="1682" t="s">
        <v>30</v>
      </c>
      <c r="F43" s="1683">
        <f>SUMIF(124:124,E43,125:125)-SUMIF(124:124,C43,125:125)+100</f>
        <v>100</v>
      </c>
      <c r="G43" s="1684" t="s">
        <v>30</v>
      </c>
      <c r="H43" s="1640">
        <f>SUMIF(124:124,G43,125:125)-SUMIF(124:124,C43,125:125)+100</f>
        <v>100</v>
      </c>
      <c r="I43" s="1682" t="s">
        <v>30</v>
      </c>
      <c r="J43" s="1640">
        <f>SUMIF(124:124,I43,125:125)-SUMIF(124:124,C43,125:125)+100</f>
        <v>100</v>
      </c>
      <c r="K43" s="1629"/>
      <c r="L43" s="2920"/>
      <c r="M43" s="2916"/>
      <c r="N43" s="2916"/>
      <c r="O43" s="2916"/>
      <c r="P43" s="3595"/>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75" thickBot="1">
      <c r="A44" s="1704"/>
      <c r="B44" s="3738" t="s">
        <v>3084</v>
      </c>
      <c r="C44" s="3745" t="s">
        <v>3067</v>
      </c>
      <c r="D44" s="1626">
        <v>100</v>
      </c>
      <c r="E44" s="3745" t="s">
        <v>3068</v>
      </c>
      <c r="F44" s="1628">
        <f>SUMIF(126:126,E44,127:127)-SUMIF(126:126,C44,127:127)+100</f>
        <v>95</v>
      </c>
      <c r="G44" s="3745" t="s">
        <v>3068</v>
      </c>
      <c r="H44" s="1626">
        <f>SUMIF(126:126,G44,127:127)-SUMIF(126:126,C44,127:127)+100</f>
        <v>95</v>
      </c>
      <c r="I44" s="3745" t="s">
        <v>3068</v>
      </c>
      <c r="J44" s="1626">
        <f>SUMIF(126:126,I44,127:127)-SUMIF(126:126,C44,127:127)+100</f>
        <v>95</v>
      </c>
      <c r="K44" s="1638"/>
      <c r="L44" s="2915"/>
      <c r="M44" s="2888"/>
      <c r="N44" s="2888"/>
      <c r="O44" s="2888"/>
      <c r="P44" s="3595"/>
      <c r="Q44" s="1563" t="str">
        <f t="shared" si="11"/>
        <v>局部挑高</v>
      </c>
      <c r="R44" s="1609" t="s">
        <v>28</v>
      </c>
      <c r="S44" s="1610">
        <f t="shared" si="12"/>
        <v>95</v>
      </c>
      <c r="T44" s="1609" t="s">
        <v>28</v>
      </c>
      <c r="U44" s="1610">
        <f t="shared" si="13"/>
        <v>95</v>
      </c>
      <c r="V44" s="1609" t="s">
        <v>28</v>
      </c>
      <c r="W44" s="1610">
        <f t="shared" si="14"/>
        <v>95</v>
      </c>
      <c r="X44" s="1611"/>
      <c r="Y44" s="3597"/>
      <c r="Z44" s="1622" t="str">
        <f t="shared" si="15"/>
        <v>局部挑高</v>
      </c>
      <c r="AA44" s="1612">
        <f t="shared" si="3"/>
        <v>1.0526315789473684</v>
      </c>
      <c r="AB44" s="1612">
        <f t="shared" si="4"/>
        <v>1.0526315789473684</v>
      </c>
      <c r="AC44" s="1612">
        <f t="shared" si="5"/>
        <v>1.0526315789473684</v>
      </c>
    </row>
    <row r="45" spans="1:29" ht="15" hidden="1">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5"/>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75" hidden="1"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6"/>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5">
      <c r="A47" s="1710" t="s">
        <v>2049</v>
      </c>
      <c r="B47" s="1711"/>
      <c r="C47" s="1712" t="s">
        <v>26</v>
      </c>
      <c r="D47" s="1713"/>
      <c r="E47" s="1714">
        <v>64242</v>
      </c>
      <c r="F47" s="1715"/>
      <c r="G47" s="1716">
        <v>66694</v>
      </c>
      <c r="H47" s="1717"/>
      <c r="I47" s="1714">
        <v>65153</v>
      </c>
      <c r="J47" s="1717"/>
      <c r="K47" s="1718"/>
      <c r="L47" s="2921"/>
      <c r="N47" s="2916"/>
      <c r="P47" s="3589" t="str">
        <f>A47</f>
        <v>成交单价（元/平方米）</v>
      </c>
      <c r="Q47" s="3589"/>
      <c r="R47" s="3585">
        <f>E47</f>
        <v>64242</v>
      </c>
      <c r="S47" s="3585"/>
      <c r="T47" s="3585">
        <f>G47</f>
        <v>66694</v>
      </c>
      <c r="U47" s="3585"/>
      <c r="V47" s="3585">
        <f>I47</f>
        <v>65153</v>
      </c>
      <c r="W47" s="3585"/>
      <c r="X47" s="1720"/>
      <c r="Y47" s="1721"/>
      <c r="Z47" s="1720"/>
      <c r="AA47" s="1720"/>
      <c r="AB47" s="1720"/>
      <c r="AC47" s="1720"/>
    </row>
    <row r="48" spans="1:29" ht="15.75" thickBot="1">
      <c r="A48" s="1722" t="s">
        <v>2050</v>
      </c>
      <c r="B48" s="1723"/>
      <c r="C48" s="1724">
        <f>R49</f>
        <v>68417</v>
      </c>
      <c r="D48" s="1725" t="s">
        <v>2503</v>
      </c>
      <c r="E48" s="1726">
        <f>R48</f>
        <v>67102</v>
      </c>
      <c r="F48" s="1727"/>
      <c r="G48" s="1724">
        <f>T48</f>
        <v>70211</v>
      </c>
      <c r="H48" s="1727"/>
      <c r="I48" s="1726">
        <f>V48</f>
        <v>67937</v>
      </c>
      <c r="J48" s="1727"/>
      <c r="K48" s="2430">
        <f>F48+H48+J48</f>
        <v>0</v>
      </c>
      <c r="L48" s="2921"/>
      <c r="P48" s="3589" t="str">
        <f>A48</f>
        <v>比较价值（元/平方米）</v>
      </c>
      <c r="Q48" s="3589"/>
      <c r="R48" s="3585">
        <f>IF(E1="售价",ROUND(PRODUCT(R47,AA7:AA46),0),ROUND(PRODUCT(R47,AA7:AA46),1))</f>
        <v>67102</v>
      </c>
      <c r="S48" s="3585"/>
      <c r="T48" s="3583">
        <f>IF(E1="售价",ROUND(PRODUCT(T47,AB7:AB46),0),ROUND(PRODUCT(T47,AB7:AB46),1))</f>
        <v>70211</v>
      </c>
      <c r="U48" s="3584"/>
      <c r="V48" s="3585">
        <f>IF(E1="售价",ROUND(PRODUCT(V47,AC7:AC46),0),ROUND(PRODUCT(V47,AC7:AC46),1))</f>
        <v>67937</v>
      </c>
      <c r="W48" s="3585"/>
      <c r="X48" s="1720"/>
      <c r="Y48" s="1720"/>
      <c r="Z48" s="1720"/>
      <c r="AA48" s="1720"/>
      <c r="AB48" s="1720"/>
      <c r="AC48" s="1720"/>
    </row>
    <row r="49" spans="1:29" ht="15.75" thickBot="1">
      <c r="A49" s="1728" t="s">
        <v>2051</v>
      </c>
      <c r="B49" s="1729"/>
      <c r="C49" s="1730">
        <f>R49</f>
        <v>68417</v>
      </c>
      <c r="D49" s="1731"/>
      <c r="E49" s="1731"/>
      <c r="F49" s="1731"/>
      <c r="G49" s="1731"/>
      <c r="H49" s="1731"/>
      <c r="I49" s="1731"/>
      <c r="J49" s="1731"/>
      <c r="K49" s="1732"/>
      <c r="L49" s="2921"/>
      <c r="P49" s="3586" t="str">
        <f>A49</f>
        <v>估价对象XX用房的比较价值（楼面单价，元/平方米）</v>
      </c>
      <c r="Q49" s="3587"/>
      <c r="R49" s="3588">
        <f>IF(E1="售价",ROUND(IF(D48="简单平均",AVERAGE(R48:V48),R48*F48+T48*H48+V48*J48),0),ROUND(IF(D48="简单平均",AVERAGE(R48:V48),R48*F48+T48*H48+V48*J48),1))</f>
        <v>68417</v>
      </c>
      <c r="S49" s="3588"/>
      <c r="T49" s="3588"/>
      <c r="U49" s="3588"/>
      <c r="V49" s="3588"/>
      <c r="W49" s="3588"/>
      <c r="X49" s="1720"/>
      <c r="Y49" s="1720"/>
      <c r="Z49" s="1720"/>
      <c r="AA49" s="1720"/>
      <c r="AB49" s="1720"/>
      <c r="AC49" s="1720"/>
    </row>
    <row r="50" spans="1:29">
      <c r="G50" s="2925"/>
    </row>
    <row r="52" spans="1:29" ht="13.5" customHeight="1">
      <c r="C52" s="383" t="s">
        <v>2052</v>
      </c>
      <c r="D52" s="1736"/>
      <c r="E52" s="1737">
        <f>IF(E47&lt;E48,E48/E47-1,E47/E48-1)</f>
        <v>4.4519161918993744E-2</v>
      </c>
      <c r="F52" s="1738" t="str">
        <f>IF(OR(E52&gt;=0.3,E52&lt;=-0.3),"超过30%","")</f>
        <v/>
      </c>
      <c r="G52" s="1737">
        <f>IF(G47&lt;G48,G48/G47-1,G47/G48-1)</f>
        <v>5.2733379314481077E-2</v>
      </c>
      <c r="H52" s="1738" t="str">
        <f>IF(OR(G52&gt;=0.3,G52&lt;=-0.3),"超过30%","")</f>
        <v/>
      </c>
      <c r="I52" s="1737">
        <f>IF(I47&lt;I48,I48/I47-1,I47/I48-1)</f>
        <v>4.2730188939879898E-2</v>
      </c>
      <c r="J52" s="1738" t="str">
        <f>IF(OR(I52&gt;=0.3,I52&lt;=-0.3),"超过30%","")</f>
        <v/>
      </c>
    </row>
    <row r="53" spans="1:29" ht="13.5" customHeight="1">
      <c r="C53" s="383" t="s">
        <v>2053</v>
      </c>
      <c r="D53" s="1739"/>
      <c r="E53" s="1737">
        <f>IF(E48&lt;G48,G48/E48-1,E48/G48-1)</f>
        <v>4.6332449107329143E-2</v>
      </c>
      <c r="F53" s="1738" t="str">
        <f>IF(OR(E53&gt;=0.2,E53&lt;=-0.2),"超过20%","")</f>
        <v/>
      </c>
      <c r="G53" s="1737">
        <f>IF(G48&lt;I48,I48/G48-1,G48/I48-1)</f>
        <v>3.3472187467801007E-2</v>
      </c>
      <c r="H53" s="1738" t="str">
        <f>IF(OR(G53&gt;=0.2,G53&lt;=-0.2),"超过20%","")</f>
        <v/>
      </c>
      <c r="I53" s="1737">
        <f>IF(I48&lt;E48,E48/I48-1,I48/E48-1)</f>
        <v>1.2443742362373778E-2</v>
      </c>
      <c r="J53" s="1738" t="str">
        <f>IF(OR(I53&gt;=0.2,I53&lt;=-0.2),"超过20%","")</f>
        <v/>
      </c>
    </row>
    <row r="54" spans="1:29" s="1742" customFormat="1" ht="13.5" customHeight="1">
      <c r="C54" s="383" t="s">
        <v>2054</v>
      </c>
      <c r="D54" s="1739"/>
      <c r="E54" s="1737">
        <f>IF(E47&lt;G47,G47/E47-1,E47/G47-1)</f>
        <v>3.8168176582298097E-2</v>
      </c>
      <c r="F54" s="1738" t="str">
        <f>IF(OR(E54&gt;=0.3,E54&lt;=-0.3),"超过30%","")</f>
        <v/>
      </c>
      <c r="G54" s="1737">
        <f>IF(G47&lt;I47,I47/G47-1,G47/I47-1)</f>
        <v>2.3652019093518328E-2</v>
      </c>
      <c r="H54" s="1738" t="str">
        <f>IF(OR(G54&gt;=0.3,G54&lt;=-0.3),"超过30%","")</f>
        <v/>
      </c>
      <c r="I54" s="1737">
        <f>IF(I47&lt;E47,E47/I47-1,I47/E47-1)</f>
        <v>1.418075402384722E-2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v>100</v>
      </c>
      <c r="E59" s="1760">
        <v>100</v>
      </c>
      <c r="F59" s="1760">
        <v>99.5</v>
      </c>
      <c r="G59" s="1760">
        <f>F59</f>
        <v>99.5</v>
      </c>
      <c r="H59" s="1760">
        <f>F59</f>
        <v>99.5</v>
      </c>
      <c r="I59" s="1760">
        <v>99</v>
      </c>
      <c r="J59" s="1760">
        <f>I59</f>
        <v>99</v>
      </c>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1（含）-3</v>
      </c>
      <c r="D67" s="1794" t="str">
        <f t="shared" ref="D67:L67" si="18">D68&amp;"（含）"&amp;"-"&amp;E68</f>
        <v>3（含）-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1</v>
      </c>
      <c r="D68" s="1796">
        <v>3</v>
      </c>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3740" t="s">
        <v>3054</v>
      </c>
      <c r="D88" s="3740" t="s">
        <v>3056</v>
      </c>
      <c r="E88" s="468"/>
      <c r="F88" s="1821"/>
      <c r="G88" s="3740"/>
      <c r="H88" s="3740" t="s">
        <v>3076</v>
      </c>
      <c r="I88" s="468"/>
      <c r="J88" s="468"/>
      <c r="K88" s="468"/>
      <c r="L88" s="468"/>
      <c r="M88" s="1819"/>
      <c r="N88" s="1771"/>
      <c r="O88" s="1771"/>
      <c r="P88" s="1781"/>
      <c r="Q88" s="1750"/>
    </row>
    <row r="89" spans="1:17" s="1613" customFormat="1" ht="15.75" thickBot="1">
      <c r="A89" s="1818"/>
      <c r="B89" s="1790"/>
      <c r="C89" s="1820">
        <v>100</v>
      </c>
      <c r="D89" s="1791">
        <f t="shared" ref="D89:M89" si="21">C89-$K26</f>
        <v>99</v>
      </c>
      <c r="E89" s="1791">
        <f t="shared" si="21"/>
        <v>98</v>
      </c>
      <c r="F89" s="1791">
        <f t="shared" si="21"/>
        <v>97</v>
      </c>
      <c r="G89" s="1791">
        <f t="shared" si="21"/>
        <v>96</v>
      </c>
      <c r="H89" s="1791">
        <f t="shared" si="21"/>
        <v>95</v>
      </c>
      <c r="I89" s="1791">
        <f t="shared" si="21"/>
        <v>94</v>
      </c>
      <c r="J89" s="1791">
        <f t="shared" si="21"/>
        <v>93</v>
      </c>
      <c r="K89" s="1791">
        <f t="shared" si="21"/>
        <v>92</v>
      </c>
      <c r="L89" s="1791">
        <f t="shared" si="21"/>
        <v>91</v>
      </c>
      <c r="M89" s="1791">
        <f t="shared" si="21"/>
        <v>90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t="str">
        <f>B28</f>
        <v>楼层</v>
      </c>
      <c r="C92" s="3739" t="s">
        <v>3077</v>
      </c>
      <c r="D92" s="3739" t="s">
        <v>3078</v>
      </c>
      <c r="E92" s="3739" t="s">
        <v>3079</v>
      </c>
      <c r="F92" s="3739" t="s">
        <v>3080</v>
      </c>
      <c r="G92" s="1506"/>
      <c r="H92" s="1506"/>
      <c r="I92" s="1506"/>
      <c r="J92" s="1506"/>
      <c r="K92" s="473"/>
      <c r="L92" s="473"/>
      <c r="M92" s="1822"/>
      <c r="N92" s="1780"/>
      <c r="O92" s="1780"/>
      <c r="P92" s="1781"/>
      <c r="Q92" s="1750"/>
    </row>
    <row r="93" spans="1:17" ht="15.75" thickBot="1">
      <c r="A93" s="1782"/>
      <c r="B93" s="1790"/>
      <c r="C93" s="1803">
        <v>100</v>
      </c>
      <c r="D93" s="1784">
        <v>102</v>
      </c>
      <c r="E93" s="1784">
        <v>101</v>
      </c>
      <c r="F93" s="1784">
        <v>103</v>
      </c>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3744" t="s">
        <v>3082</v>
      </c>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0(含)-60</v>
      </c>
      <c r="D102" s="579" t="str">
        <f t="shared" ref="D102:L102" si="23">D103&amp;"(含)"&amp;"-"&amp;E103</f>
        <v>60(含)-90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60</v>
      </c>
      <c r="E103" s="1830">
        <v>90</v>
      </c>
      <c r="F103" s="1830">
        <v>120</v>
      </c>
      <c r="G103" s="1830">
        <v>150</v>
      </c>
      <c r="H103" s="1830"/>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v>94</v>
      </c>
      <c r="G104" s="1784">
        <v>92</v>
      </c>
      <c r="H104" s="1784"/>
      <c r="I104" s="1784"/>
      <c r="J104" s="1784"/>
      <c r="K104" s="1784"/>
      <c r="L104" s="1784"/>
      <c r="M104" s="1784"/>
      <c r="N104" s="1786"/>
      <c r="O104" s="1786"/>
      <c r="P104" s="1801"/>
      <c r="Q104" s="1802"/>
    </row>
    <row r="105" spans="1:17" ht="15" thickTop="1">
      <c r="A105" s="1832"/>
      <c r="B105" s="1787" t="s">
        <v>2086</v>
      </c>
      <c r="C105" s="3740" t="s">
        <v>3058</v>
      </c>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3741" t="s">
        <v>3059</v>
      </c>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3740" t="s">
        <v>3061</v>
      </c>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3740" t="s">
        <v>3063</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3740" t="s">
        <v>3064</v>
      </c>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3741" t="s">
        <v>3066</v>
      </c>
      <c r="D118" s="3741"/>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3740" t="s">
        <v>3061</v>
      </c>
      <c r="D122" s="3740" t="s">
        <v>3083</v>
      </c>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t="str">
        <f>B44</f>
        <v>局部挑高</v>
      </c>
      <c r="C126" s="3740" t="s">
        <v>3067</v>
      </c>
      <c r="D126" s="3740" t="s">
        <v>3068</v>
      </c>
      <c r="E126" s="468"/>
      <c r="F126" s="468"/>
      <c r="G126" s="468"/>
      <c r="H126" s="443"/>
      <c r="I126" s="443"/>
      <c r="J126" s="443"/>
      <c r="K126" s="443"/>
      <c r="L126" s="443"/>
      <c r="M126" s="1799"/>
      <c r="N126" s="1800"/>
      <c r="O126" s="1800"/>
      <c r="P126" s="1801"/>
      <c r="Q126" s="1802"/>
    </row>
    <row r="127" spans="1:17" s="1700" customFormat="1" ht="15.75" thickBot="1">
      <c r="A127" s="1798"/>
      <c r="B127" s="1790"/>
      <c r="C127" s="1803">
        <v>100</v>
      </c>
      <c r="D127" s="1784">
        <v>95</v>
      </c>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5F0FC-11D3-4395-8F1E-4AB6378F2A84}">
  <sheetPr>
    <tabColor rgb="FFFFFF00"/>
  </sheetPr>
  <dimension ref="A1:S50"/>
  <sheetViews>
    <sheetView topLeftCell="D30" workbookViewId="0">
      <selection activeCell="N63" sqref="N63"/>
    </sheetView>
  </sheetViews>
  <sheetFormatPr defaultRowHeight="13.5"/>
  <cols>
    <col min="3" max="13" width="10.625" customWidth="1"/>
  </cols>
  <sheetData>
    <row r="1" spans="1:19" ht="14.25">
      <c r="A1" s="3631" t="s">
        <v>3039</v>
      </c>
      <c r="B1" s="3323"/>
      <c r="C1" s="3324">
        <v>44743.333831018521</v>
      </c>
      <c r="D1" s="3324">
        <v>44713.333831018521</v>
      </c>
      <c r="E1" s="3324">
        <v>44682.333831018521</v>
      </c>
      <c r="F1" s="3324">
        <v>44652.333831018521</v>
      </c>
      <c r="G1" s="3324">
        <v>44621.333831018521</v>
      </c>
      <c r="H1" s="3324">
        <v>44593.333831018521</v>
      </c>
      <c r="I1" s="3324">
        <v>44562.333831018521</v>
      </c>
      <c r="J1" s="3324">
        <v>44531.333831018521</v>
      </c>
      <c r="K1" s="3324">
        <v>44501.333831018521</v>
      </c>
      <c r="L1" s="3324">
        <v>44470.333831018521</v>
      </c>
      <c r="M1" s="3324">
        <v>44440.333831018521</v>
      </c>
    </row>
    <row r="2" spans="1:19" ht="14.25">
      <c r="A2" s="3631"/>
      <c r="B2" s="3323"/>
      <c r="C2" s="3323" t="s">
        <v>3040</v>
      </c>
      <c r="D2" s="3323" t="s">
        <v>3040</v>
      </c>
      <c r="E2" s="3323" t="s">
        <v>3040</v>
      </c>
      <c r="F2" s="3323" t="s">
        <v>3040</v>
      </c>
      <c r="G2" s="3323" t="s">
        <v>3040</v>
      </c>
      <c r="H2" s="3323" t="s">
        <v>3040</v>
      </c>
      <c r="I2" s="3323" t="s">
        <v>3040</v>
      </c>
      <c r="J2" s="3323" t="s">
        <v>3040</v>
      </c>
      <c r="K2" s="3323" t="s">
        <v>3040</v>
      </c>
      <c r="L2" s="3323" t="s">
        <v>3040</v>
      </c>
      <c r="M2" s="3323" t="s">
        <v>3040</v>
      </c>
    </row>
    <row r="3" spans="1:19" ht="14.25">
      <c r="A3" s="3323" t="s">
        <v>3041</v>
      </c>
      <c r="B3" s="3323">
        <f>ROUND(AVERAGE(C3:M3),1)</f>
        <v>96.6</v>
      </c>
      <c r="C3" s="3323">
        <v>96</v>
      </c>
      <c r="D3" s="3323">
        <v>97.82</v>
      </c>
      <c r="E3" s="3323">
        <v>97.95</v>
      </c>
      <c r="F3" s="3323">
        <v>96.49</v>
      </c>
      <c r="G3" s="3323">
        <v>95.93</v>
      </c>
      <c r="H3" s="3323">
        <v>95.25</v>
      </c>
      <c r="I3" s="3323">
        <v>93.62</v>
      </c>
      <c r="J3" s="3323">
        <v>95.77</v>
      </c>
      <c r="K3" s="3323">
        <v>98.66</v>
      </c>
      <c r="L3" s="3323">
        <v>96.69</v>
      </c>
      <c r="M3" s="3323">
        <v>98.17</v>
      </c>
    </row>
    <row r="12" spans="1:19">
      <c r="S12" s="1269" t="s">
        <v>3069</v>
      </c>
    </row>
    <row r="22" spans="19:19">
      <c r="S22" s="1269" t="s">
        <v>3070</v>
      </c>
    </row>
    <row r="50" spans="19:19">
      <c r="S50" s="1269" t="s">
        <v>3071</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130.13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6" t="s">
        <v>2007</v>
      </c>
      <c r="D4" s="3617"/>
      <c r="E4" s="3618" t="s">
        <v>2008</v>
      </c>
      <c r="F4" s="3619"/>
      <c r="G4" s="3616" t="s">
        <v>2009</v>
      </c>
      <c r="H4" s="3617"/>
      <c r="I4" s="3616" t="s">
        <v>2010</v>
      </c>
      <c r="J4" s="3617"/>
      <c r="K4" s="1894" t="s">
        <v>2011</v>
      </c>
      <c r="L4" s="2915"/>
      <c r="M4" s="2916"/>
      <c r="N4" s="2916"/>
      <c r="O4" s="2916"/>
      <c r="P4" s="3620" t="s">
        <v>2012</v>
      </c>
      <c r="Q4" s="3621"/>
      <c r="R4" s="3605" t="s">
        <v>2008</v>
      </c>
      <c r="S4" s="3606"/>
      <c r="T4" s="3605" t="s">
        <v>2009</v>
      </c>
      <c r="U4" s="3606"/>
      <c r="V4" s="3626" t="s">
        <v>2010</v>
      </c>
      <c r="W4" s="3626"/>
      <c r="X4" s="2003"/>
      <c r="Y4" s="3605" t="s">
        <v>2012</v>
      </c>
      <c r="Z4" s="3606"/>
      <c r="AA4" s="3613" t="s">
        <v>2008</v>
      </c>
      <c r="AB4" s="3626" t="s">
        <v>2009</v>
      </c>
      <c r="AC4" s="3613" t="s">
        <v>2010</v>
      </c>
    </row>
    <row r="5" spans="1:29" ht="15">
      <c r="A5" s="1596"/>
      <c r="B5" s="1597"/>
      <c r="C5" s="3601" t="s">
        <v>2013</v>
      </c>
      <c r="D5" s="3602"/>
      <c r="E5" s="3627" t="s">
        <v>2014</v>
      </c>
      <c r="F5" s="3628"/>
      <c r="G5" s="3601" t="s">
        <v>2015</v>
      </c>
      <c r="H5" s="3602"/>
      <c r="I5" s="3601" t="s">
        <v>2016</v>
      </c>
      <c r="J5" s="3602"/>
      <c r="K5" s="1894"/>
      <c r="L5" s="2915"/>
      <c r="M5" s="2916"/>
      <c r="N5" s="2916"/>
      <c r="O5" s="2916"/>
      <c r="P5" s="3622"/>
      <c r="Q5" s="3623"/>
      <c r="R5" s="3607"/>
      <c r="S5" s="3608"/>
      <c r="T5" s="3607"/>
      <c r="U5" s="3608"/>
      <c r="V5" s="3626"/>
      <c r="W5" s="3626"/>
      <c r="X5" s="2003"/>
      <c r="Y5" s="3607"/>
      <c r="Z5" s="3608"/>
      <c r="AA5" s="3614"/>
      <c r="AB5" s="3626"/>
      <c r="AC5" s="3614"/>
    </row>
    <row r="6" spans="1:29" ht="15.75" thickBot="1">
      <c r="A6" s="1599"/>
      <c r="B6" s="1600"/>
      <c r="C6" s="3599" t="s">
        <v>2017</v>
      </c>
      <c r="D6" s="3600"/>
      <c r="E6" s="3629" t="s">
        <v>2017</v>
      </c>
      <c r="F6" s="3630"/>
      <c r="G6" s="3599" t="s">
        <v>2017</v>
      </c>
      <c r="H6" s="3600"/>
      <c r="I6" s="3599" t="s">
        <v>2017</v>
      </c>
      <c r="J6" s="3600"/>
      <c r="K6" s="1894" t="s">
        <v>2018</v>
      </c>
      <c r="L6" s="2915"/>
      <c r="M6" s="2916"/>
      <c r="N6" s="2916"/>
      <c r="O6" s="2916"/>
      <c r="P6" s="3624"/>
      <c r="Q6" s="3625"/>
      <c r="R6" s="3607"/>
      <c r="S6" s="3608"/>
      <c r="T6" s="3609"/>
      <c r="U6" s="3610"/>
      <c r="V6" s="3626"/>
      <c r="W6" s="3626"/>
      <c r="X6" s="2003"/>
      <c r="Y6" s="3609"/>
      <c r="Z6" s="3610"/>
      <c r="AA6" s="3615"/>
      <c r="AB6" s="3626"/>
      <c r="AC6" s="3615"/>
    </row>
    <row r="7" spans="1:29" s="1613" customFormat="1" ht="15.75" thickBot="1">
      <c r="A7" s="1601" t="s">
        <v>2019</v>
      </c>
      <c r="B7" s="1602"/>
      <c r="C7" s="1603">
        <f>'数据-取费表'!B2</f>
        <v>44820</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2" t="s">
        <v>2026</v>
      </c>
      <c r="Q9" s="1994"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2"/>
      <c r="Q10" s="1994" t="str">
        <f t="shared" si="6"/>
        <v>土地使用年限（年）</v>
      </c>
      <c r="R10" s="1609" t="s">
        <v>25</v>
      </c>
      <c r="S10" s="1610">
        <f t="shared" si="0"/>
        <v>100</v>
      </c>
      <c r="T10" s="1609" t="s">
        <v>25</v>
      </c>
      <c r="U10" s="1610">
        <f t="shared" si="1"/>
        <v>100</v>
      </c>
      <c r="V10" s="1609" t="s">
        <v>25</v>
      </c>
      <c r="W10" s="1610">
        <f t="shared" si="2"/>
        <v>100</v>
      </c>
      <c r="X10" s="1611"/>
      <c r="Y10" s="344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2"/>
      <c r="Q11" s="1994" t="str">
        <f t="shared" si="6"/>
        <v>容积率</v>
      </c>
      <c r="R11" s="1609" t="s">
        <v>25</v>
      </c>
      <c r="S11" s="1610" t="e">
        <f t="shared" si="0"/>
        <v>#N/A</v>
      </c>
      <c r="T11" s="1609" t="s">
        <v>25</v>
      </c>
      <c r="U11" s="1610" t="e">
        <f t="shared" si="1"/>
        <v>#N/A</v>
      </c>
      <c r="V11" s="1609" t="s">
        <v>25</v>
      </c>
      <c r="W11" s="1610" t="e">
        <f t="shared" si="2"/>
        <v>#N/A</v>
      </c>
      <c r="X11" s="1611"/>
      <c r="Y11" s="344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2"/>
      <c r="Q12" s="1994">
        <f t="shared" si="6"/>
        <v>111</v>
      </c>
      <c r="R12" s="1609" t="s">
        <v>25</v>
      </c>
      <c r="S12" s="1610">
        <f t="shared" si="0"/>
        <v>100</v>
      </c>
      <c r="T12" s="1609" t="s">
        <v>25</v>
      </c>
      <c r="U12" s="1610">
        <f t="shared" si="1"/>
        <v>100</v>
      </c>
      <c r="V12" s="1609" t="s">
        <v>25</v>
      </c>
      <c r="W12" s="1610">
        <f t="shared" si="2"/>
        <v>100</v>
      </c>
      <c r="X12" s="1611"/>
      <c r="Y12" s="344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2"/>
      <c r="Q13" s="1994">
        <f t="shared" si="6"/>
        <v>111</v>
      </c>
      <c r="R13" s="1609" t="s">
        <v>25</v>
      </c>
      <c r="S13" s="1610">
        <f t="shared" si="0"/>
        <v>100</v>
      </c>
      <c r="T13" s="1609" t="s">
        <v>25</v>
      </c>
      <c r="U13" s="1610">
        <f t="shared" si="1"/>
        <v>100</v>
      </c>
      <c r="V13" s="1609" t="s">
        <v>25</v>
      </c>
      <c r="W13" s="1610">
        <f t="shared" si="2"/>
        <v>100</v>
      </c>
      <c r="X13" s="1611"/>
      <c r="Y13" s="344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2"/>
      <c r="Q14" s="1994">
        <f t="shared" si="6"/>
        <v>111</v>
      </c>
      <c r="R14" s="1609" t="s">
        <v>25</v>
      </c>
      <c r="S14" s="1610">
        <f t="shared" si="0"/>
        <v>100</v>
      </c>
      <c r="T14" s="1609" t="s">
        <v>25</v>
      </c>
      <c r="U14" s="1610">
        <f t="shared" si="1"/>
        <v>100</v>
      </c>
      <c r="V14" s="1609" t="s">
        <v>25</v>
      </c>
      <c r="W14" s="1610">
        <f t="shared" si="2"/>
        <v>100</v>
      </c>
      <c r="X14" s="1611"/>
      <c r="Y14" s="344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0" t="s">
        <v>2031</v>
      </c>
      <c r="Q15" s="2000" t="str">
        <f t="shared" si="6"/>
        <v>商业繁华度</v>
      </c>
      <c r="R15" s="1654" t="s">
        <v>25</v>
      </c>
      <c r="S15" s="1655">
        <f t="shared" si="0"/>
        <v>100</v>
      </c>
      <c r="T15" s="1654" t="s">
        <v>25</v>
      </c>
      <c r="U15" s="1655">
        <f t="shared" si="1"/>
        <v>100</v>
      </c>
      <c r="V15" s="1654" t="s">
        <v>25</v>
      </c>
      <c r="W15" s="1655">
        <f t="shared" si="2"/>
        <v>100</v>
      </c>
      <c r="X15" s="2003"/>
      <c r="Y15" s="359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1"/>
      <c r="Q16" s="2000"/>
      <c r="R16" s="1654"/>
      <c r="S16" s="1655"/>
      <c r="T16" s="1654"/>
      <c r="U16" s="1655"/>
      <c r="V16" s="1654"/>
      <c r="W16" s="1655"/>
      <c r="X16" s="2003"/>
      <c r="Y16" s="359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1"/>
      <c r="Q17" s="2000"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1"/>
      <c r="Q18" s="2000"/>
      <c r="R18" s="1654"/>
      <c r="S18" s="1655"/>
      <c r="T18" s="1654"/>
      <c r="U18" s="1655"/>
      <c r="V18" s="1654"/>
      <c r="W18" s="1655"/>
      <c r="X18" s="2003"/>
      <c r="Y18" s="359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1"/>
      <c r="Q19" s="2000"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1"/>
      <c r="Q20" s="2000"/>
      <c r="R20" s="1654"/>
      <c r="S20" s="1655"/>
      <c r="T20" s="1654"/>
      <c r="U20" s="1655"/>
      <c r="V20" s="1654"/>
      <c r="W20" s="1655"/>
      <c r="X20" s="2003"/>
      <c r="Y20" s="3593"/>
      <c r="Z20" s="2007"/>
      <c r="AA20" s="1998">
        <v>1</v>
      </c>
      <c r="AB20" s="1998">
        <v>1</v>
      </c>
      <c r="AC20" s="1998">
        <v>1</v>
      </c>
    </row>
    <row r="21" spans="1:29" ht="28.5">
      <c r="A21" s="1631"/>
      <c r="B21" s="1679" t="s">
        <v>2118</v>
      </c>
      <c r="C21" s="1667" t="str">
        <f>估价对象房地状况!C8</f>
        <v>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1"/>
      <c r="Q21" s="2000"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1"/>
      <c r="Q22" s="2000"/>
      <c r="R22" s="1654"/>
      <c r="S22" s="1655"/>
      <c r="T22" s="1654"/>
      <c r="U22" s="1655"/>
      <c r="V22" s="1654"/>
      <c r="W22" s="1655"/>
      <c r="X22" s="2003"/>
      <c r="Y22" s="3593"/>
      <c r="Z22" s="2007"/>
      <c r="AA22" s="1998">
        <v>1</v>
      </c>
      <c r="AB22" s="1998">
        <v>1</v>
      </c>
      <c r="AC22" s="1998">
        <v>1</v>
      </c>
    </row>
    <row r="23" spans="1:29" ht="57">
      <c r="A23" s="1631"/>
      <c r="B23" s="1666" t="s">
        <v>1468</v>
      </c>
      <c r="C23" s="2394" t="str">
        <f>估价对象房地状况!C9</f>
        <v>区域自然环境：亮马河、东风公园等；人文环境；东风艺术区、七棵树创意园，综合评价环境状况较好</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1"/>
      <c r="Q23" s="2000" t="str">
        <f>B23</f>
        <v>自然及人文环境</v>
      </c>
      <c r="R23" s="1654" t="s">
        <v>25</v>
      </c>
      <c r="S23" s="1655">
        <f>F23</f>
        <v>100</v>
      </c>
      <c r="T23" s="1654" t="s">
        <v>25</v>
      </c>
      <c r="U23" s="1655">
        <f>H23</f>
        <v>100</v>
      </c>
      <c r="V23" s="1654" t="s">
        <v>25</v>
      </c>
      <c r="W23" s="1655">
        <f>J23</f>
        <v>100</v>
      </c>
      <c r="X23" s="2003"/>
      <c r="Y23" s="359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1"/>
      <c r="Q24" s="2000"/>
      <c r="R24" s="1654"/>
      <c r="S24" s="1655"/>
      <c r="T24" s="1654"/>
      <c r="U24" s="1655"/>
      <c r="V24" s="1654"/>
      <c r="W24" s="1655"/>
      <c r="X24" s="2003"/>
      <c r="Y24" s="359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1"/>
      <c r="Q25" s="2000" t="str">
        <f t="shared" ref="Q25:Q46" si="11">B25</f>
        <v>临街状况</v>
      </c>
      <c r="R25" s="1654" t="s">
        <v>25</v>
      </c>
      <c r="S25" s="1655">
        <f>F25</f>
        <v>100</v>
      </c>
      <c r="T25" s="1654" t="s">
        <v>25</v>
      </c>
      <c r="U25" s="1655">
        <f>H25</f>
        <v>100</v>
      </c>
      <c r="V25" s="1654" t="s">
        <v>25</v>
      </c>
      <c r="W25" s="1655">
        <f>J25</f>
        <v>100</v>
      </c>
      <c r="X25" s="2003"/>
      <c r="Y25" s="359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1"/>
      <c r="Q26" s="2000" t="str">
        <f t="shared" si="11"/>
        <v>平面位置/可视性</v>
      </c>
      <c r="R26" s="1654" t="s">
        <v>25</v>
      </c>
      <c r="S26" s="1655">
        <f>F26</f>
        <v>100</v>
      </c>
      <c r="T26" s="1654" t="s">
        <v>25</v>
      </c>
      <c r="U26" s="1655">
        <f>H26</f>
        <v>100</v>
      </c>
      <c r="V26" s="1654" t="s">
        <v>25</v>
      </c>
      <c r="W26" s="1655">
        <f>J26</f>
        <v>100</v>
      </c>
      <c r="X26" s="2003"/>
      <c r="Y26" s="359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1"/>
      <c r="Q27" s="1994" t="str">
        <f t="shared" si="11"/>
        <v>人流量</v>
      </c>
      <c r="R27" s="1609" t="s">
        <v>25</v>
      </c>
      <c r="S27" s="1610">
        <f>F27</f>
        <v>100</v>
      </c>
      <c r="T27" s="1609" t="s">
        <v>25</v>
      </c>
      <c r="U27" s="1610">
        <f>H27</f>
        <v>100</v>
      </c>
      <c r="V27" s="1609" t="s">
        <v>25</v>
      </c>
      <c r="W27" s="1610">
        <f>J27</f>
        <v>100</v>
      </c>
      <c r="X27" s="1611"/>
      <c r="Y27" s="359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1"/>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1"/>
      <c r="Q29" s="2000">
        <f t="shared" si="11"/>
        <v>111</v>
      </c>
      <c r="R29" s="1654" t="s">
        <v>25</v>
      </c>
      <c r="S29" s="1655">
        <f t="shared" si="12"/>
        <v>100</v>
      </c>
      <c r="T29" s="1654" t="s">
        <v>25</v>
      </c>
      <c r="U29" s="1655">
        <f t="shared" si="13"/>
        <v>100</v>
      </c>
      <c r="V29" s="1654" t="s">
        <v>25</v>
      </c>
      <c r="W29" s="1655">
        <f t="shared" si="14"/>
        <v>100</v>
      </c>
      <c r="X29" s="2003"/>
      <c r="Y29" s="359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1"/>
      <c r="Q30" s="2000">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1"/>
      <c r="Q31" s="2000">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4" t="s">
        <v>2037</v>
      </c>
      <c r="Q32" s="2000" t="str">
        <f t="shared" si="11"/>
        <v>商业类型</v>
      </c>
      <c r="R32" s="1654" t="s">
        <v>25</v>
      </c>
      <c r="S32" s="1655">
        <f t="shared" si="12"/>
        <v>100</v>
      </c>
      <c r="T32" s="1654" t="s">
        <v>25</v>
      </c>
      <c r="U32" s="1655">
        <f t="shared" si="13"/>
        <v>100</v>
      </c>
      <c r="V32" s="1654" t="s">
        <v>25</v>
      </c>
      <c r="W32" s="1655">
        <f t="shared" si="14"/>
        <v>100</v>
      </c>
      <c r="X32" s="2003"/>
      <c r="Y32" s="359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5"/>
      <c r="Q33" s="1695" t="str">
        <f t="shared" si="11"/>
        <v>项目建筑规模</v>
      </c>
      <c r="R33" s="1696" t="s">
        <v>25</v>
      </c>
      <c r="S33" s="1697" t="e">
        <f t="shared" si="12"/>
        <v>#N/A</v>
      </c>
      <c r="T33" s="1696" t="s">
        <v>25</v>
      </c>
      <c r="U33" s="1697" t="e">
        <f t="shared" si="13"/>
        <v>#N/A</v>
      </c>
      <c r="V33" s="1696" t="s">
        <v>25</v>
      </c>
      <c r="W33" s="1697" t="e">
        <f t="shared" si="14"/>
        <v>#N/A</v>
      </c>
      <c r="X33" s="1698"/>
      <c r="Y33" s="359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5"/>
      <c r="Q34" s="2000" t="str">
        <f t="shared" si="11"/>
        <v>建筑结构</v>
      </c>
      <c r="R34" s="1654" t="s">
        <v>25</v>
      </c>
      <c r="S34" s="1655">
        <f t="shared" si="12"/>
        <v>100</v>
      </c>
      <c r="T34" s="1654" t="s">
        <v>25</v>
      </c>
      <c r="U34" s="1655">
        <f t="shared" si="13"/>
        <v>100</v>
      </c>
      <c r="V34" s="1654" t="s">
        <v>25</v>
      </c>
      <c r="W34" s="1655">
        <f t="shared" si="14"/>
        <v>100</v>
      </c>
      <c r="X34" s="2003"/>
      <c r="Y34" s="359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5"/>
      <c r="Q35" s="2000" t="str">
        <f t="shared" si="11"/>
        <v>公共部分装修</v>
      </c>
      <c r="R35" s="1654" t="s">
        <v>25</v>
      </c>
      <c r="S35" s="1655">
        <f t="shared" si="12"/>
        <v>100</v>
      </c>
      <c r="T35" s="1654" t="s">
        <v>25</v>
      </c>
      <c r="U35" s="1655">
        <f t="shared" si="13"/>
        <v>100</v>
      </c>
      <c r="V35" s="1654" t="s">
        <v>25</v>
      </c>
      <c r="W35" s="1655">
        <f t="shared" si="14"/>
        <v>100</v>
      </c>
      <c r="X35" s="2003"/>
      <c r="Y35" s="359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5"/>
      <c r="Q36" s="2000" t="str">
        <f t="shared" si="11"/>
        <v>成新度</v>
      </c>
      <c r="R36" s="1654" t="s">
        <v>25</v>
      </c>
      <c r="S36" s="1655" t="e">
        <f t="shared" si="12"/>
        <v>#N/A</v>
      </c>
      <c r="T36" s="1654" t="s">
        <v>25</v>
      </c>
      <c r="U36" s="1655" t="e">
        <f t="shared" si="13"/>
        <v>#N/A</v>
      </c>
      <c r="V36" s="1654" t="s">
        <v>25</v>
      </c>
      <c r="W36" s="1655" t="e">
        <f t="shared" si="14"/>
        <v>#N/A</v>
      </c>
      <c r="X36" s="2003"/>
      <c r="Y36" s="359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5"/>
      <c r="Q37" s="1994"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5" t="s">
        <v>2037</v>
      </c>
      <c r="Q38" s="2000" t="str">
        <f t="shared" si="11"/>
        <v>业态</v>
      </c>
      <c r="R38" s="1654" t="s">
        <v>25</v>
      </c>
      <c r="S38" s="1655">
        <f t="shared" si="12"/>
        <v>100</v>
      </c>
      <c r="T38" s="1654" t="s">
        <v>25</v>
      </c>
      <c r="U38" s="1655">
        <f t="shared" si="13"/>
        <v>100</v>
      </c>
      <c r="V38" s="1654" t="s">
        <v>25</v>
      </c>
      <c r="W38" s="1655">
        <f t="shared" si="14"/>
        <v>100</v>
      </c>
      <c r="X38" s="2003"/>
      <c r="Y38" s="359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5"/>
      <c r="Q39" s="2000" t="str">
        <f t="shared" si="11"/>
        <v>层高</v>
      </c>
      <c r="R39" s="1654" t="s">
        <v>25</v>
      </c>
      <c r="S39" s="1655">
        <f t="shared" si="12"/>
        <v>100</v>
      </c>
      <c r="T39" s="1654" t="s">
        <v>25</v>
      </c>
      <c r="U39" s="1655">
        <f t="shared" si="13"/>
        <v>100</v>
      </c>
      <c r="V39" s="1654" t="s">
        <v>25</v>
      </c>
      <c r="W39" s="1655">
        <f t="shared" si="14"/>
        <v>100</v>
      </c>
      <c r="X39" s="2003"/>
      <c r="Y39" s="359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5"/>
      <c r="Q40" s="2000" t="str">
        <f t="shared" si="11"/>
        <v>单套建筑面积</v>
      </c>
      <c r="R40" s="1654" t="s">
        <v>25</v>
      </c>
      <c r="S40" s="1655">
        <f t="shared" si="12"/>
        <v>100</v>
      </c>
      <c r="T40" s="1654" t="s">
        <v>25</v>
      </c>
      <c r="U40" s="1655">
        <f t="shared" si="13"/>
        <v>100</v>
      </c>
      <c r="V40" s="1654" t="s">
        <v>25</v>
      </c>
      <c r="W40" s="1655">
        <f t="shared" si="14"/>
        <v>100</v>
      </c>
      <c r="X40" s="2003"/>
      <c r="Y40" s="359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5"/>
      <c r="Q41" s="1695" t="str">
        <f t="shared" si="11"/>
        <v>进深比</v>
      </c>
      <c r="R41" s="1696" t="s">
        <v>25</v>
      </c>
      <c r="S41" s="1697">
        <f t="shared" si="12"/>
        <v>100</v>
      </c>
      <c r="T41" s="1696" t="s">
        <v>25</v>
      </c>
      <c r="U41" s="1697">
        <f t="shared" si="13"/>
        <v>100</v>
      </c>
      <c r="V41" s="1696" t="s">
        <v>25</v>
      </c>
      <c r="W41" s="1697">
        <f t="shared" si="14"/>
        <v>100</v>
      </c>
      <c r="X41" s="1698"/>
      <c r="Y41" s="359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5"/>
      <c r="Q42" s="2000" t="str">
        <f t="shared" si="11"/>
        <v>内部装修</v>
      </c>
      <c r="R42" s="1654" t="s">
        <v>25</v>
      </c>
      <c r="S42" s="1655">
        <f t="shared" si="12"/>
        <v>100</v>
      </c>
      <c r="T42" s="1654" t="s">
        <v>25</v>
      </c>
      <c r="U42" s="1655">
        <f t="shared" si="13"/>
        <v>100</v>
      </c>
      <c r="V42" s="1654" t="s">
        <v>25</v>
      </c>
      <c r="W42" s="1655">
        <f t="shared" si="14"/>
        <v>100</v>
      </c>
      <c r="X42" s="2003"/>
      <c r="Y42" s="359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5"/>
      <c r="Q43" s="2000" t="str">
        <f t="shared" si="11"/>
        <v>内部装修维护情况</v>
      </c>
      <c r="R43" s="1654" t="s">
        <v>25</v>
      </c>
      <c r="S43" s="1655">
        <f t="shared" si="12"/>
        <v>100</v>
      </c>
      <c r="T43" s="1654" t="s">
        <v>25</v>
      </c>
      <c r="U43" s="1655">
        <f t="shared" si="13"/>
        <v>100</v>
      </c>
      <c r="V43" s="1654" t="s">
        <v>25</v>
      </c>
      <c r="W43" s="1655">
        <f t="shared" si="14"/>
        <v>100</v>
      </c>
      <c r="X43" s="2003"/>
      <c r="Y43" s="359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5"/>
      <c r="Q44" s="1994">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5"/>
      <c r="Q45" s="2000">
        <f t="shared" si="11"/>
        <v>111</v>
      </c>
      <c r="R45" s="1654" t="s">
        <v>25</v>
      </c>
      <c r="S45" s="1655">
        <f t="shared" si="12"/>
        <v>100</v>
      </c>
      <c r="T45" s="1654" t="s">
        <v>25</v>
      </c>
      <c r="U45" s="1655">
        <f t="shared" si="13"/>
        <v>100</v>
      </c>
      <c r="V45" s="1654" t="s">
        <v>25</v>
      </c>
      <c r="W45" s="1655">
        <f t="shared" si="14"/>
        <v>100</v>
      </c>
      <c r="X45" s="2003"/>
      <c r="Y45" s="359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6"/>
      <c r="Q46" s="2000">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89" t="str">
        <f>A47</f>
        <v>成交单价（元/平方米）</v>
      </c>
      <c r="Q47" s="3589"/>
      <c r="R47" s="3585">
        <f>E47</f>
        <v>0</v>
      </c>
      <c r="S47" s="3585"/>
      <c r="T47" s="3585">
        <f>G47</f>
        <v>0</v>
      </c>
      <c r="U47" s="3585"/>
      <c r="V47" s="3585">
        <f>I47</f>
        <v>0</v>
      </c>
      <c r="W47" s="3585"/>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89" t="str">
        <f>A48</f>
        <v>比较价值（元/平方米）</v>
      </c>
      <c r="Q48" s="3589"/>
      <c r="R48" s="3585" t="e">
        <f>IF(E1="售价",ROUND(PRODUCT(R47,AA7:AA46),0),ROUND(PRODUCT(R47,AA7:AA46),1))</f>
        <v>#DIV/0!</v>
      </c>
      <c r="S48" s="3585"/>
      <c r="T48" s="3585" t="e">
        <f>IF(E1="售价",ROUND(PRODUCT(T47,AB7:AB46),0),ROUND(PRODUCT(T47,AB7:AB46),1))</f>
        <v>#DIV/0!</v>
      </c>
      <c r="U48" s="3585"/>
      <c r="V48" s="3585" t="e">
        <f>IF(E1="售价",ROUND(PRODUCT(V47,AC7:AC46),0),ROUND(PRODUCT(V47,AC7:AC46),1))</f>
        <v>#DIV/0!</v>
      </c>
      <c r="W48" s="3585"/>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130.13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6" t="s">
        <v>2007</v>
      </c>
      <c r="D4" s="3617"/>
      <c r="E4" s="3618" t="s">
        <v>2008</v>
      </c>
      <c r="F4" s="3619"/>
      <c r="G4" s="3616" t="s">
        <v>2009</v>
      </c>
      <c r="H4" s="3617"/>
      <c r="I4" s="3616" t="s">
        <v>2010</v>
      </c>
      <c r="J4" s="3617"/>
      <c r="K4" s="1894" t="s">
        <v>2011</v>
      </c>
      <c r="L4" s="2915"/>
      <c r="M4" s="2916"/>
      <c r="N4" s="2916"/>
      <c r="O4" s="2916"/>
      <c r="P4" s="3620" t="s">
        <v>2012</v>
      </c>
      <c r="Q4" s="3621"/>
      <c r="R4" s="3605" t="s">
        <v>2008</v>
      </c>
      <c r="S4" s="3606"/>
      <c r="T4" s="3605" t="s">
        <v>2009</v>
      </c>
      <c r="U4" s="3606"/>
      <c r="V4" s="3626" t="s">
        <v>2010</v>
      </c>
      <c r="W4" s="3626"/>
      <c r="X4" s="2003"/>
      <c r="Y4" s="3605" t="s">
        <v>2012</v>
      </c>
      <c r="Z4" s="3606"/>
      <c r="AA4" s="3613" t="s">
        <v>2008</v>
      </c>
      <c r="AB4" s="3613" t="s">
        <v>2009</v>
      </c>
      <c r="AC4" s="3613" t="s">
        <v>2010</v>
      </c>
    </row>
    <row r="5" spans="1:29" ht="15">
      <c r="A5" s="1596"/>
      <c r="B5" s="1597"/>
      <c r="C5" s="3601" t="s">
        <v>2013</v>
      </c>
      <c r="D5" s="3602"/>
      <c r="E5" s="3627" t="s">
        <v>2014</v>
      </c>
      <c r="F5" s="3628"/>
      <c r="G5" s="3601" t="s">
        <v>2015</v>
      </c>
      <c r="H5" s="3602"/>
      <c r="I5" s="3601" t="s">
        <v>2016</v>
      </c>
      <c r="J5" s="3602"/>
      <c r="K5" s="1894"/>
      <c r="L5" s="2915"/>
      <c r="M5" s="2916"/>
      <c r="N5" s="2916"/>
      <c r="O5" s="2916"/>
      <c r="P5" s="3622"/>
      <c r="Q5" s="3623"/>
      <c r="R5" s="3607"/>
      <c r="S5" s="3608"/>
      <c r="T5" s="3607"/>
      <c r="U5" s="3608"/>
      <c r="V5" s="3626"/>
      <c r="W5" s="3626"/>
      <c r="X5" s="2003"/>
      <c r="Y5" s="3607"/>
      <c r="Z5" s="3608"/>
      <c r="AA5" s="3614"/>
      <c r="AB5" s="3614"/>
      <c r="AC5" s="3614"/>
    </row>
    <row r="6" spans="1:29" ht="15.75" thickBot="1">
      <c r="A6" s="1599"/>
      <c r="B6" s="1600"/>
      <c r="C6" s="3599" t="s">
        <v>2017</v>
      </c>
      <c r="D6" s="3600"/>
      <c r="E6" s="3629" t="s">
        <v>2017</v>
      </c>
      <c r="F6" s="3630"/>
      <c r="G6" s="3599" t="s">
        <v>2017</v>
      </c>
      <c r="H6" s="3600"/>
      <c r="I6" s="3599" t="s">
        <v>2017</v>
      </c>
      <c r="J6" s="3600"/>
      <c r="K6" s="1894" t="s">
        <v>2018</v>
      </c>
      <c r="L6" s="2915"/>
      <c r="M6" s="2916"/>
      <c r="N6" s="2916"/>
      <c r="O6" s="2916"/>
      <c r="P6" s="3624"/>
      <c r="Q6" s="3625"/>
      <c r="R6" s="3607"/>
      <c r="S6" s="3608"/>
      <c r="T6" s="3609"/>
      <c r="U6" s="3610"/>
      <c r="V6" s="3626"/>
      <c r="W6" s="3626"/>
      <c r="X6" s="2003"/>
      <c r="Y6" s="3609"/>
      <c r="Z6" s="3610"/>
      <c r="AA6" s="3615"/>
      <c r="AB6" s="3615"/>
      <c r="AC6" s="3615"/>
    </row>
    <row r="7" spans="1:29" s="1613" customFormat="1" ht="15.75" thickBot="1">
      <c r="A7" s="1601" t="s">
        <v>2019</v>
      </c>
      <c r="B7" s="1602"/>
      <c r="C7" s="1603">
        <f>'数据-取费表'!B2</f>
        <v>44820</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89" t="s">
        <v>2026</v>
      </c>
      <c r="Q9" s="2833"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89"/>
      <c r="Q10" s="2833" t="str">
        <f t="shared" si="6"/>
        <v>土地使用年限（年）</v>
      </c>
      <c r="R10" s="1609" t="s">
        <v>25</v>
      </c>
      <c r="S10" s="1610">
        <f t="shared" si="0"/>
        <v>100</v>
      </c>
      <c r="T10" s="1609" t="s">
        <v>25</v>
      </c>
      <c r="U10" s="1610">
        <f t="shared" si="1"/>
        <v>100</v>
      </c>
      <c r="V10" s="1609" t="s">
        <v>25</v>
      </c>
      <c r="W10" s="1610">
        <f t="shared" si="2"/>
        <v>100</v>
      </c>
      <c r="X10" s="1611"/>
      <c r="Y10" s="344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89"/>
      <c r="Q11" s="2833" t="str">
        <f t="shared" si="6"/>
        <v>容积率</v>
      </c>
      <c r="R11" s="1609" t="s">
        <v>25</v>
      </c>
      <c r="S11" s="1610" t="e">
        <f t="shared" si="0"/>
        <v>#N/A</v>
      </c>
      <c r="T11" s="1609" t="s">
        <v>25</v>
      </c>
      <c r="U11" s="1610" t="e">
        <f t="shared" si="1"/>
        <v>#N/A</v>
      </c>
      <c r="V11" s="1609" t="s">
        <v>25</v>
      </c>
      <c r="W11" s="1610" t="e">
        <f t="shared" si="2"/>
        <v>#N/A</v>
      </c>
      <c r="X11" s="1611"/>
      <c r="Y11" s="344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89"/>
      <c r="Q12" s="2833">
        <f t="shared" si="6"/>
        <v>111</v>
      </c>
      <c r="R12" s="1609" t="s">
        <v>25</v>
      </c>
      <c r="S12" s="1610">
        <f t="shared" si="0"/>
        <v>100</v>
      </c>
      <c r="T12" s="1609" t="s">
        <v>25</v>
      </c>
      <c r="U12" s="1610">
        <f t="shared" si="1"/>
        <v>100</v>
      </c>
      <c r="V12" s="1609" t="s">
        <v>25</v>
      </c>
      <c r="W12" s="1610">
        <f t="shared" si="2"/>
        <v>100</v>
      </c>
      <c r="X12" s="1611"/>
      <c r="Y12" s="344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89"/>
      <c r="Q13" s="2833">
        <f t="shared" si="6"/>
        <v>111</v>
      </c>
      <c r="R13" s="1609" t="s">
        <v>25</v>
      </c>
      <c r="S13" s="1610">
        <f t="shared" si="0"/>
        <v>100</v>
      </c>
      <c r="T13" s="1609" t="s">
        <v>25</v>
      </c>
      <c r="U13" s="1610">
        <f t="shared" si="1"/>
        <v>100</v>
      </c>
      <c r="V13" s="1609" t="s">
        <v>25</v>
      </c>
      <c r="W13" s="1610">
        <f t="shared" si="2"/>
        <v>100</v>
      </c>
      <c r="X13" s="1611"/>
      <c r="Y13" s="3449"/>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89"/>
      <c r="Q14" s="2833">
        <f t="shared" si="6"/>
        <v>111</v>
      </c>
      <c r="R14" s="1609" t="s">
        <v>25</v>
      </c>
      <c r="S14" s="1610">
        <f t="shared" si="0"/>
        <v>100</v>
      </c>
      <c r="T14" s="1609" t="s">
        <v>25</v>
      </c>
      <c r="U14" s="1610">
        <f t="shared" si="1"/>
        <v>100</v>
      </c>
      <c r="V14" s="1609" t="s">
        <v>25</v>
      </c>
      <c r="W14" s="1610">
        <f t="shared" si="2"/>
        <v>100</v>
      </c>
      <c r="X14" s="1611"/>
      <c r="Y14" s="3449"/>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2" t="s">
        <v>2031</v>
      </c>
      <c r="Q15" s="2834" t="str">
        <f t="shared" si="6"/>
        <v>办公集聚程度</v>
      </c>
      <c r="R15" s="1654" t="s">
        <v>25</v>
      </c>
      <c r="S15" s="1655">
        <f t="shared" si="0"/>
        <v>100</v>
      </c>
      <c r="T15" s="1654" t="s">
        <v>25</v>
      </c>
      <c r="U15" s="1655">
        <f t="shared" si="1"/>
        <v>100</v>
      </c>
      <c r="V15" s="1654" t="s">
        <v>25</v>
      </c>
      <c r="W15" s="1655">
        <f t="shared" si="2"/>
        <v>100</v>
      </c>
      <c r="X15" s="2003"/>
      <c r="Y15" s="359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3"/>
      <c r="Q16" s="2834"/>
      <c r="R16" s="1654"/>
      <c r="S16" s="1655"/>
      <c r="T16" s="1654"/>
      <c r="U16" s="1655"/>
      <c r="V16" s="1654"/>
      <c r="W16" s="1655"/>
      <c r="X16" s="2003"/>
      <c r="Y16" s="359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3"/>
      <c r="Q17" s="2834"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3"/>
      <c r="Q18" s="2834"/>
      <c r="R18" s="1654"/>
      <c r="S18" s="1655"/>
      <c r="T18" s="1654"/>
      <c r="U18" s="1655"/>
      <c r="V18" s="1654"/>
      <c r="W18" s="1655"/>
      <c r="X18" s="2003"/>
      <c r="Y18" s="359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3"/>
      <c r="Q19" s="2834"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3"/>
      <c r="Q20" s="2834"/>
      <c r="R20" s="1654"/>
      <c r="S20" s="1655"/>
      <c r="T20" s="1654"/>
      <c r="U20" s="1655"/>
      <c r="V20" s="1654"/>
      <c r="W20" s="1655"/>
      <c r="X20" s="2003"/>
      <c r="Y20" s="3593"/>
      <c r="Z20" s="2007"/>
      <c r="AA20" s="1998">
        <v>1</v>
      </c>
      <c r="AB20" s="1998">
        <v>1</v>
      </c>
      <c r="AC20" s="1998">
        <v>1</v>
      </c>
    </row>
    <row r="21" spans="1:29" ht="28.5">
      <c r="A21" s="1631"/>
      <c r="B21" s="2415" t="s">
        <v>2147</v>
      </c>
      <c r="C21" s="1909" t="str">
        <f>估价对象房地状况!C8</f>
        <v>七通</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3"/>
      <c r="Q21" s="2834"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3"/>
      <c r="Q22" s="2834"/>
      <c r="R22" s="1654"/>
      <c r="S22" s="1655"/>
      <c r="T22" s="1654"/>
      <c r="U22" s="1655"/>
      <c r="V22" s="1654"/>
      <c r="W22" s="1655"/>
      <c r="X22" s="2003"/>
      <c r="Y22" s="3593"/>
      <c r="Z22" s="2007"/>
      <c r="AA22" s="1998">
        <v>1</v>
      </c>
      <c r="AB22" s="1998">
        <v>1</v>
      </c>
      <c r="AC22" s="1998">
        <v>1</v>
      </c>
    </row>
    <row r="23" spans="1:29" ht="57">
      <c r="A23" s="1631"/>
      <c r="B23" s="2413" t="s">
        <v>2148</v>
      </c>
      <c r="C23" s="1909" t="str">
        <f>估价对象房地状况!C9</f>
        <v>区域自然环境：亮马河、东风公园等；人文环境；东风艺术区、七棵树创意园，综合评价环境状况较好</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3"/>
      <c r="Q23" s="2834" t="str">
        <f>B23</f>
        <v>环境质量</v>
      </c>
      <c r="R23" s="1654" t="s">
        <v>25</v>
      </c>
      <c r="S23" s="1655">
        <f>F23</f>
        <v>100</v>
      </c>
      <c r="T23" s="1654" t="s">
        <v>25</v>
      </c>
      <c r="U23" s="1655">
        <f>H23</f>
        <v>100</v>
      </c>
      <c r="V23" s="1654" t="s">
        <v>25</v>
      </c>
      <c r="W23" s="1655">
        <f>J23</f>
        <v>100</v>
      </c>
      <c r="X23" s="2003"/>
      <c r="Y23" s="359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3"/>
      <c r="Q24" s="2834"/>
      <c r="R24" s="1654"/>
      <c r="S24" s="1655"/>
      <c r="T24" s="1654"/>
      <c r="U24" s="1655"/>
      <c r="V24" s="1654"/>
      <c r="W24" s="1655"/>
      <c r="X24" s="2003"/>
      <c r="Y24" s="359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3"/>
      <c r="Q25" s="2834" t="str">
        <f>B25</f>
        <v>毗邻道路的类型与等级</v>
      </c>
      <c r="R25" s="1654" t="s">
        <v>25</v>
      </c>
      <c r="S25" s="1655">
        <f>F25</f>
        <v>100</v>
      </c>
      <c r="T25" s="1654" t="s">
        <v>25</v>
      </c>
      <c r="U25" s="1655">
        <f>H25</f>
        <v>100</v>
      </c>
      <c r="V25" s="1654" t="s">
        <v>25</v>
      </c>
      <c r="W25" s="1655">
        <f>J25</f>
        <v>100</v>
      </c>
      <c r="X25" s="2003"/>
      <c r="Y25" s="359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3"/>
      <c r="Q26" s="2834"/>
      <c r="R26" s="1654"/>
      <c r="S26" s="1655"/>
      <c r="T26" s="1654"/>
      <c r="U26" s="1655"/>
      <c r="V26" s="1654"/>
      <c r="W26" s="1655"/>
      <c r="X26" s="2003"/>
      <c r="Y26" s="359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3"/>
      <c r="Q27" s="2834" t="str">
        <f t="shared" ref="Q27:Q47" si="11">B27</f>
        <v>楼层</v>
      </c>
      <c r="R27" s="1654" t="s">
        <v>25</v>
      </c>
      <c r="S27" s="1655">
        <f>F27</f>
        <v>100</v>
      </c>
      <c r="T27" s="1654" t="s">
        <v>25</v>
      </c>
      <c r="U27" s="1655">
        <f>H27</f>
        <v>100</v>
      </c>
      <c r="V27" s="1654" t="s">
        <v>25</v>
      </c>
      <c r="W27" s="1655">
        <f>J27</f>
        <v>100</v>
      </c>
      <c r="X27" s="2003"/>
      <c r="Y27" s="359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3"/>
      <c r="Q28" s="2833" t="str">
        <f t="shared" si="11"/>
        <v>朝向</v>
      </c>
      <c r="R28" s="1609" t="s">
        <v>25</v>
      </c>
      <c r="S28" s="1610">
        <f>F28</f>
        <v>100</v>
      </c>
      <c r="T28" s="1609" t="s">
        <v>25</v>
      </c>
      <c r="U28" s="1610">
        <f>H28</f>
        <v>100</v>
      </c>
      <c r="V28" s="1609" t="s">
        <v>25</v>
      </c>
      <c r="W28" s="1610">
        <f>J28</f>
        <v>100</v>
      </c>
      <c r="X28" s="1611"/>
      <c r="Y28" s="359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3"/>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3"/>
      <c r="Q30" s="2834">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3"/>
      <c r="Q31" s="2834">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3"/>
      <c r="Q32" s="2834">
        <f t="shared" si="11"/>
        <v>111</v>
      </c>
      <c r="R32" s="1654" t="s">
        <v>25</v>
      </c>
      <c r="S32" s="1655">
        <f t="shared" si="12"/>
        <v>100</v>
      </c>
      <c r="T32" s="1654" t="s">
        <v>25</v>
      </c>
      <c r="U32" s="1655">
        <f t="shared" si="13"/>
        <v>100</v>
      </c>
      <c r="V32" s="1654" t="s">
        <v>25</v>
      </c>
      <c r="W32" s="1655">
        <f t="shared" si="14"/>
        <v>100</v>
      </c>
      <c r="X32" s="2003"/>
      <c r="Y32" s="359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59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7"/>
      <c r="Q34" s="1695" t="str">
        <f t="shared" si="11"/>
        <v>项目建筑规模</v>
      </c>
      <c r="R34" s="1696" t="s">
        <v>25</v>
      </c>
      <c r="S34" s="1697" t="e">
        <f t="shared" si="12"/>
        <v>#N/A</v>
      </c>
      <c r="T34" s="1696" t="s">
        <v>25</v>
      </c>
      <c r="U34" s="1697" t="e">
        <f t="shared" si="13"/>
        <v>#N/A</v>
      </c>
      <c r="V34" s="1696" t="s">
        <v>25</v>
      </c>
      <c r="W34" s="1697" t="e">
        <f t="shared" si="14"/>
        <v>#N/A</v>
      </c>
      <c r="X34" s="1698"/>
      <c r="Y34" s="359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7"/>
      <c r="Q35" s="2834" t="str">
        <f t="shared" si="11"/>
        <v>建筑结构</v>
      </c>
      <c r="R35" s="1654" t="s">
        <v>25</v>
      </c>
      <c r="S35" s="1655">
        <f t="shared" si="12"/>
        <v>100</v>
      </c>
      <c r="T35" s="1654" t="s">
        <v>25</v>
      </c>
      <c r="U35" s="1655">
        <f t="shared" si="13"/>
        <v>100</v>
      </c>
      <c r="V35" s="1654" t="s">
        <v>25</v>
      </c>
      <c r="W35" s="1655">
        <f t="shared" si="14"/>
        <v>100</v>
      </c>
      <c r="X35" s="2003"/>
      <c r="Y35" s="359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7"/>
      <c r="Q36" s="2834" t="str">
        <f t="shared" si="11"/>
        <v>公共部分装修</v>
      </c>
      <c r="R36" s="1654" t="s">
        <v>25</v>
      </c>
      <c r="S36" s="1655">
        <f t="shared" si="12"/>
        <v>100</v>
      </c>
      <c r="T36" s="1654" t="s">
        <v>25</v>
      </c>
      <c r="U36" s="1655">
        <f t="shared" si="13"/>
        <v>100</v>
      </c>
      <c r="V36" s="1654" t="s">
        <v>25</v>
      </c>
      <c r="W36" s="1655">
        <f t="shared" si="14"/>
        <v>100</v>
      </c>
      <c r="X36" s="2003"/>
      <c r="Y36" s="359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7"/>
      <c r="Q37" s="2834" t="str">
        <f t="shared" si="11"/>
        <v>成新度</v>
      </c>
      <c r="R37" s="1654" t="s">
        <v>25</v>
      </c>
      <c r="S37" s="1655" t="e">
        <f t="shared" si="12"/>
        <v>#N/A</v>
      </c>
      <c r="T37" s="1654" t="s">
        <v>25</v>
      </c>
      <c r="U37" s="1655" t="e">
        <f t="shared" si="13"/>
        <v>#N/A</v>
      </c>
      <c r="V37" s="1654" t="s">
        <v>25</v>
      </c>
      <c r="W37" s="1655" t="e">
        <f t="shared" si="14"/>
        <v>#N/A</v>
      </c>
      <c r="X37" s="2003"/>
      <c r="Y37" s="359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7"/>
      <c r="Q38" s="2833"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7" t="s">
        <v>2037</v>
      </c>
      <c r="Q39" s="2834" t="str">
        <f t="shared" si="11"/>
        <v>物业管理</v>
      </c>
      <c r="R39" s="1654" t="s">
        <v>25</v>
      </c>
      <c r="S39" s="1655">
        <f t="shared" si="12"/>
        <v>100</v>
      </c>
      <c r="T39" s="1654" t="s">
        <v>25</v>
      </c>
      <c r="U39" s="1655">
        <f t="shared" si="13"/>
        <v>100</v>
      </c>
      <c r="V39" s="1654" t="s">
        <v>25</v>
      </c>
      <c r="W39" s="1655">
        <f t="shared" si="14"/>
        <v>100</v>
      </c>
      <c r="X39" s="2003"/>
      <c r="Y39" s="359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7"/>
      <c r="Q40" s="2834" t="str">
        <f t="shared" si="11"/>
        <v>市政基础设施</v>
      </c>
      <c r="R40" s="1654" t="s">
        <v>25</v>
      </c>
      <c r="S40" s="1655">
        <f t="shared" si="12"/>
        <v>100</v>
      </c>
      <c r="T40" s="1654" t="s">
        <v>25</v>
      </c>
      <c r="U40" s="1655">
        <f t="shared" si="13"/>
        <v>100</v>
      </c>
      <c r="V40" s="1654" t="s">
        <v>25</v>
      </c>
      <c r="W40" s="1655">
        <f t="shared" si="14"/>
        <v>100</v>
      </c>
      <c r="X40" s="2003"/>
      <c r="Y40" s="359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7"/>
      <c r="Q41" s="2834" t="str">
        <f t="shared" si="11"/>
        <v>层高</v>
      </c>
      <c r="R41" s="1654" t="s">
        <v>25</v>
      </c>
      <c r="S41" s="1655">
        <f t="shared" si="12"/>
        <v>100</v>
      </c>
      <c r="T41" s="1654" t="s">
        <v>25</v>
      </c>
      <c r="U41" s="1655">
        <f t="shared" si="13"/>
        <v>100</v>
      </c>
      <c r="V41" s="1654" t="s">
        <v>25</v>
      </c>
      <c r="W41" s="1655">
        <f t="shared" si="14"/>
        <v>100</v>
      </c>
      <c r="X41" s="2003"/>
      <c r="Y41" s="359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7"/>
      <c r="Q42" s="1695" t="str">
        <f t="shared" si="11"/>
        <v>单套建筑面积</v>
      </c>
      <c r="R42" s="1696" t="s">
        <v>25</v>
      </c>
      <c r="S42" s="1697">
        <f t="shared" si="12"/>
        <v>100</v>
      </c>
      <c r="T42" s="1696" t="s">
        <v>25</v>
      </c>
      <c r="U42" s="1697">
        <f t="shared" si="13"/>
        <v>100</v>
      </c>
      <c r="V42" s="1696" t="s">
        <v>25</v>
      </c>
      <c r="W42" s="1697">
        <f t="shared" si="14"/>
        <v>100</v>
      </c>
      <c r="X42" s="1698"/>
      <c r="Y42" s="359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7"/>
      <c r="Q43" s="2834" t="str">
        <f t="shared" si="11"/>
        <v>内部装修</v>
      </c>
      <c r="R43" s="1654" t="s">
        <v>25</v>
      </c>
      <c r="S43" s="1655">
        <f t="shared" si="12"/>
        <v>100</v>
      </c>
      <c r="T43" s="1654" t="s">
        <v>25</v>
      </c>
      <c r="U43" s="1655">
        <f t="shared" si="13"/>
        <v>100</v>
      </c>
      <c r="V43" s="1654" t="s">
        <v>25</v>
      </c>
      <c r="W43" s="1655">
        <f t="shared" si="14"/>
        <v>100</v>
      </c>
      <c r="X43" s="2003"/>
      <c r="Y43" s="359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7"/>
      <c r="Q44" s="2834" t="str">
        <f t="shared" si="11"/>
        <v>内部装修维护情况</v>
      </c>
      <c r="R44" s="1654" t="s">
        <v>25</v>
      </c>
      <c r="S44" s="1655">
        <f t="shared" si="12"/>
        <v>100</v>
      </c>
      <c r="T44" s="1654" t="s">
        <v>25</v>
      </c>
      <c r="U44" s="1655">
        <f t="shared" si="13"/>
        <v>100</v>
      </c>
      <c r="V44" s="1654" t="s">
        <v>25</v>
      </c>
      <c r="W44" s="1655">
        <f t="shared" si="14"/>
        <v>100</v>
      </c>
      <c r="X44" s="2003"/>
      <c r="Y44" s="359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7"/>
      <c r="Q45" s="2833">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7"/>
      <c r="Q46" s="2834">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8"/>
      <c r="Q47" s="2834">
        <f t="shared" si="11"/>
        <v>111</v>
      </c>
      <c r="R47" s="1654" t="s">
        <v>25</v>
      </c>
      <c r="S47" s="1655">
        <f t="shared" si="12"/>
        <v>100</v>
      </c>
      <c r="T47" s="1654" t="s">
        <v>25</v>
      </c>
      <c r="U47" s="1655">
        <f t="shared" si="13"/>
        <v>100</v>
      </c>
      <c r="V47" s="1654" t="s">
        <v>25</v>
      </c>
      <c r="W47" s="1655">
        <f t="shared" si="14"/>
        <v>100</v>
      </c>
      <c r="X47" s="2003"/>
      <c r="Y47" s="359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89" t="str">
        <f>A48</f>
        <v>成交单价（元/平方米）</v>
      </c>
      <c r="Q48" s="3589"/>
      <c r="R48" s="3585">
        <f>E48</f>
        <v>0</v>
      </c>
      <c r="S48" s="3585"/>
      <c r="T48" s="3585">
        <f>G48</f>
        <v>0</v>
      </c>
      <c r="U48" s="3585"/>
      <c r="V48" s="3585">
        <f>I48</f>
        <v>0</v>
      </c>
      <c r="W48" s="3585"/>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89" t="str">
        <f>A49</f>
        <v>比较价值（元/平方米）</v>
      </c>
      <c r="Q49" s="3589"/>
      <c r="R49" s="3585" t="e">
        <f>IF(E1="售价",ROUND(PRODUCT(R48,AA7:AA47),0),ROUND(PRODUCT(R48,AA7:AA47),1))</f>
        <v>#DIV/0!</v>
      </c>
      <c r="S49" s="3585"/>
      <c r="T49" s="3585" t="e">
        <f>IF(E1="售价",ROUND(PRODUCT(T48,AB7:AB47),0),ROUND(PRODUCT(T48,AB7:AB47),1))</f>
        <v>#DIV/0!</v>
      </c>
      <c r="U49" s="3585"/>
      <c r="V49" s="3585" t="e">
        <f>IF(E1="售价",ROUND(PRODUCT(V48,AC7:AC47),0),ROUND(PRODUCT(V48,AC7:AC47),1))</f>
        <v>#DIV/0!</v>
      </c>
      <c r="W49" s="3585"/>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6" t="str">
        <f>A50</f>
        <v>估价对象XX用房的比较价值（楼面单价，元/平方米）</v>
      </c>
      <c r="Q50" s="3587"/>
      <c r="R50" s="3588" t="e">
        <f>IF(E1="售价",ROUND(IF(D49="简单平均",AVERAGE(R49:V49),R49*F49+T49*H49+V49*J49),0),ROUND(IF(D49="简单平均",AVERAGE(R49:V49),R49*F49+T49*H49+V49*J49),1))</f>
        <v>#DIV/0!</v>
      </c>
      <c r="S50" s="3588"/>
      <c r="T50" s="3588"/>
      <c r="U50" s="3588"/>
      <c r="V50" s="3588"/>
      <c r="W50" s="3588"/>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130.13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44820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2637</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9.2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130.13</v>
      </c>
      <c r="E3" s="797" t="s">
        <v>2167</v>
      </c>
      <c r="F3" s="293">
        <f>'数据-取费表'!B42</f>
        <v>130.13</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44820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297"/>
      <c r="B18" s="515" t="s">
        <v>2147</v>
      </c>
      <c r="C18" s="1074" t="str">
        <f>IF(B1="工业",估价对象房地状况!G6,估价对象房地状况!C8)</f>
        <v>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297"/>
      <c r="B20" s="513" t="s">
        <v>2169</v>
      </c>
      <c r="C20" s="1074" t="str">
        <f>IF(B1="工业",估价对象房地状况!G7,估价对象房地状况!C9)</f>
        <v>区域自然环境：亮马河、东风公园等；人文环境；东风艺术区、七棵树创意园，综合评价环境状况较好</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9.2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130.13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44820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318"/>
      <c r="B18" s="515" t="s">
        <v>2147</v>
      </c>
      <c r="C18" s="149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318"/>
      <c r="B20" s="340" t="s">
        <v>2169</v>
      </c>
      <c r="C20" s="1495" t="str">
        <f>IF(B1="工业",估价对象房地状况!G7,估价对象房地状况!C9)</f>
        <v>区域自然环境：亮马河、东风公园等；人文环境；东风艺术区、七棵树创意园，综合评价环境状况较好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9.2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J7" activeCellId="2" sqref="F7:F36 H7:H36 J7:J36"/>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6" t="s">
        <v>2007</v>
      </c>
      <c r="D4" s="3617"/>
      <c r="E4" s="3618" t="s">
        <v>2008</v>
      </c>
      <c r="F4" s="3619"/>
      <c r="G4" s="3616" t="s">
        <v>2009</v>
      </c>
      <c r="H4" s="3617"/>
      <c r="I4" s="3616" t="s">
        <v>2010</v>
      </c>
      <c r="J4" s="3617"/>
      <c r="K4" s="1894" t="s">
        <v>2011</v>
      </c>
      <c r="L4" s="2915"/>
      <c r="M4" s="2916"/>
      <c r="N4" s="2916"/>
      <c r="O4" s="2916"/>
      <c r="P4" s="3620" t="s">
        <v>2012</v>
      </c>
      <c r="Q4" s="3621"/>
      <c r="R4" s="3605" t="s">
        <v>2008</v>
      </c>
      <c r="S4" s="3606"/>
      <c r="T4" s="3605" t="s">
        <v>2009</v>
      </c>
      <c r="U4" s="3606"/>
      <c r="V4" s="3626" t="s">
        <v>2010</v>
      </c>
      <c r="W4" s="3626"/>
      <c r="X4" s="1594"/>
      <c r="Y4" s="3605" t="s">
        <v>2012</v>
      </c>
      <c r="Z4" s="3606"/>
      <c r="AA4" s="3613" t="s">
        <v>2008</v>
      </c>
      <c r="AB4" s="3614" t="s">
        <v>2009</v>
      </c>
      <c r="AC4" s="3613" t="s">
        <v>2010</v>
      </c>
    </row>
    <row r="5" spans="1:30" ht="15">
      <c r="A5" s="1596"/>
      <c r="B5" s="1597"/>
      <c r="C5" s="3601" t="s">
        <v>2013</v>
      </c>
      <c r="D5" s="3602"/>
      <c r="E5" s="3627" t="s">
        <v>2014</v>
      </c>
      <c r="F5" s="3628"/>
      <c r="G5" s="3601" t="s">
        <v>2015</v>
      </c>
      <c r="H5" s="3602"/>
      <c r="I5" s="3601" t="s">
        <v>2016</v>
      </c>
      <c r="J5" s="3602"/>
      <c r="K5" s="1894"/>
      <c r="L5" s="2915"/>
      <c r="M5" s="2916"/>
      <c r="N5" s="2916"/>
      <c r="O5" s="2916"/>
      <c r="P5" s="3622"/>
      <c r="Q5" s="3623"/>
      <c r="R5" s="3607"/>
      <c r="S5" s="3608"/>
      <c r="T5" s="3607"/>
      <c r="U5" s="3608"/>
      <c r="V5" s="3626"/>
      <c r="W5" s="3626"/>
      <c r="X5" s="1594"/>
      <c r="Y5" s="3607"/>
      <c r="Z5" s="3608"/>
      <c r="AA5" s="3614"/>
      <c r="AB5" s="3614"/>
      <c r="AC5" s="3614"/>
    </row>
    <row r="6" spans="1:30" ht="15.75" thickBot="1">
      <c r="A6" s="1599"/>
      <c r="B6" s="1600"/>
      <c r="C6" s="3599" t="s">
        <v>2017</v>
      </c>
      <c r="D6" s="3600"/>
      <c r="E6" s="3629" t="s">
        <v>2017</v>
      </c>
      <c r="F6" s="3630"/>
      <c r="G6" s="3599" t="s">
        <v>2017</v>
      </c>
      <c r="H6" s="3600"/>
      <c r="I6" s="3599" t="s">
        <v>2017</v>
      </c>
      <c r="J6" s="3600"/>
      <c r="K6" s="1894" t="s">
        <v>2018</v>
      </c>
      <c r="L6" s="2915"/>
      <c r="M6" s="2916"/>
      <c r="N6" s="2916"/>
      <c r="O6" s="2916"/>
      <c r="P6" s="3624"/>
      <c r="Q6" s="3625"/>
      <c r="R6" s="3607"/>
      <c r="S6" s="3608"/>
      <c r="T6" s="3609"/>
      <c r="U6" s="3610"/>
      <c r="V6" s="3626"/>
      <c r="W6" s="3626"/>
      <c r="X6" s="1594"/>
      <c r="Y6" s="3609"/>
      <c r="Z6" s="3610"/>
      <c r="AA6" s="3615"/>
      <c r="AB6" s="3615"/>
      <c r="AC6" s="3615"/>
    </row>
    <row r="7" spans="1:30" s="1613" customFormat="1" ht="15.75" thickBot="1">
      <c r="A7" s="1601" t="s">
        <v>2019</v>
      </c>
      <c r="B7" s="1602"/>
      <c r="C7" s="1603">
        <f>'数据-取费表'!B2</f>
        <v>44820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3" t="s">
        <v>2020</v>
      </c>
      <c r="Q7" s="3611"/>
      <c r="R7" s="1609" t="s">
        <v>25</v>
      </c>
      <c r="S7" s="1610">
        <f t="shared" ref="S7:S15" si="0">F7</f>
        <v>0</v>
      </c>
      <c r="T7" s="1609" t="s">
        <v>25</v>
      </c>
      <c r="U7" s="1610">
        <f t="shared" ref="U7:U15" si="1">H7</f>
        <v>0</v>
      </c>
      <c r="V7" s="1609" t="s">
        <v>25</v>
      </c>
      <c r="W7" s="1610">
        <f t="shared" ref="W7:W15" si="2">J7</f>
        <v>0</v>
      </c>
      <c r="X7" s="1611"/>
      <c r="Y7" s="3603" t="s">
        <v>2020</v>
      </c>
      <c r="Z7" s="3604"/>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3" t="s">
        <v>2023</v>
      </c>
      <c r="Q8" s="3604"/>
      <c r="R8" s="1609" t="s">
        <v>25</v>
      </c>
      <c r="S8" s="1610">
        <f t="shared" si="0"/>
        <v>0</v>
      </c>
      <c r="T8" s="1609" t="s">
        <v>25</v>
      </c>
      <c r="U8" s="1610">
        <f t="shared" si="1"/>
        <v>0</v>
      </c>
      <c r="V8" s="1609" t="s">
        <v>25</v>
      </c>
      <c r="W8" s="1610">
        <f t="shared" si="2"/>
        <v>0</v>
      </c>
      <c r="X8" s="1611"/>
      <c r="Y8" s="3603" t="s">
        <v>2023</v>
      </c>
      <c r="Z8" s="3604"/>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89" t="s">
        <v>2026</v>
      </c>
      <c r="Q9" s="1563" t="str">
        <f t="shared" ref="Q9:Q15" si="6">B9</f>
        <v>用途</v>
      </c>
      <c r="R9" s="1609" t="s">
        <v>25</v>
      </c>
      <c r="S9" s="1610">
        <f t="shared" si="0"/>
        <v>100</v>
      </c>
      <c r="T9" s="1609" t="s">
        <v>25</v>
      </c>
      <c r="U9" s="1610">
        <f t="shared" si="1"/>
        <v>100</v>
      </c>
      <c r="V9" s="1609" t="s">
        <v>25</v>
      </c>
      <c r="W9" s="1610">
        <f t="shared" si="2"/>
        <v>100</v>
      </c>
      <c r="X9" s="1611"/>
      <c r="Y9" s="344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8"/>
      <c r="L10" s="2917"/>
      <c r="M10" s="2918"/>
      <c r="N10" s="2918"/>
      <c r="O10" s="2963"/>
      <c r="P10" s="3589"/>
      <c r="Q10" s="1563" t="str">
        <f t="shared" si="6"/>
        <v>土地使用年限（年）</v>
      </c>
      <c r="R10" s="1609" t="s">
        <v>25</v>
      </c>
      <c r="S10" s="1610">
        <f t="shared" si="0"/>
        <v>108</v>
      </c>
      <c r="T10" s="1609" t="s">
        <v>25</v>
      </c>
      <c r="U10" s="1610">
        <f t="shared" si="1"/>
        <v>108</v>
      </c>
      <c r="V10" s="1609" t="s">
        <v>25</v>
      </c>
      <c r="W10" s="1610">
        <f t="shared" si="2"/>
        <v>108</v>
      </c>
      <c r="X10" s="1611"/>
      <c r="Y10" s="3449"/>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89"/>
      <c r="Q11" s="1563" t="str">
        <f t="shared" si="6"/>
        <v>容积率</v>
      </c>
      <c r="R11" s="1609" t="s">
        <v>25</v>
      </c>
      <c r="S11" s="1610" t="e">
        <f t="shared" si="0"/>
        <v>#N/A</v>
      </c>
      <c r="T11" s="1609" t="s">
        <v>25</v>
      </c>
      <c r="U11" s="1610" t="e">
        <f t="shared" si="1"/>
        <v>#N/A</v>
      </c>
      <c r="V11" s="1609" t="s">
        <v>25</v>
      </c>
      <c r="W11" s="1610" t="e">
        <f t="shared" si="2"/>
        <v>#N/A</v>
      </c>
      <c r="X11" s="1611"/>
      <c r="Y11" s="344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89"/>
      <c r="Q12" s="1563" t="str">
        <f t="shared" si="6"/>
        <v>配建</v>
      </c>
      <c r="R12" s="1609" t="s">
        <v>25</v>
      </c>
      <c r="S12" s="1610">
        <f t="shared" si="0"/>
        <v>100</v>
      </c>
      <c r="T12" s="1609" t="s">
        <v>25</v>
      </c>
      <c r="U12" s="1610">
        <f t="shared" si="1"/>
        <v>100</v>
      </c>
      <c r="V12" s="1609" t="s">
        <v>25</v>
      </c>
      <c r="W12" s="1610">
        <f t="shared" si="2"/>
        <v>100</v>
      </c>
      <c r="X12" s="1611"/>
      <c r="Y12" s="3449"/>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89"/>
      <c r="Q13" s="1563">
        <f t="shared" si="6"/>
        <v>111</v>
      </c>
      <c r="R13" s="1609" t="s">
        <v>25</v>
      </c>
      <c r="S13" s="1610">
        <f t="shared" si="0"/>
        <v>100</v>
      </c>
      <c r="T13" s="1609" t="s">
        <v>25</v>
      </c>
      <c r="U13" s="1610">
        <f t="shared" si="1"/>
        <v>100</v>
      </c>
      <c r="V13" s="1609" t="s">
        <v>25</v>
      </c>
      <c r="W13" s="1610">
        <f t="shared" si="2"/>
        <v>100</v>
      </c>
      <c r="X13" s="1611"/>
      <c r="Y13" s="3449"/>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89"/>
      <c r="Q14" s="1563">
        <f t="shared" si="6"/>
        <v>111</v>
      </c>
      <c r="R14" s="1609" t="s">
        <v>25</v>
      </c>
      <c r="S14" s="1610">
        <f t="shared" si="0"/>
        <v>100</v>
      </c>
      <c r="T14" s="1609" t="s">
        <v>25</v>
      </c>
      <c r="U14" s="1610">
        <f t="shared" si="1"/>
        <v>100</v>
      </c>
      <c r="V14" s="1609" t="s">
        <v>25</v>
      </c>
      <c r="W14" s="1610">
        <f t="shared" si="2"/>
        <v>100</v>
      </c>
      <c r="X14" s="1611"/>
      <c r="Y14" s="3449"/>
      <c r="Z14" s="1622">
        <f t="shared" si="7"/>
        <v>111</v>
      </c>
      <c r="AA14" s="1612">
        <f>D14/F14</f>
        <v>1</v>
      </c>
      <c r="AB14" s="1612">
        <f>D14/H14</f>
        <v>1</v>
      </c>
      <c r="AC14" s="1612">
        <f>D14/J14</f>
        <v>1</v>
      </c>
    </row>
    <row r="15" spans="1:30" ht="99.75">
      <c r="A15" s="1591" t="s">
        <v>2030</v>
      </c>
      <c r="B15" s="1901" t="s">
        <v>1464</v>
      </c>
      <c r="C15" s="1902" t="str">
        <f>估价对象房地状况!C15</f>
        <v>估价对象周边有首信小区、亮马嘉园、兆维小区等，综合评价居住社区成熟度较好</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2" t="s">
        <v>2031</v>
      </c>
      <c r="Q15" s="1544" t="str">
        <f t="shared" si="6"/>
        <v>居住社区成熟度</v>
      </c>
      <c r="R15" s="1654" t="s">
        <v>25</v>
      </c>
      <c r="S15" s="1655">
        <f t="shared" si="0"/>
        <v>100</v>
      </c>
      <c r="T15" s="1654" t="s">
        <v>25</v>
      </c>
      <c r="U15" s="1655">
        <f t="shared" si="1"/>
        <v>100</v>
      </c>
      <c r="V15" s="1654" t="s">
        <v>25</v>
      </c>
      <c r="W15" s="1655">
        <f t="shared" si="2"/>
        <v>100</v>
      </c>
      <c r="X15" s="1594"/>
      <c r="Y15" s="359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3"/>
      <c r="Q16" s="1544"/>
      <c r="R16" s="1654"/>
      <c r="S16" s="1655"/>
      <c r="T16" s="1654"/>
      <c r="U16" s="1655"/>
      <c r="V16" s="1654"/>
      <c r="W16" s="1655"/>
      <c r="X16" s="1594"/>
      <c r="Y16" s="359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3"/>
      <c r="Q17" s="1544" t="str">
        <f>B17</f>
        <v>商业繁华度</v>
      </c>
      <c r="R17" s="1654" t="s">
        <v>25</v>
      </c>
      <c r="S17" s="1655">
        <f>F17</f>
        <v>100</v>
      </c>
      <c r="T17" s="1654" t="s">
        <v>25</v>
      </c>
      <c r="U17" s="1655">
        <f>H17</f>
        <v>100</v>
      </c>
      <c r="V17" s="1654" t="s">
        <v>25</v>
      </c>
      <c r="W17" s="1655">
        <f>J17</f>
        <v>100</v>
      </c>
      <c r="X17" s="1594"/>
      <c r="Y17" s="359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3"/>
      <c r="Q18" s="1544"/>
      <c r="R18" s="1654"/>
      <c r="S18" s="1655"/>
      <c r="T18" s="1654"/>
      <c r="U18" s="1655"/>
      <c r="V18" s="1654"/>
      <c r="W18" s="1655"/>
      <c r="X18" s="1594"/>
      <c r="Y18" s="359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3"/>
      <c r="Q19" s="1544" t="str">
        <f>B19</f>
        <v>办公集聚程度</v>
      </c>
      <c r="R19" s="1654" t="s">
        <v>25</v>
      </c>
      <c r="S19" s="1655">
        <f>F19</f>
        <v>100</v>
      </c>
      <c r="T19" s="1654" t="s">
        <v>25</v>
      </c>
      <c r="U19" s="1655">
        <f>H19</f>
        <v>100</v>
      </c>
      <c r="V19" s="1654" t="s">
        <v>25</v>
      </c>
      <c r="W19" s="1655">
        <f>J19</f>
        <v>100</v>
      </c>
      <c r="X19" s="1594"/>
      <c r="Y19" s="359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3"/>
      <c r="Q20" s="1544"/>
      <c r="R20" s="1654"/>
      <c r="S20" s="1655"/>
      <c r="T20" s="1654"/>
      <c r="U20" s="1655"/>
      <c r="V20" s="1654"/>
      <c r="W20" s="1655"/>
      <c r="X20" s="1594"/>
      <c r="Y20" s="359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3"/>
      <c r="Q21" s="1544" t="str">
        <f>B21</f>
        <v>交通便捷度</v>
      </c>
      <c r="R21" s="1654" t="s">
        <v>25</v>
      </c>
      <c r="S21" s="1655">
        <f>F21</f>
        <v>100</v>
      </c>
      <c r="T21" s="1654" t="s">
        <v>25</v>
      </c>
      <c r="U21" s="1655">
        <f>H21</f>
        <v>100</v>
      </c>
      <c r="V21" s="1654" t="s">
        <v>25</v>
      </c>
      <c r="W21" s="1655">
        <f>J21</f>
        <v>100</v>
      </c>
      <c r="X21" s="1594"/>
      <c r="Y21" s="359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3"/>
      <c r="Q22" s="1544"/>
      <c r="R22" s="1654"/>
      <c r="S22" s="1655"/>
      <c r="T22" s="1654"/>
      <c r="U22" s="1655"/>
      <c r="V22" s="1654"/>
      <c r="W22" s="1655"/>
      <c r="X22" s="1594"/>
      <c r="Y22" s="359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3"/>
      <c r="Q23" s="1544" t="str">
        <f t="shared" ref="Q23:Q37" si="8">B23</f>
        <v>区域土地利用方向</v>
      </c>
      <c r="R23" s="1654" t="s">
        <v>25</v>
      </c>
      <c r="S23" s="1655">
        <f>F23</f>
        <v>100</v>
      </c>
      <c r="T23" s="1654" t="s">
        <v>25</v>
      </c>
      <c r="U23" s="1655">
        <f>H23</f>
        <v>100</v>
      </c>
      <c r="V23" s="1654" t="s">
        <v>25</v>
      </c>
      <c r="W23" s="1655">
        <f>J23</f>
        <v>100</v>
      </c>
      <c r="X23" s="1594"/>
      <c r="Y23" s="359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3"/>
      <c r="Q24" s="1544"/>
      <c r="R24" s="1654"/>
      <c r="S24" s="1655"/>
      <c r="T24" s="1654"/>
      <c r="U24" s="1655"/>
      <c r="V24" s="1654"/>
      <c r="W24" s="1655"/>
      <c r="X24" s="1594"/>
      <c r="Y24" s="3593"/>
      <c r="Z24" s="1656"/>
      <c r="AA24" s="1657"/>
      <c r="AB24" s="1657"/>
      <c r="AC24" s="1657"/>
    </row>
    <row r="25" spans="1:29" ht="57">
      <c r="A25" s="1596"/>
      <c r="B25" s="1910" t="s">
        <v>2209</v>
      </c>
      <c r="C25" s="1906" t="str">
        <f>估价对象房地状况!C20</f>
        <v>区域自然环境：亮马河、东风公园等；人文环境；东风艺术区、七棵树创意园，综合评价环境状况较好</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3"/>
      <c r="Q25" s="1544" t="str">
        <f t="shared" si="8"/>
        <v>自然及人文环境状况</v>
      </c>
      <c r="R25" s="1654" t="s">
        <v>25</v>
      </c>
      <c r="S25" s="1655">
        <f>F25</f>
        <v>100</v>
      </c>
      <c r="T25" s="1654" t="s">
        <v>25</v>
      </c>
      <c r="U25" s="1655">
        <f>H25</f>
        <v>100</v>
      </c>
      <c r="V25" s="1654" t="s">
        <v>25</v>
      </c>
      <c r="W25" s="1655">
        <f>J25</f>
        <v>100</v>
      </c>
      <c r="X25" s="1594"/>
      <c r="Y25" s="359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3"/>
      <c r="Q26" s="1544"/>
      <c r="R26" s="1654"/>
      <c r="S26" s="1655"/>
      <c r="T26" s="1654"/>
      <c r="U26" s="1655"/>
      <c r="V26" s="1654"/>
      <c r="W26" s="1655"/>
      <c r="X26" s="1594"/>
      <c r="Y26" s="359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3"/>
      <c r="Q27" s="1563" t="str">
        <f t="shared" ref="Q27" si="9">B27</f>
        <v>公共配套设施</v>
      </c>
      <c r="R27" s="1609" t="s">
        <v>25</v>
      </c>
      <c r="S27" s="1610">
        <f>F27</f>
        <v>100</v>
      </c>
      <c r="T27" s="1609" t="s">
        <v>25</v>
      </c>
      <c r="U27" s="1610">
        <f>H27</f>
        <v>100</v>
      </c>
      <c r="V27" s="1609" t="s">
        <v>25</v>
      </c>
      <c r="W27" s="1610">
        <f>J27</f>
        <v>100</v>
      </c>
      <c r="X27" s="1594"/>
      <c r="Y27" s="359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3"/>
      <c r="Q28" s="1544"/>
      <c r="R28" s="1654"/>
      <c r="S28" s="1655"/>
      <c r="T28" s="1654"/>
      <c r="U28" s="1655"/>
      <c r="V28" s="1654"/>
      <c r="W28" s="1655"/>
      <c r="X28" s="1594"/>
      <c r="Y28" s="3593"/>
      <c r="Z28" s="1622"/>
      <c r="AA28" s="1657">
        <v>1</v>
      </c>
      <c r="AB28" s="1657">
        <v>1</v>
      </c>
      <c r="AC28" s="1657">
        <v>1</v>
      </c>
    </row>
    <row r="29" spans="1:29" s="1613" customFormat="1" ht="28.5">
      <c r="A29" s="1916"/>
      <c r="B29" s="1910" t="s">
        <v>2118</v>
      </c>
      <c r="C29" s="1917" t="str">
        <f>估价对象房地状况!C22</f>
        <v>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3"/>
      <c r="Q29" s="1563" t="str">
        <f t="shared" si="8"/>
        <v>基础设施水平</v>
      </c>
      <c r="R29" s="1609" t="s">
        <v>25</v>
      </c>
      <c r="S29" s="1610">
        <f>F29</f>
        <v>100</v>
      </c>
      <c r="T29" s="1609" t="s">
        <v>25</v>
      </c>
      <c r="U29" s="1610">
        <f>H29</f>
        <v>100</v>
      </c>
      <c r="V29" s="1609" t="s">
        <v>25</v>
      </c>
      <c r="W29" s="1610">
        <f>J29</f>
        <v>100</v>
      </c>
      <c r="X29" s="1611"/>
      <c r="Y29" s="359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3"/>
      <c r="Q30" s="1563"/>
      <c r="R30" s="1609"/>
      <c r="S30" s="1610"/>
      <c r="T30" s="1609"/>
      <c r="U30" s="1610"/>
      <c r="V30" s="1609"/>
      <c r="W30" s="1610"/>
      <c r="X30" s="1611"/>
      <c r="Y30" s="359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3"/>
      <c r="Q32" s="1544" t="str">
        <f t="shared" si="8"/>
        <v>毗邻道路的类型与等级</v>
      </c>
      <c r="R32" s="1654" t="s">
        <v>25</v>
      </c>
      <c r="S32" s="1655">
        <f t="shared" si="10"/>
        <v>100</v>
      </c>
      <c r="T32" s="1654" t="s">
        <v>25</v>
      </c>
      <c r="U32" s="1655">
        <f t="shared" si="11"/>
        <v>100</v>
      </c>
      <c r="V32" s="1654" t="s">
        <v>25</v>
      </c>
      <c r="W32" s="1655">
        <f t="shared" si="12"/>
        <v>100</v>
      </c>
      <c r="X32" s="1594"/>
      <c r="Y32" s="359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3"/>
      <c r="Q33" s="1544"/>
      <c r="R33" s="1654"/>
      <c r="S33" s="1655"/>
      <c r="T33" s="1654"/>
      <c r="U33" s="1655"/>
      <c r="V33" s="1654"/>
      <c r="W33" s="1655"/>
      <c r="X33" s="1594"/>
      <c r="Y33" s="359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3"/>
      <c r="Q34" s="1544" t="str">
        <f t="shared" si="8"/>
        <v>土地级别</v>
      </c>
      <c r="R34" s="1654" t="s">
        <v>25</v>
      </c>
      <c r="S34" s="1655">
        <f t="shared" si="10"/>
        <v>100</v>
      </c>
      <c r="T34" s="1654" t="s">
        <v>25</v>
      </c>
      <c r="U34" s="1655">
        <f t="shared" si="11"/>
        <v>100</v>
      </c>
      <c r="V34" s="1654" t="s">
        <v>25</v>
      </c>
      <c r="W34" s="1655">
        <f t="shared" si="12"/>
        <v>100</v>
      </c>
      <c r="X34" s="1594"/>
      <c r="Y34" s="359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3"/>
      <c r="Q35" s="1544">
        <f t="shared" si="8"/>
        <v>111</v>
      </c>
      <c r="R35" s="1654" t="s">
        <v>25</v>
      </c>
      <c r="S35" s="1655">
        <f t="shared" si="10"/>
        <v>100</v>
      </c>
      <c r="T35" s="1654" t="s">
        <v>25</v>
      </c>
      <c r="U35" s="1655">
        <f t="shared" si="11"/>
        <v>100</v>
      </c>
      <c r="V35" s="1654" t="s">
        <v>25</v>
      </c>
      <c r="W35" s="1655">
        <f t="shared" si="12"/>
        <v>100</v>
      </c>
      <c r="X35" s="1594"/>
      <c r="Y35" s="359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59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7"/>
      <c r="Q37" s="1544">
        <f t="shared" si="8"/>
        <v>111</v>
      </c>
      <c r="R37" s="1696" t="s">
        <v>25</v>
      </c>
      <c r="S37" s="1697">
        <f t="shared" si="10"/>
        <v>100</v>
      </c>
      <c r="T37" s="1696" t="s">
        <v>25</v>
      </c>
      <c r="U37" s="1697">
        <f t="shared" si="11"/>
        <v>100</v>
      </c>
      <c r="V37" s="1696" t="s">
        <v>25</v>
      </c>
      <c r="W37" s="1697">
        <f t="shared" si="12"/>
        <v>100</v>
      </c>
      <c r="X37" s="1698"/>
      <c r="Y37" s="359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7" t="s">
        <v>2037</v>
      </c>
      <c r="Q42" s="1544" t="str">
        <f t="shared" si="14"/>
        <v>工程地质条件</v>
      </c>
      <c r="R42" s="1654" t="s">
        <v>25</v>
      </c>
      <c r="S42" s="1655">
        <f t="shared" si="10"/>
        <v>100</v>
      </c>
      <c r="T42" s="1654" t="s">
        <v>25</v>
      </c>
      <c r="U42" s="1655">
        <f t="shared" si="11"/>
        <v>100</v>
      </c>
      <c r="V42" s="1654" t="s">
        <v>25</v>
      </c>
      <c r="W42" s="1655">
        <f t="shared" si="12"/>
        <v>100</v>
      </c>
      <c r="X42" s="1594"/>
      <c r="Y42" s="359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700" customFormat="1" ht="15.75" thickBot="1">
      <c r="A45" s="1693"/>
      <c r="B45" s="1932">
        <v>111</v>
      </c>
      <c r="C45" s="1933"/>
      <c r="D45" s="3063">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7"/>
      <c r="Q45" s="1544">
        <f t="shared" si="14"/>
        <v>111</v>
      </c>
      <c r="R45" s="1696" t="s">
        <v>25</v>
      </c>
      <c r="S45" s="1697">
        <f t="shared" si="10"/>
        <v>100</v>
      </c>
      <c r="T45" s="1696" t="s">
        <v>25</v>
      </c>
      <c r="U45" s="1697">
        <f t="shared" si="11"/>
        <v>100</v>
      </c>
      <c r="V45" s="1696" t="s">
        <v>25</v>
      </c>
      <c r="W45" s="1697">
        <f t="shared" si="12"/>
        <v>100</v>
      </c>
      <c r="X45" s="1698"/>
      <c r="Y45" s="359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89" t="str">
        <f>A46</f>
        <v>成交单价</v>
      </c>
      <c r="Q46" s="3589"/>
      <c r="R46" s="3626">
        <f>E46</f>
        <v>0</v>
      </c>
      <c r="S46" s="3626"/>
      <c r="T46" s="3626">
        <f>G46</f>
        <v>0</v>
      </c>
      <c r="U46" s="3626"/>
      <c r="V46" s="3626">
        <f>I46</f>
        <v>0</v>
      </c>
      <c r="W46" s="3626"/>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89" t="str">
        <f>A47</f>
        <v>比较价值（元/平方米）</v>
      </c>
      <c r="Q47" s="3589"/>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6" t="str">
        <f>A48</f>
        <v>估价对象XX用房的比较价值（楼面单价，元/平方米）</v>
      </c>
      <c r="Q48" s="3587"/>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估价对象为北京市房地产，为XX所有。根据《》[]，估价对象建筑面积为130.13平方米。根据《》[]，估价对象（分摊）出让国有建设用地使用权面积为平方米。估价对象用途为。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2022年9月16日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本次估价的“房地产价值”是指在正常市场情况下，在价值时点2022年9月16日，估价对象规划用途为，假定未设立法定优先受偿款下的房地产市场价值。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J7" activeCellId="2" sqref="F7:F36 H7:H36 J7:J36"/>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44820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8"/>
      <c r="M10" s="2949"/>
      <c r="N10" s="2949"/>
      <c r="O10" s="2950"/>
      <c r="P10" s="3633"/>
      <c r="Q10" s="1255" t="str">
        <f t="shared" si="6"/>
        <v>土地使用年限（年）</v>
      </c>
      <c r="R10" s="627" t="s">
        <v>25</v>
      </c>
      <c r="S10" s="628">
        <f t="shared" si="0"/>
        <v>108</v>
      </c>
      <c r="T10" s="627" t="s">
        <v>25</v>
      </c>
      <c r="U10" s="628">
        <f t="shared" si="1"/>
        <v>108</v>
      </c>
      <c r="V10" s="627" t="s">
        <v>25</v>
      </c>
      <c r="W10" s="628">
        <f t="shared" si="2"/>
        <v>108</v>
      </c>
      <c r="X10" s="629"/>
      <c r="Y10" s="3652"/>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29.2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130.13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2641</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2643</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2644</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44820</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0.95220000000000005</v>
      </c>
      <c r="D20" s="2130" t="s">
        <v>2354</v>
      </c>
      <c r="E20" s="3070">
        <f>存贷款利率!E22/100</f>
        <v>4.3499999999999997E-2</v>
      </c>
      <c r="F20" s="2130" t="s">
        <v>2343</v>
      </c>
      <c r="G20" s="3071">
        <f>SUMIF(M26:P26,E2,M28:P28)</f>
        <v>0.05</v>
      </c>
      <c r="H20" s="2130" t="s">
        <v>2355</v>
      </c>
      <c r="I20" s="2131">
        <f>'数据-取费表'!B13</f>
        <v>52</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130.13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t="str">
        <f>估价对象房地状况!C24</f>
        <v>城市支路——驼房营南路</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区域自然环境：亮马河、东风公园等；人文环境；东风艺术区、七棵树创意园，综合评价环境状况较好</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t="str">
        <f>估价对象房地状况!C24</f>
        <v>城市支路——驼房营南路</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区域自然环境：亮马河、东风公园等；人文环境；东风艺术区、七棵树创意园，综合评价环境状况较好</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估价对象周边有首信小区、亮马嘉园、兆维小区等，综合评价居住社区成熟度较好</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t="str">
        <f>估价对象房地状况!C24</f>
        <v>城市支路——驼房营南路</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区域自然环境：亮马河、东风公园等；人文环境；东风艺术区、七棵树创意园，综合评价环境状况较好</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城市支路——驼房营南路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区域自然环境：亮马河、东风公园等；人文环境；东风艺术区、七棵树创意园，综合评价环境状况较好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城市支路——驼房营南路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区域自然环境：亮马河、东风公园等；人文环境；东风艺术区、七棵树创意园，综合评价环境状况较好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估价对象周边有首信小区、亮马嘉园、兆维小区等，综合评价居住社区成熟度较好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城市支路——驼房营南路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区域自然环境：亮马河、东风公园等；人文环境；东风艺术区、七棵树创意园，综合评价环境状况较好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1" t="s">
        <v>2801</v>
      </c>
      <c r="B20" s="3714" t="s">
        <v>2809</v>
      </c>
      <c r="C20" s="3288" t="s">
        <v>2810</v>
      </c>
      <c r="D20" s="3289"/>
      <c r="E20" s="3290">
        <v>1</v>
      </c>
      <c r="F20" s="3291" t="s">
        <v>2811</v>
      </c>
      <c r="G20" s="3291"/>
    </row>
    <row r="21" spans="1:13" ht="19.5" customHeight="1">
      <c r="A21" s="3712"/>
      <c r="B21" s="3709"/>
      <c r="C21" s="740" t="s">
        <v>2812</v>
      </c>
      <c r="D21" s="741"/>
      <c r="E21" s="3292">
        <v>1</v>
      </c>
      <c r="F21" s="3291" t="s">
        <v>2813</v>
      </c>
      <c r="G21" s="3291"/>
    </row>
    <row r="22" spans="1:13" ht="19.5" customHeight="1">
      <c r="A22" s="3712"/>
      <c r="B22" s="3709"/>
      <c r="C22" s="740" t="s">
        <v>2814</v>
      </c>
      <c r="D22" s="741"/>
      <c r="E22" s="3292">
        <v>0.9</v>
      </c>
      <c r="F22" s="3291" t="s">
        <v>2815</v>
      </c>
      <c r="G22" s="3291"/>
    </row>
    <row r="23" spans="1:13" ht="19.5" customHeight="1">
      <c r="A23" s="3712"/>
      <c r="B23" s="3709"/>
      <c r="C23" s="740" t="s">
        <v>2816</v>
      </c>
      <c r="D23" s="741"/>
      <c r="E23" s="3292">
        <v>0.9</v>
      </c>
      <c r="F23" s="3291" t="s">
        <v>2817</v>
      </c>
      <c r="G23" s="3291"/>
    </row>
    <row r="24" spans="1:13" ht="19.5" customHeight="1">
      <c r="A24" s="3712"/>
      <c r="B24" s="3709"/>
      <c r="C24" s="740" t="s">
        <v>2818</v>
      </c>
      <c r="D24" s="741"/>
      <c r="E24" s="3292">
        <v>0.8</v>
      </c>
      <c r="F24" s="3291" t="s">
        <v>2819</v>
      </c>
      <c r="G24" s="3291"/>
    </row>
    <row r="25" spans="1:13" ht="19.5" customHeight="1" thickBot="1">
      <c r="A25" s="3713"/>
      <c r="B25" s="3715"/>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16" t="s">
        <v>2806</v>
      </c>
      <c r="B27" s="3714" t="s">
        <v>2806</v>
      </c>
      <c r="C27" s="3288" t="s">
        <v>2823</v>
      </c>
      <c r="D27" s="3289"/>
      <c r="E27" s="3290">
        <v>1</v>
      </c>
      <c r="F27" s="3291" t="s">
        <v>2864</v>
      </c>
      <c r="G27" s="3291"/>
    </row>
    <row r="28" spans="1:13" ht="19.5" customHeight="1">
      <c r="A28" s="3717"/>
      <c r="B28" s="3709"/>
      <c r="C28" s="740" t="s">
        <v>2824</v>
      </c>
      <c r="D28" s="741"/>
      <c r="E28" s="3292">
        <v>1</v>
      </c>
      <c r="F28" s="3291" t="s">
        <v>2865</v>
      </c>
      <c r="G28" s="3291"/>
    </row>
    <row r="29" spans="1:13" ht="19.5" customHeight="1">
      <c r="A29" s="3717"/>
      <c r="B29" s="3709"/>
      <c r="C29" s="740" t="s">
        <v>2825</v>
      </c>
      <c r="D29" s="741"/>
      <c r="E29" s="3292">
        <v>0.8</v>
      </c>
      <c r="F29" s="3291" t="s">
        <v>2866</v>
      </c>
      <c r="G29" s="3291"/>
    </row>
    <row r="30" spans="1:13" ht="19.5" customHeight="1">
      <c r="A30" s="3717"/>
      <c r="B30" s="3709"/>
      <c r="C30" s="740" t="s">
        <v>2826</v>
      </c>
      <c r="D30" s="741"/>
      <c r="E30" s="3292">
        <v>0.8</v>
      </c>
      <c r="F30" s="3291" t="s">
        <v>2867</v>
      </c>
      <c r="G30" s="3291"/>
    </row>
    <row r="31" spans="1:13" ht="19.5" customHeight="1">
      <c r="A31" s="3717"/>
      <c r="B31" s="3709"/>
      <c r="C31" s="740" t="s">
        <v>2827</v>
      </c>
      <c r="D31" s="741"/>
      <c r="E31" s="3292">
        <v>0.8</v>
      </c>
      <c r="F31" s="3291" t="s">
        <v>2868</v>
      </c>
      <c r="G31" s="3291"/>
    </row>
    <row r="32" spans="1:13" ht="19.5" customHeight="1">
      <c r="A32" s="3717"/>
      <c r="B32" s="3709"/>
      <c r="C32" s="740" t="s">
        <v>2828</v>
      </c>
      <c r="D32" s="741"/>
      <c r="E32" s="3292">
        <v>0.7</v>
      </c>
      <c r="F32" s="3291" t="s">
        <v>2869</v>
      </c>
      <c r="G32" s="3291"/>
    </row>
    <row r="33" spans="1:7" ht="19.5" customHeight="1">
      <c r="A33" s="3717"/>
      <c r="B33" s="3709"/>
      <c r="C33" s="740" t="s">
        <v>2829</v>
      </c>
      <c r="D33" s="741"/>
      <c r="E33" s="3292">
        <v>0.8</v>
      </c>
      <c r="F33" s="3291" t="s">
        <v>2870</v>
      </c>
      <c r="G33" s="3291"/>
    </row>
    <row r="34" spans="1:7" ht="19.5" customHeight="1">
      <c r="A34" s="3717"/>
      <c r="B34" s="3709"/>
      <c r="C34" s="740" t="s">
        <v>2830</v>
      </c>
      <c r="D34" s="741"/>
      <c r="E34" s="3292">
        <v>0.6</v>
      </c>
      <c r="F34" s="3291" t="s">
        <v>2871</v>
      </c>
      <c r="G34" s="3291"/>
    </row>
    <row r="35" spans="1:7" ht="19.5" customHeight="1">
      <c r="A35" s="3717"/>
      <c r="B35" s="3709"/>
      <c r="C35" s="740" t="s">
        <v>2831</v>
      </c>
      <c r="D35" s="741"/>
      <c r="E35" s="3292">
        <v>0.2</v>
      </c>
      <c r="F35" s="3291" t="s">
        <v>2872</v>
      </c>
      <c r="G35" s="3291"/>
    </row>
    <row r="36" spans="1:7" ht="19.5" customHeight="1">
      <c r="A36" s="3717"/>
      <c r="B36" s="3709"/>
      <c r="C36" s="740" t="s">
        <v>2832</v>
      </c>
      <c r="D36" s="741"/>
      <c r="E36" s="3292">
        <v>0.2</v>
      </c>
      <c r="F36" s="3291" t="s">
        <v>2873</v>
      </c>
      <c r="G36" s="3291"/>
    </row>
    <row r="37" spans="1:7" ht="19.5" customHeight="1">
      <c r="A37" s="3717"/>
      <c r="B37" s="3708" t="s">
        <v>2833</v>
      </c>
      <c r="C37" s="740" t="s">
        <v>2834</v>
      </c>
      <c r="D37" s="741"/>
      <c r="E37" s="3292">
        <v>0.6</v>
      </c>
      <c r="F37" s="3291" t="s">
        <v>2874</v>
      </c>
      <c r="G37" s="3291"/>
    </row>
    <row r="38" spans="1:7" ht="19.5" customHeight="1">
      <c r="A38" s="3717"/>
      <c r="B38" s="3709"/>
      <c r="C38" s="740" t="s">
        <v>2835</v>
      </c>
      <c r="D38" s="741"/>
      <c r="E38" s="3292">
        <v>0.6</v>
      </c>
      <c r="F38" s="3291" t="s">
        <v>2875</v>
      </c>
      <c r="G38" s="3291"/>
    </row>
    <row r="39" spans="1:7" ht="19.5" customHeight="1" thickBot="1">
      <c r="A39" s="3718"/>
      <c r="B39" s="3715"/>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1" t="s">
        <v>2839</v>
      </c>
      <c r="B41" s="3714" t="s">
        <v>2840</v>
      </c>
      <c r="C41" s="3288" t="s">
        <v>2841</v>
      </c>
      <c r="D41" s="3289"/>
      <c r="E41" s="3290">
        <v>1</v>
      </c>
      <c r="F41" s="3291" t="s">
        <v>2842</v>
      </c>
      <c r="G41" s="3291"/>
    </row>
    <row r="42" spans="1:7" ht="19.5" customHeight="1">
      <c r="A42" s="3712"/>
      <c r="B42" s="3709"/>
      <c r="C42" s="740" t="s">
        <v>2843</v>
      </c>
      <c r="D42" s="741"/>
      <c r="E42" s="3292">
        <v>1</v>
      </c>
      <c r="F42" s="3291" t="s">
        <v>2844</v>
      </c>
      <c r="G42" s="3291"/>
    </row>
    <row r="43" spans="1:7" ht="19.5" customHeight="1">
      <c r="A43" s="3712"/>
      <c r="B43" s="3710"/>
      <c r="C43" s="740" t="s">
        <v>2845</v>
      </c>
      <c r="D43" s="741"/>
      <c r="E43" s="3292">
        <v>1.5</v>
      </c>
      <c r="F43" s="3291" t="s">
        <v>2846</v>
      </c>
      <c r="G43" s="3291"/>
    </row>
    <row r="44" spans="1:7" ht="19.5" customHeight="1">
      <c r="A44" s="3712"/>
      <c r="B44" s="3301" t="s">
        <v>2806</v>
      </c>
      <c r="C44" s="740" t="s">
        <v>2805</v>
      </c>
      <c r="D44" s="741"/>
      <c r="E44" s="3292">
        <v>2</v>
      </c>
      <c r="F44" s="3291" t="s">
        <v>2847</v>
      </c>
      <c r="G44" s="3291"/>
    </row>
    <row r="45" spans="1:7" ht="19.5" customHeight="1">
      <c r="A45" s="3712"/>
      <c r="B45" s="3708" t="s">
        <v>2848</v>
      </c>
      <c r="C45" s="740" t="s">
        <v>2849</v>
      </c>
      <c r="D45" s="741"/>
      <c r="E45" s="3292">
        <v>1</v>
      </c>
      <c r="F45" s="3291" t="s">
        <v>2850</v>
      </c>
      <c r="G45" s="3291"/>
    </row>
    <row r="46" spans="1:7" ht="19.5" customHeight="1">
      <c r="A46" s="3712"/>
      <c r="B46" s="3709"/>
      <c r="C46" s="740" t="s">
        <v>2851</v>
      </c>
      <c r="D46" s="741"/>
      <c r="E46" s="3292">
        <v>1</v>
      </c>
      <c r="F46" s="3291" t="s">
        <v>2852</v>
      </c>
      <c r="G46" s="3291"/>
    </row>
    <row r="47" spans="1:7" ht="19.5" customHeight="1">
      <c r="A47" s="3712"/>
      <c r="B47" s="3709"/>
      <c r="C47" s="740" t="s">
        <v>2853</v>
      </c>
      <c r="D47" s="741"/>
      <c r="E47" s="3292">
        <v>1</v>
      </c>
      <c r="F47" s="3291" t="s">
        <v>2854</v>
      </c>
      <c r="G47" s="3291"/>
    </row>
    <row r="48" spans="1:7" ht="19.5" customHeight="1">
      <c r="A48" s="3712"/>
      <c r="B48" s="3709"/>
      <c r="C48" s="740" t="s">
        <v>2855</v>
      </c>
      <c r="D48" s="741"/>
      <c r="E48" s="3292">
        <v>1</v>
      </c>
      <c r="F48" s="3291" t="s">
        <v>2856</v>
      </c>
      <c r="G48" s="3291"/>
    </row>
    <row r="49" spans="1:7" ht="19.5" customHeight="1">
      <c r="A49" s="3712"/>
      <c r="B49" s="3709"/>
      <c r="C49" s="740" t="s">
        <v>2857</v>
      </c>
      <c r="D49" s="741"/>
      <c r="E49" s="3292">
        <v>1</v>
      </c>
      <c r="F49" s="3291" t="s">
        <v>2858</v>
      </c>
      <c r="G49" s="3291"/>
    </row>
    <row r="50" spans="1:7" ht="19.5" customHeight="1">
      <c r="A50" s="3712"/>
      <c r="B50" s="3709"/>
      <c r="C50" s="740" t="s">
        <v>2859</v>
      </c>
      <c r="D50" s="741"/>
      <c r="E50" s="3292">
        <v>1</v>
      </c>
      <c r="F50" s="3291" t="s">
        <v>2860</v>
      </c>
      <c r="G50" s="3291"/>
    </row>
    <row r="51" spans="1:7" ht="19.5" customHeight="1" thickBot="1">
      <c r="A51" s="3713"/>
      <c r="B51" s="3715"/>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08" t="s">
        <v>2879</v>
      </c>
      <c r="C73" s="3282" t="s">
        <v>2880</v>
      </c>
      <c r="D73" s="3282" t="s">
        <v>2881</v>
      </c>
      <c r="E73" s="3307">
        <v>0.2</v>
      </c>
      <c r="F73" s="3301">
        <v>25</v>
      </c>
    </row>
    <row r="74" spans="1:7" ht="24">
      <c r="A74" s="3301">
        <v>2</v>
      </c>
      <c r="B74" s="3709"/>
      <c r="C74" s="3282" t="s">
        <v>2882</v>
      </c>
      <c r="D74" s="3282" t="s">
        <v>2883</v>
      </c>
      <c r="E74" s="3307">
        <v>0.2</v>
      </c>
      <c r="F74" s="3301">
        <v>25</v>
      </c>
    </row>
    <row r="75" spans="1:7" ht="24">
      <c r="A75" s="3301">
        <v>3</v>
      </c>
      <c r="B75" s="3709"/>
      <c r="C75" s="3282" t="s">
        <v>2884</v>
      </c>
      <c r="D75" s="3282" t="s">
        <v>2885</v>
      </c>
      <c r="E75" s="3307">
        <v>0.2</v>
      </c>
      <c r="F75" s="3301">
        <v>25</v>
      </c>
    </row>
    <row r="76" spans="1:7" ht="13.5">
      <c r="A76" s="3301">
        <v>4</v>
      </c>
      <c r="B76" s="3709"/>
      <c r="C76" s="3282" t="s">
        <v>2886</v>
      </c>
      <c r="D76" s="3282" t="s">
        <v>2887</v>
      </c>
      <c r="E76" s="3307">
        <v>0.15</v>
      </c>
      <c r="F76" s="3301">
        <v>20</v>
      </c>
    </row>
    <row r="77" spans="1:7" ht="24">
      <c r="A77" s="3301">
        <v>5</v>
      </c>
      <c r="B77" s="3709"/>
      <c r="C77" s="3282" t="s">
        <v>2888</v>
      </c>
      <c r="D77" s="3282" t="s">
        <v>2889</v>
      </c>
      <c r="E77" s="3307">
        <v>0.15</v>
      </c>
      <c r="F77" s="3301">
        <v>20</v>
      </c>
    </row>
    <row r="78" spans="1:7" ht="24">
      <c r="A78" s="3301">
        <v>6</v>
      </c>
      <c r="B78" s="3709"/>
      <c r="C78" s="3282" t="s">
        <v>2890</v>
      </c>
      <c r="D78" s="3282" t="s">
        <v>2891</v>
      </c>
      <c r="E78" s="3307">
        <v>0.15</v>
      </c>
      <c r="F78" s="3301">
        <v>20</v>
      </c>
    </row>
    <row r="79" spans="1:7" ht="24">
      <c r="A79" s="3301">
        <v>7</v>
      </c>
      <c r="B79" s="3709"/>
      <c r="C79" s="3282" t="s">
        <v>2892</v>
      </c>
      <c r="D79" s="3282" t="s">
        <v>2893</v>
      </c>
      <c r="E79" s="3307">
        <v>0.15</v>
      </c>
      <c r="F79" s="3301">
        <v>20</v>
      </c>
    </row>
    <row r="80" spans="1:7" ht="24">
      <c r="A80" s="3301">
        <v>8</v>
      </c>
      <c r="B80" s="3709"/>
      <c r="C80" s="3282" t="s">
        <v>2894</v>
      </c>
      <c r="D80" s="3282" t="s">
        <v>2895</v>
      </c>
      <c r="E80" s="3307">
        <v>0.1</v>
      </c>
      <c r="F80" s="3301">
        <v>15</v>
      </c>
    </row>
    <row r="81" spans="1:6" ht="24">
      <c r="A81" s="3301">
        <v>9</v>
      </c>
      <c r="B81" s="3709"/>
      <c r="C81" s="3282" t="s">
        <v>2896</v>
      </c>
      <c r="D81" s="3282" t="s">
        <v>2897</v>
      </c>
      <c r="E81" s="3307">
        <v>0.1</v>
      </c>
      <c r="F81" s="3301">
        <v>15</v>
      </c>
    </row>
    <row r="82" spans="1:6" ht="24">
      <c r="A82" s="3301">
        <v>10</v>
      </c>
      <c r="B82" s="3709"/>
      <c r="C82" s="3282" t="s">
        <v>2898</v>
      </c>
      <c r="D82" s="3282" t="s">
        <v>2899</v>
      </c>
      <c r="E82" s="3307">
        <v>0.1</v>
      </c>
      <c r="F82" s="3301">
        <v>15</v>
      </c>
    </row>
    <row r="83" spans="1:6" ht="24">
      <c r="A83" s="3301">
        <v>11</v>
      </c>
      <c r="B83" s="3709"/>
      <c r="C83" s="3282" t="s">
        <v>2900</v>
      </c>
      <c r="D83" s="3282" t="s">
        <v>2901</v>
      </c>
      <c r="E83" s="3307">
        <v>0.1</v>
      </c>
      <c r="F83" s="3301">
        <v>15</v>
      </c>
    </row>
    <row r="84" spans="1:6" ht="24">
      <c r="A84" s="3301">
        <v>12</v>
      </c>
      <c r="B84" s="3709"/>
      <c r="C84" s="3282" t="s">
        <v>2902</v>
      </c>
      <c r="D84" s="3282" t="s">
        <v>2903</v>
      </c>
      <c r="E84" s="3307">
        <v>0.1</v>
      </c>
      <c r="F84" s="3301">
        <v>15</v>
      </c>
    </row>
    <row r="85" spans="1:6" ht="13.5">
      <c r="A85" s="3301">
        <v>13</v>
      </c>
      <c r="B85" s="3709"/>
      <c r="C85" s="3282" t="s">
        <v>2904</v>
      </c>
      <c r="D85" s="3282" t="s">
        <v>2905</v>
      </c>
      <c r="E85" s="3307">
        <v>0.1</v>
      </c>
      <c r="F85" s="3301">
        <v>15</v>
      </c>
    </row>
    <row r="86" spans="1:6" ht="13.5">
      <c r="A86" s="3301">
        <v>14</v>
      </c>
      <c r="B86" s="3709"/>
      <c r="C86" s="3282" t="s">
        <v>2906</v>
      </c>
      <c r="D86" s="3282" t="s">
        <v>2907</v>
      </c>
      <c r="E86" s="3307">
        <v>0.1</v>
      </c>
      <c r="F86" s="3301">
        <v>15</v>
      </c>
    </row>
    <row r="87" spans="1:6" ht="13.5">
      <c r="A87" s="3301">
        <v>15</v>
      </c>
      <c r="B87" s="3709"/>
      <c r="C87" s="3282" t="s">
        <v>2908</v>
      </c>
      <c r="D87" s="3282" t="s">
        <v>2909</v>
      </c>
      <c r="E87" s="3307">
        <v>0.1</v>
      </c>
      <c r="F87" s="3301">
        <v>15</v>
      </c>
    </row>
    <row r="88" spans="1:6" ht="24">
      <c r="A88" s="3301">
        <v>16</v>
      </c>
      <c r="B88" s="3709"/>
      <c r="C88" s="3282" t="s">
        <v>2910</v>
      </c>
      <c r="D88" s="3282" t="s">
        <v>2911</v>
      </c>
      <c r="E88" s="3307">
        <v>0.1</v>
      </c>
      <c r="F88" s="3301">
        <v>15</v>
      </c>
    </row>
    <row r="89" spans="1:6" ht="24">
      <c r="A89" s="3301">
        <v>17</v>
      </c>
      <c r="B89" s="3710"/>
      <c r="C89" s="3282" t="s">
        <v>2912</v>
      </c>
      <c r="D89" s="3282" t="s">
        <v>2913</v>
      </c>
      <c r="E89" s="3307">
        <v>0.1</v>
      </c>
      <c r="F89" s="3301">
        <v>15</v>
      </c>
    </row>
    <row r="90" spans="1:6" ht="13.5">
      <c r="A90" s="3301">
        <v>18</v>
      </c>
      <c r="B90" s="3708" t="s">
        <v>2914</v>
      </c>
      <c r="C90" s="3282" t="s">
        <v>2915</v>
      </c>
      <c r="D90" s="3282" t="s">
        <v>2916</v>
      </c>
      <c r="E90" s="3307">
        <v>0.2</v>
      </c>
      <c r="F90" s="3301">
        <v>25</v>
      </c>
    </row>
    <row r="91" spans="1:6" ht="24">
      <c r="A91" s="3301">
        <v>19</v>
      </c>
      <c r="B91" s="3709"/>
      <c r="C91" s="3282" t="s">
        <v>2917</v>
      </c>
      <c r="D91" s="3282" t="s">
        <v>2918</v>
      </c>
      <c r="E91" s="3307">
        <v>0.2</v>
      </c>
      <c r="F91" s="3301">
        <v>25</v>
      </c>
    </row>
    <row r="92" spans="1:6" ht="13.5">
      <c r="A92" s="3301">
        <v>20</v>
      </c>
      <c r="B92" s="3709"/>
      <c r="C92" s="3282" t="s">
        <v>2919</v>
      </c>
      <c r="D92" s="3282" t="s">
        <v>2920</v>
      </c>
      <c r="E92" s="3307">
        <v>0.15</v>
      </c>
      <c r="F92" s="3301">
        <v>20</v>
      </c>
    </row>
    <row r="93" spans="1:6" ht="24">
      <c r="A93" s="3301">
        <v>21</v>
      </c>
      <c r="B93" s="3709"/>
      <c r="C93" s="3282" t="s">
        <v>2921</v>
      </c>
      <c r="D93" s="3282" t="s">
        <v>2922</v>
      </c>
      <c r="E93" s="3307">
        <v>0.15</v>
      </c>
      <c r="F93" s="3301">
        <v>20</v>
      </c>
    </row>
    <row r="94" spans="1:6" ht="24">
      <c r="A94" s="3301">
        <v>22</v>
      </c>
      <c r="B94" s="3709"/>
      <c r="C94" s="3282" t="s">
        <v>2923</v>
      </c>
      <c r="D94" s="3282" t="s">
        <v>2924</v>
      </c>
      <c r="E94" s="3307">
        <v>0.15</v>
      </c>
      <c r="F94" s="3301">
        <v>20</v>
      </c>
    </row>
    <row r="95" spans="1:6" ht="36">
      <c r="A95" s="3301">
        <v>23</v>
      </c>
      <c r="B95" s="3709"/>
      <c r="C95" s="3282" t="s">
        <v>2925</v>
      </c>
      <c r="D95" s="3282" t="s">
        <v>2926</v>
      </c>
      <c r="E95" s="3307">
        <v>0.15</v>
      </c>
      <c r="F95" s="3301">
        <v>20</v>
      </c>
    </row>
    <row r="96" spans="1:6" ht="13.5">
      <c r="A96" s="3301">
        <v>24</v>
      </c>
      <c r="B96" s="3709"/>
      <c r="C96" s="3282" t="s">
        <v>2927</v>
      </c>
      <c r="D96" s="3282" t="s">
        <v>2928</v>
      </c>
      <c r="E96" s="3307">
        <v>0.1</v>
      </c>
      <c r="F96" s="3301">
        <v>15</v>
      </c>
    </row>
    <row r="97" spans="1:6" ht="24">
      <c r="A97" s="3301">
        <v>25</v>
      </c>
      <c r="B97" s="3709"/>
      <c r="C97" s="3282" t="s">
        <v>2929</v>
      </c>
      <c r="D97" s="3282" t="s">
        <v>2930</v>
      </c>
      <c r="E97" s="3307">
        <v>0.1</v>
      </c>
      <c r="F97" s="3301">
        <v>15</v>
      </c>
    </row>
    <row r="98" spans="1:6" ht="24">
      <c r="A98" s="3301">
        <v>26</v>
      </c>
      <c r="B98" s="3709"/>
      <c r="C98" s="3282" t="s">
        <v>2931</v>
      </c>
      <c r="D98" s="3282" t="s">
        <v>2932</v>
      </c>
      <c r="E98" s="3307">
        <v>0.1</v>
      </c>
      <c r="F98" s="3301">
        <v>15</v>
      </c>
    </row>
    <row r="99" spans="1:6" ht="24">
      <c r="A99" s="3301">
        <v>27</v>
      </c>
      <c r="B99" s="3709"/>
      <c r="C99" s="3282" t="s">
        <v>2933</v>
      </c>
      <c r="D99" s="3282" t="s">
        <v>2934</v>
      </c>
      <c r="E99" s="3307">
        <v>0.1</v>
      </c>
      <c r="F99" s="3301">
        <v>15</v>
      </c>
    </row>
    <row r="100" spans="1:6" ht="24">
      <c r="A100" s="3301">
        <v>28</v>
      </c>
      <c r="B100" s="3709"/>
      <c r="C100" s="3282" t="s">
        <v>2935</v>
      </c>
      <c r="D100" s="3282" t="s">
        <v>2936</v>
      </c>
      <c r="E100" s="3307">
        <v>0.1</v>
      </c>
      <c r="F100" s="3301">
        <v>15</v>
      </c>
    </row>
    <row r="101" spans="1:6" ht="24">
      <c r="A101" s="3301">
        <v>29</v>
      </c>
      <c r="B101" s="3709"/>
      <c r="C101" s="3282" t="s">
        <v>2937</v>
      </c>
      <c r="D101" s="3282" t="s">
        <v>2938</v>
      </c>
      <c r="E101" s="3307">
        <v>0.1</v>
      </c>
      <c r="F101" s="3301">
        <v>15</v>
      </c>
    </row>
    <row r="102" spans="1:6" ht="24">
      <c r="A102" s="3301">
        <v>30</v>
      </c>
      <c r="B102" s="3709"/>
      <c r="C102" s="3282" t="s">
        <v>2939</v>
      </c>
      <c r="D102" s="3282" t="s">
        <v>2940</v>
      </c>
      <c r="E102" s="3307">
        <v>0.1</v>
      </c>
      <c r="F102" s="3301">
        <v>15</v>
      </c>
    </row>
    <row r="103" spans="1:6" ht="24">
      <c r="A103" s="3301">
        <v>31</v>
      </c>
      <c r="B103" s="3709"/>
      <c r="C103" s="3282" t="s">
        <v>2941</v>
      </c>
      <c r="D103" s="3282" t="s">
        <v>2942</v>
      </c>
      <c r="E103" s="3307">
        <v>0.1</v>
      </c>
      <c r="F103" s="3301">
        <v>15</v>
      </c>
    </row>
    <row r="104" spans="1:6" ht="24">
      <c r="A104" s="3301">
        <v>32</v>
      </c>
      <c r="B104" s="3709"/>
      <c r="C104" s="3282" t="s">
        <v>2943</v>
      </c>
      <c r="D104" s="3282" t="s">
        <v>2944</v>
      </c>
      <c r="E104" s="3307">
        <v>0.1</v>
      </c>
      <c r="F104" s="3301">
        <v>15</v>
      </c>
    </row>
    <row r="105" spans="1:6" ht="24">
      <c r="A105" s="3301">
        <v>33</v>
      </c>
      <c r="B105" s="3709"/>
      <c r="C105" s="3282" t="s">
        <v>2945</v>
      </c>
      <c r="D105" s="3282" t="s">
        <v>2946</v>
      </c>
      <c r="E105" s="3307">
        <v>0.1</v>
      </c>
      <c r="F105" s="3301">
        <v>15</v>
      </c>
    </row>
    <row r="106" spans="1:6" ht="24">
      <c r="A106" s="3301">
        <v>34</v>
      </c>
      <c r="B106" s="3710"/>
      <c r="C106" s="3282" t="s">
        <v>2947</v>
      </c>
      <c r="D106" s="3282" t="s">
        <v>2948</v>
      </c>
      <c r="E106" s="3307">
        <v>0.1</v>
      </c>
      <c r="F106" s="3301">
        <v>15</v>
      </c>
    </row>
    <row r="107" spans="1:6" ht="24">
      <c r="A107" s="3301">
        <v>35</v>
      </c>
      <c r="B107" s="3708" t="s">
        <v>2949</v>
      </c>
      <c r="C107" s="3301" t="s">
        <v>2950</v>
      </c>
      <c r="D107" s="3282" t="s">
        <v>2951</v>
      </c>
      <c r="E107" s="3307">
        <v>0.15</v>
      </c>
      <c r="F107" s="3301">
        <v>20</v>
      </c>
    </row>
    <row r="108" spans="1:6" ht="24">
      <c r="A108" s="3301">
        <v>36</v>
      </c>
      <c r="B108" s="3709"/>
      <c r="C108" s="3301" t="s">
        <v>2952</v>
      </c>
      <c r="D108" s="3282" t="s">
        <v>2953</v>
      </c>
      <c r="E108" s="3307">
        <v>0.15</v>
      </c>
      <c r="F108" s="3301">
        <v>20</v>
      </c>
    </row>
    <row r="109" spans="1:6" ht="24">
      <c r="A109" s="3301">
        <v>37</v>
      </c>
      <c r="B109" s="3709"/>
      <c r="C109" s="3301" t="s">
        <v>2954</v>
      </c>
      <c r="D109" s="3282" t="s">
        <v>2955</v>
      </c>
      <c r="E109" s="3307">
        <v>0.15</v>
      </c>
      <c r="F109" s="3301">
        <v>20</v>
      </c>
    </row>
    <row r="110" spans="1:6" ht="13.5">
      <c r="A110" s="3301">
        <v>38</v>
      </c>
      <c r="B110" s="3709"/>
      <c r="C110" s="3301" t="s">
        <v>2956</v>
      </c>
      <c r="D110" s="3282" t="s">
        <v>2957</v>
      </c>
      <c r="E110" s="3307">
        <v>0.1</v>
      </c>
      <c r="F110" s="3301">
        <v>15</v>
      </c>
    </row>
    <row r="111" spans="1:6" ht="24">
      <c r="A111" s="3301">
        <v>39</v>
      </c>
      <c r="B111" s="3709"/>
      <c r="C111" s="3301" t="s">
        <v>2958</v>
      </c>
      <c r="D111" s="3282" t="s">
        <v>2959</v>
      </c>
      <c r="E111" s="3307">
        <v>0.1</v>
      </c>
      <c r="F111" s="3301">
        <v>15</v>
      </c>
    </row>
    <row r="112" spans="1:6" ht="24">
      <c r="A112" s="3301">
        <v>40</v>
      </c>
      <c r="B112" s="3710"/>
      <c r="C112" s="3301" t="s">
        <v>2960</v>
      </c>
      <c r="D112" s="3282" t="s">
        <v>2961</v>
      </c>
      <c r="E112" s="3307">
        <v>0.1</v>
      </c>
      <c r="F112" s="3301">
        <v>15</v>
      </c>
    </row>
    <row r="113" spans="1:6" ht="24">
      <c r="A113" s="3301">
        <v>41</v>
      </c>
      <c r="B113" s="3719" t="s">
        <v>2962</v>
      </c>
      <c r="C113" s="3301" t="s">
        <v>2963</v>
      </c>
      <c r="D113" s="3282" t="s">
        <v>2964</v>
      </c>
      <c r="E113" s="3307">
        <v>0.1</v>
      </c>
      <c r="F113" s="3301">
        <v>15</v>
      </c>
    </row>
    <row r="114" spans="1:6" ht="13.5">
      <c r="A114" s="3301">
        <v>42</v>
      </c>
      <c r="B114" s="3719"/>
      <c r="C114" s="3301" t="s">
        <v>2965</v>
      </c>
      <c r="D114" s="3282" t="s">
        <v>2966</v>
      </c>
      <c r="E114" s="3307">
        <v>0.1</v>
      </c>
      <c r="F114" s="3301">
        <v>15</v>
      </c>
    </row>
    <row r="115" spans="1:6" ht="24">
      <c r="A115" s="3301">
        <v>43</v>
      </c>
      <c r="B115" s="3719"/>
      <c r="C115" s="3301" t="s">
        <v>2967</v>
      </c>
      <c r="D115" s="3282" t="s">
        <v>2968</v>
      </c>
      <c r="E115" s="3307">
        <v>0.1</v>
      </c>
      <c r="F115" s="3301">
        <v>15</v>
      </c>
    </row>
    <row r="116" spans="1:6" ht="24">
      <c r="A116" s="3301">
        <v>44</v>
      </c>
      <c r="B116" s="3708" t="s">
        <v>2969</v>
      </c>
      <c r="C116" s="3301" t="s">
        <v>2970</v>
      </c>
      <c r="D116" s="3282" t="s">
        <v>2971</v>
      </c>
      <c r="E116" s="3307">
        <v>0.1</v>
      </c>
      <c r="F116" s="3301">
        <v>15</v>
      </c>
    </row>
    <row r="117" spans="1:6" ht="24">
      <c r="A117" s="3301">
        <v>45</v>
      </c>
      <c r="B117" s="3710"/>
      <c r="C117" s="3282" t="s">
        <v>2972</v>
      </c>
      <c r="D117" s="3282" t="s">
        <v>2973</v>
      </c>
      <c r="E117" s="3307">
        <v>0.1</v>
      </c>
      <c r="F117" s="3301">
        <v>15</v>
      </c>
    </row>
    <row r="118" spans="1:6" ht="24">
      <c r="A118" s="3301">
        <v>46</v>
      </c>
      <c r="B118" s="3708" t="s">
        <v>2974</v>
      </c>
      <c r="C118" s="3301" t="s">
        <v>2975</v>
      </c>
      <c r="D118" s="3282" t="s">
        <v>2976</v>
      </c>
      <c r="E118" s="3307">
        <v>0.1</v>
      </c>
      <c r="F118" s="3301">
        <v>15</v>
      </c>
    </row>
    <row r="119" spans="1:6" ht="24">
      <c r="A119" s="3301">
        <v>47</v>
      </c>
      <c r="B119" s="3710"/>
      <c r="C119" s="3301" t="s">
        <v>2977</v>
      </c>
      <c r="D119" s="3282" t="s">
        <v>2978</v>
      </c>
      <c r="E119" s="3307">
        <v>0.1</v>
      </c>
      <c r="F119" s="3301">
        <v>15</v>
      </c>
    </row>
    <row r="120" spans="1:6" ht="24">
      <c r="A120" s="3301">
        <v>48</v>
      </c>
      <c r="B120" s="3708" t="s">
        <v>2979</v>
      </c>
      <c r="C120" s="3301" t="s">
        <v>2980</v>
      </c>
      <c r="D120" s="3282" t="s">
        <v>2981</v>
      </c>
      <c r="E120" s="3307">
        <v>0.1</v>
      </c>
      <c r="F120" s="3301">
        <v>15</v>
      </c>
    </row>
    <row r="121" spans="1:6" ht="13.5">
      <c r="A121" s="3301">
        <v>49</v>
      </c>
      <c r="B121" s="3710"/>
      <c r="C121" s="3301" t="s">
        <v>2982</v>
      </c>
      <c r="D121" s="3282" t="s">
        <v>2983</v>
      </c>
      <c r="E121" s="3307">
        <v>0.1</v>
      </c>
      <c r="F121" s="3301">
        <v>15</v>
      </c>
    </row>
    <row r="122" spans="1:6" ht="24">
      <c r="A122" s="3301">
        <v>50</v>
      </c>
      <c r="B122" s="3719" t="s">
        <v>2984</v>
      </c>
      <c r="C122" s="3301" t="s">
        <v>2985</v>
      </c>
      <c r="D122" s="3282" t="s">
        <v>2986</v>
      </c>
      <c r="E122" s="3307">
        <v>0.1</v>
      </c>
      <c r="F122" s="3301">
        <v>15</v>
      </c>
    </row>
    <row r="123" spans="1:6" ht="24">
      <c r="A123" s="3301">
        <v>51</v>
      </c>
      <c r="B123" s="3719"/>
      <c r="C123" s="3301" t="s">
        <v>2987</v>
      </c>
      <c r="D123" s="3282" t="s">
        <v>2988</v>
      </c>
      <c r="E123" s="3307">
        <v>0.1</v>
      </c>
      <c r="F123" s="3301">
        <v>15</v>
      </c>
    </row>
    <row r="124" spans="1:6" ht="24">
      <c r="A124" s="3301">
        <v>52</v>
      </c>
      <c r="B124" s="3719" t="s">
        <v>2989</v>
      </c>
      <c r="C124" s="3301" t="s">
        <v>2990</v>
      </c>
      <c r="D124" s="3282" t="s">
        <v>2991</v>
      </c>
      <c r="E124" s="3307">
        <v>0.1</v>
      </c>
      <c r="F124" s="3301">
        <v>15</v>
      </c>
    </row>
    <row r="125" spans="1:6" ht="24">
      <c r="A125" s="3301">
        <v>53</v>
      </c>
      <c r="B125" s="3719"/>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9" t="s">
        <v>2997</v>
      </c>
      <c r="C127" s="3301" t="s">
        <v>2998</v>
      </c>
      <c r="D127" s="3282" t="s">
        <v>2999</v>
      </c>
      <c r="E127" s="3307">
        <v>0.1</v>
      </c>
      <c r="F127" s="3301">
        <v>15</v>
      </c>
    </row>
    <row r="128" spans="1:6" ht="13.5">
      <c r="A128" s="3301">
        <v>56</v>
      </c>
      <c r="B128" s="3719"/>
      <c r="C128" s="3301" t="s">
        <v>3000</v>
      </c>
      <c r="D128" s="3282" t="s">
        <v>3001</v>
      </c>
      <c r="E128" s="3307">
        <v>0.1</v>
      </c>
      <c r="F128" s="3301">
        <v>15</v>
      </c>
    </row>
    <row r="129" spans="1:6" ht="24">
      <c r="A129" s="3301">
        <v>57</v>
      </c>
      <c r="B129" s="3719"/>
      <c r="C129" s="3301" t="s">
        <v>3002</v>
      </c>
      <c r="D129" s="3282" t="s">
        <v>3003</v>
      </c>
      <c r="E129" s="3307">
        <v>0.1</v>
      </c>
      <c r="F129" s="3301">
        <v>15</v>
      </c>
    </row>
    <row r="130" spans="1:6" ht="24">
      <c r="A130" s="3301">
        <v>58</v>
      </c>
      <c r="B130" s="3719" t="s">
        <v>3004</v>
      </c>
      <c r="C130" s="3301" t="s">
        <v>3005</v>
      </c>
      <c r="D130" s="3282" t="s">
        <v>3006</v>
      </c>
      <c r="E130" s="3307">
        <v>0.1</v>
      </c>
      <c r="F130" s="3301">
        <v>15</v>
      </c>
    </row>
    <row r="131" spans="1:6" ht="24">
      <c r="A131" s="3301">
        <v>59</v>
      </c>
      <c r="B131" s="3719"/>
      <c r="C131" s="3301" t="s">
        <v>3007</v>
      </c>
      <c r="D131" s="3282" t="s">
        <v>3008</v>
      </c>
      <c r="E131" s="3307">
        <v>0.1</v>
      </c>
      <c r="F131" s="3301">
        <v>15</v>
      </c>
    </row>
    <row r="132" spans="1:6" ht="24">
      <c r="A132" s="3301">
        <v>60</v>
      </c>
      <c r="B132" s="3708" t="s">
        <v>3009</v>
      </c>
      <c r="C132" s="3301" t="s">
        <v>3010</v>
      </c>
      <c r="D132" s="3282" t="s">
        <v>3011</v>
      </c>
      <c r="E132" s="3307">
        <v>0.1</v>
      </c>
      <c r="F132" s="3301">
        <v>15</v>
      </c>
    </row>
    <row r="133" spans="1:6" ht="24">
      <c r="A133" s="3301">
        <v>61</v>
      </c>
      <c r="B133" s="3710"/>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9" t="s">
        <v>3017</v>
      </c>
      <c r="C135" s="3301" t="s">
        <v>3018</v>
      </c>
      <c r="D135" s="3282" t="s">
        <v>3019</v>
      </c>
      <c r="E135" s="3307">
        <v>0.1</v>
      </c>
      <c r="F135" s="3301">
        <v>15</v>
      </c>
    </row>
    <row r="136" spans="1:6" ht="13.5">
      <c r="A136" s="3301">
        <v>64</v>
      </c>
      <c r="B136" s="3719"/>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J7" activeCellId="2" sqref="F7:F36 H7:H36 J7:J36"/>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2798</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2">
        <v>2023</v>
      </c>
      <c r="H5" s="2289">
        <v>1</v>
      </c>
      <c r="I5" s="3076">
        <v>0</v>
      </c>
      <c r="J5" s="3076">
        <v>0</v>
      </c>
      <c r="K5" s="3076">
        <v>0</v>
      </c>
      <c r="L5" s="3077">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2797</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2">
        <v>2022</v>
      </c>
      <c r="H6" s="2289">
        <v>4</v>
      </c>
      <c r="I6" s="3076">
        <v>0</v>
      </c>
      <c r="J6" s="3076">
        <v>0</v>
      </c>
      <c r="K6" s="3076">
        <v>0</v>
      </c>
      <c r="L6" s="3077">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2796</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2">
        <v>2022</v>
      </c>
      <c r="H7" s="2289">
        <v>3</v>
      </c>
      <c r="I7" s="3076">
        <v>0</v>
      </c>
      <c r="J7" s="3076">
        <v>0</v>
      </c>
      <c r="K7" s="3076">
        <v>0</v>
      </c>
      <c r="L7" s="3077">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2795</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2">
        <v>2022</v>
      </c>
      <c r="H8" s="2289">
        <v>2</v>
      </c>
      <c r="I8" s="3076">
        <v>0</v>
      </c>
      <c r="J8" s="3076">
        <v>0</v>
      </c>
      <c r="K8" s="3076">
        <v>0</v>
      </c>
      <c r="L8" s="3077">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2794</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2">
        <v>2022</v>
      </c>
      <c r="H9" s="2289">
        <v>1</v>
      </c>
      <c r="I9" s="3076">
        <v>0.89</v>
      </c>
      <c r="J9" s="3076">
        <v>0.44</v>
      </c>
      <c r="K9" s="3076">
        <v>0.96</v>
      </c>
      <c r="L9" s="3077">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2793</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1">
        <v>2021</v>
      </c>
      <c r="H10" s="2289">
        <v>4</v>
      </c>
      <c r="I10" s="3076">
        <v>1.03</v>
      </c>
      <c r="J10" s="3076">
        <v>0.24</v>
      </c>
      <c r="K10" s="3076">
        <v>1.17</v>
      </c>
      <c r="L10" s="3077">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2647</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8">
        <v>2021</v>
      </c>
      <c r="H11" s="2289">
        <v>3</v>
      </c>
      <c r="I11" s="3076">
        <v>0.47</v>
      </c>
      <c r="J11" s="3076">
        <v>0.41</v>
      </c>
      <c r="K11" s="3076">
        <v>0.48</v>
      </c>
      <c r="L11" s="3077">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2646</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5">
        <v>2021</v>
      </c>
      <c r="H12" s="2289">
        <v>2</v>
      </c>
      <c r="I12" s="3076">
        <v>0.92</v>
      </c>
      <c r="J12" s="3076">
        <v>0.72</v>
      </c>
      <c r="K12" s="3076">
        <v>0.95</v>
      </c>
      <c r="L12" s="3077">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2645</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4">
        <v>2021</v>
      </c>
      <c r="H13" s="2289">
        <v>1</v>
      </c>
      <c r="I13" s="3076">
        <v>0.97</v>
      </c>
      <c r="J13" s="3076">
        <v>0.16</v>
      </c>
      <c r="K13" s="3076">
        <v>1.1100000000000001</v>
      </c>
      <c r="L13" s="3077">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2639</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5">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2638</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4">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44820</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6"/>
      <c r="B21" s="1209" t="s">
        <v>2640</v>
      </c>
      <c r="C21" s="1218">
        <v>43697</v>
      </c>
      <c r="D21" s="3067">
        <v>4.25</v>
      </c>
      <c r="E21" s="3067">
        <f t="shared" si="0"/>
        <v>4.25</v>
      </c>
      <c r="F21" s="3067">
        <f t="shared" si="1"/>
        <v>4.25</v>
      </c>
      <c r="G21" s="3067">
        <f t="shared" si="2"/>
        <v>4.25</v>
      </c>
      <c r="H21" s="3067">
        <v>4.8499999999999996</v>
      </c>
      <c r="I21" s="3067"/>
      <c r="J21" s="3067"/>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130.13</v>
      </c>
      <c r="D6" s="3346"/>
      <c r="E6" s="1287"/>
    </row>
    <row r="7" spans="1:5" ht="14.25">
      <c r="A7" s="1287"/>
      <c r="B7" s="3340" t="s">
        <v>594</v>
      </c>
      <c r="C7" s="1293" t="str">
        <f>IF('数据-取费表'!B3="万元","总价（万元）","总价（元）")</f>
        <v>总价（元）</v>
      </c>
      <c r="D7" s="1294">
        <f ca="1">IF('数据-取费表'!E3="否",结果表!I102,'结果表 (1修多)'!I104)</f>
        <v>8077039</v>
      </c>
      <c r="E7" s="1287"/>
    </row>
    <row r="8" spans="1:5" ht="14.25">
      <c r="A8" s="1287"/>
      <c r="B8" s="3340"/>
      <c r="C8" s="1295" t="s">
        <v>924</v>
      </c>
      <c r="D8" s="1296" t="str">
        <f ca="1">IF('数据-取费表'!B3="万元",NUMBERSTRING(INT(D7*10000),2)&amp;"元整",NUMBERSTRING(INT(D7),2)&amp;"元整")</f>
        <v>捌佰零柒万柒仟零叁拾玖元整</v>
      </c>
      <c r="E8" s="1287"/>
    </row>
    <row r="9" spans="1:5" ht="14.25">
      <c r="A9" s="1287"/>
      <c r="B9" s="3340"/>
      <c r="C9" s="1297" t="s">
        <v>1020</v>
      </c>
      <c r="D9" s="1294">
        <f ca="1">IF('数据-取费表'!E3="否",结果表!I103,'结果表 (1修多)'!I105)</f>
        <v>62069</v>
      </c>
      <c r="E9" s="1287"/>
    </row>
    <row r="10" spans="1:5" ht="14.25">
      <c r="A10" s="1287"/>
      <c r="B10" s="3347"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47" t="str">
        <f>IF('数据-取费表'!E3="否",结果表!F110,'结果表 (1修多)'!F112)</f>
        <v>3.房地产抵押价值</v>
      </c>
      <c r="C15" s="1288" t="str">
        <f>C7</f>
        <v>总价（元）</v>
      </c>
      <c r="D15" s="1294">
        <f ca="1">IF('数据-取费表'!E3="否",结果表!I110,'结果表 (1修多)'!I112)</f>
        <v>8077039</v>
      </c>
      <c r="E15" s="1287"/>
    </row>
    <row r="16" spans="1:5" ht="14.25">
      <c r="A16" s="1287"/>
      <c r="B16" s="3347"/>
      <c r="C16" s="1295" t="s">
        <v>924</v>
      </c>
      <c r="D16" s="1294" t="str">
        <f ca="1">IF('数据-取费表'!B3="万元",NUMBERSTRING(INT(D15*10000),2)&amp;"元整",NUMBERSTRING(INT(D15),2)&amp;"元整")</f>
        <v>捌佰零柒万柒仟零叁拾玖元整</v>
      </c>
      <c r="E16" s="1287"/>
    </row>
    <row r="17" spans="1:5" ht="14.25">
      <c r="A17" s="1287"/>
      <c r="B17" s="3347"/>
      <c r="C17" s="1297" t="s">
        <v>1020</v>
      </c>
      <c r="D17" s="1294">
        <f ca="1">IF('数据-取费表'!E3="否",结果表!I111,'结果表 (1修多)'!I113)</f>
        <v>62069</v>
      </c>
      <c r="E17" s="1287"/>
    </row>
    <row r="18" spans="1:5" ht="14.25">
      <c r="A18" s="1287"/>
      <c r="B18" s="3347" t="str">
        <f>IF('数据-取费表'!E3="否",结果表!F112,'结果表 (1修多)'!F114)</f>
        <v>——</v>
      </c>
      <c r="C18" s="1288" t="str">
        <f>C7</f>
        <v>总价（元）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4.25">
      <c r="A28" s="1287"/>
      <c r="B28" s="3325" t="s">
        <v>594</v>
      </c>
      <c r="C28" s="1304" t="s">
        <v>925</v>
      </c>
      <c r="D28" s="1305">
        <f ca="1">IF('数据-取费表'!E3="否",结果表!I102,'结果表 (1修多)'!I104)</f>
        <v>8077039</v>
      </c>
      <c r="E28" s="1287"/>
    </row>
    <row r="29" spans="1:5" ht="14.25">
      <c r="A29" s="1287"/>
      <c r="B29" s="3326"/>
      <c r="C29" s="1306" t="s">
        <v>924</v>
      </c>
      <c r="D29" s="1307" t="str">
        <f ca="1">IF('数据-取费表'!B3="万元",NUMBERSTRING(INT(D28*10000),2)&amp;"元整",NUMBERSTRING(INT(D28),2)&amp;"元整")</f>
        <v>捌佰零柒万柒仟零叁拾玖元整</v>
      </c>
      <c r="E29" s="1287"/>
    </row>
    <row r="30" spans="1:5" ht="14.25">
      <c r="A30" s="1287"/>
      <c r="B30" s="3327"/>
      <c r="C30" s="1297" t="s">
        <v>927</v>
      </c>
      <c r="D30" s="1308">
        <f ca="1">IF('数据-取费表'!E3="否",结果表!I103,'结果表 (1修多)'!I105)</f>
        <v>62069</v>
      </c>
      <c r="E30" s="1287"/>
    </row>
    <row r="31" spans="1:5" ht="14.25">
      <c r="A31" s="1287"/>
      <c r="B31" s="3330" t="str">
        <f>B10</f>
        <v>2.估价师所知悉的法定优先受偿款</v>
      </c>
      <c r="C31" s="1309" t="s">
        <v>926</v>
      </c>
      <c r="D31" s="1310">
        <f>IF('数据-取费表'!E3="否",结果表!I105,'结果表 (1修多)'!I107)</f>
        <v>0</v>
      </c>
      <c r="E31" s="1287"/>
    </row>
    <row r="32" spans="1:5" ht="14.25">
      <c r="A32" s="1287"/>
      <c r="B32" s="333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8" t="str">
        <f>B15</f>
        <v>3.房地产抵押价值</v>
      </c>
      <c r="C36" s="1309" t="str">
        <f>C28</f>
        <v>总价</v>
      </c>
      <c r="D36" s="1310">
        <f ca="1">IF('数据-取费表'!E3="否",结果表!I110,'结果表 (1修多)'!I112)</f>
        <v>8077039</v>
      </c>
      <c r="E36" s="1287"/>
    </row>
    <row r="37" spans="1:5" ht="14.25">
      <c r="A37" s="1287"/>
      <c r="B37" s="3328"/>
      <c r="C37" s="1306" t="s">
        <v>924</v>
      </c>
      <c r="D37" s="1311" t="str">
        <f ca="1">IF('数据-取费表'!B3="万元",NUMBERSTRING(INT(D36*10000),2)&amp;"元整",NUMBERSTRING(INT(D36),2)&amp;"元整")</f>
        <v>捌佰零柒万柒仟零叁拾玖元整</v>
      </c>
      <c r="E37" s="1287"/>
    </row>
    <row r="38" spans="1:5" ht="14.25">
      <c r="A38" s="1287"/>
      <c r="B38" s="3328"/>
      <c r="C38" s="1297" t="s">
        <v>928</v>
      </c>
      <c r="D38" s="1308">
        <f ca="1">IF('数据-取费表'!E3="否",结果表!D113,'结果表 (1修多)'!D117)</f>
        <v>62069</v>
      </c>
      <c r="E38" s="1287"/>
    </row>
    <row r="39" spans="1:5" ht="14.25">
      <c r="A39" s="1287"/>
      <c r="B39" s="3329" t="str">
        <f>B18</f>
        <v>——</v>
      </c>
      <c r="C39" s="1309" t="str">
        <f>C28</f>
        <v>总价</v>
      </c>
      <c r="D39" s="1310" t="str">
        <f>IF('数据-取费表'!E3="否",结果表!I112,'结果表 (1修多)'!I114)</f>
        <v>——</v>
      </c>
      <c r="E39" s="1287"/>
    </row>
    <row r="40" spans="1:5" ht="14.25">
      <c r="A40" s="1287"/>
      <c r="B40" s="3329"/>
      <c r="C40" s="1306" t="s">
        <v>924</v>
      </c>
      <c r="D40" s="1311" t="e">
        <f>IF('数据-取费表'!B3="万元",NUMBERSTRING(INT(D39*10000),2)&amp;"元整",NUMBERSTRING(INT(D39),2)&amp;"元整")</f>
        <v>#VALUE!</v>
      </c>
      <c r="E40" s="1287"/>
    </row>
    <row r="41" spans="1:5" ht="14.25">
      <c r="A41" s="1287"/>
      <c r="B41" s="3329"/>
      <c r="C41" s="1297" t="s">
        <v>928</v>
      </c>
      <c r="D41" s="1308" t="str">
        <f>IF('数据-取费表'!E3="否",结果表!D115,'结果表 (1修多)'!D119)</f>
        <v>——</v>
      </c>
      <c r="E41" s="1287"/>
    </row>
    <row r="42" spans="1:5" ht="14.25">
      <c r="A42" s="1287"/>
      <c r="B42" s="3328" t="str">
        <f>B21</f>
        <v>——</v>
      </c>
      <c r="C42" s="1309" t="str">
        <f>C28</f>
        <v>总价</v>
      </c>
      <c r="D42" s="1310" t="str">
        <f>IF('数据-取费表'!E3="否",结果表!I114,'结果表 (1修多)'!I116)</f>
        <v>——</v>
      </c>
      <c r="E42" s="1287"/>
    </row>
    <row r="43" spans="1:5" ht="14.25">
      <c r="A43" s="1287"/>
      <c r="B43" s="3330"/>
      <c r="C43" s="1306" t="s">
        <v>924</v>
      </c>
      <c r="D43" s="1312" t="e">
        <f>IF('数据-取费表'!B3="万元",NUMBERSTRING(INT(D42*10000),2)&amp;"元整",NUMBERSTRING(INT(D42),2)&amp;"元整")</f>
        <v>#VALUE!</v>
      </c>
      <c r="E43" s="1287"/>
    </row>
    <row r="44" spans="1:5" ht="15" thickBot="1">
      <c r="A44" s="1287"/>
      <c r="B44" s="333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48"/>
      <c r="B3" s="3348"/>
      <c r="C3" s="3348"/>
      <c r="D3" s="776" t="s">
        <v>1027</v>
      </c>
      <c r="E3" s="776" t="s">
        <v>1028</v>
      </c>
      <c r="F3" s="776" t="s">
        <v>1027</v>
      </c>
      <c r="G3" s="776" t="s">
        <v>1029</v>
      </c>
      <c r="H3" s="776" t="s">
        <v>1027</v>
      </c>
      <c r="I3" s="776" t="s">
        <v>1029</v>
      </c>
    </row>
    <row r="4" spans="1:9" ht="46.5" customHeight="1">
      <c r="A4" s="776" t="str">
        <f>项目基本情况!I1</f>
        <v>北京市房地产</v>
      </c>
      <c r="B4" s="776">
        <f>结果表!B121</f>
        <v>130.13</v>
      </c>
      <c r="C4" s="776">
        <f>结果表!C121</f>
        <v>0</v>
      </c>
      <c r="D4" s="776">
        <f ca="1">IF('数据-取费表'!E3="否",结果表!D121,'结果表 (1修多)'!D125)</f>
        <v>7269322</v>
      </c>
      <c r="E4" s="776">
        <f ca="1">IF('数据-取费表'!E3="否",结果表!E121,'结果表 (1修多)'!E125)</f>
        <v>55862</v>
      </c>
      <c r="F4" s="776">
        <f ca="1">IF('数据-取费表'!E3="否",结果表!F121,'结果表 (1修多)'!F125)</f>
        <v>807717</v>
      </c>
      <c r="G4" s="776">
        <f ca="1">IF('数据-取费表'!E3="否",结果表!G121,'结果表 (1修多)'!G125)</f>
        <v>6207</v>
      </c>
      <c r="H4" s="776">
        <f ca="1">IF('数据-取费表'!E3="否",结果表!H121,'结果表 (1修多)'!H125)</f>
        <v>8077039</v>
      </c>
      <c r="I4" s="776">
        <f ca="1">IF('数据-取费表'!E3="否",结果表!I121,'结果表 (1修多)'!I125)</f>
        <v>62069</v>
      </c>
    </row>
    <row r="5" spans="1:9" ht="15">
      <c r="A5" s="3348" t="s">
        <v>1030</v>
      </c>
      <c r="B5" s="3348"/>
      <c r="C5" s="3348"/>
      <c r="D5" s="3349" t="str">
        <f ca="1">IF('数据-取费表'!E3="否",结果表!D122,'结果表 (1修多)'!D126)</f>
        <v>柒佰贰拾陆万玖仟叁佰贰拾贰元整</v>
      </c>
      <c r="E5" s="3349"/>
      <c r="F5" s="3349" t="str">
        <f ca="1">IF('数据-取费表'!E3="否",结果表!F122,'结果表 (1修多)'!F126)</f>
        <v>捌拾万柒仟柒佰壹拾柒元整</v>
      </c>
      <c r="G5" s="3349"/>
      <c r="H5" s="3349" t="str">
        <f ca="1">IF('数据-取费表'!E3="否",结果表!H122,'结果表 (1修多)'!H126)</f>
        <v>捌佰零柒万柒仟零叁拾玖元整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1030</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 ca="1">IF('数据-取费表'!E3="否",结果表!D125,'结果表 (1修多)'!D129)</f>
        <v>8077039</v>
      </c>
      <c r="E8" s="3350"/>
      <c r="F8" s="3350"/>
      <c r="G8" s="3350"/>
      <c r="H8" s="3350"/>
      <c r="I8" s="3350"/>
    </row>
    <row r="9" spans="1:9" ht="15">
      <c r="A9" s="3348" t="s">
        <v>1030</v>
      </c>
      <c r="B9" s="3348"/>
      <c r="C9" s="3348"/>
      <c r="D9" s="3349">
        <f ca="1">IF('数据-取费表'!E3="否",结果表!D126,'结果表 (1修多)'!D130)</f>
        <v>62069</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48" t="s">
        <v>1030</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1030</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2496</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1" t="str">
        <f>IF(项目基本情况!D4="抵押","3.抵押双方在办理抵押登记手续时，应使用本公司出具的正式《不动产估价报告书》，特提醒报告使用者注意。","——")</f>
        <v>——</v>
      </c>
      <c r="B14" s="3362"/>
      <c r="C14" s="3362"/>
      <c r="D14" s="3362"/>
    </row>
    <row r="15" spans="1:4" ht="15.75" customHeight="1">
      <c r="A15" s="3361" t="str">
        <f>IF(项目基本情况!D4="抵押","4.本次评估估价师所知悉的法定优先受偿款情况说明如下：","——")</f>
        <v>——</v>
      </c>
      <c r="B15" s="3362"/>
      <c r="C15" s="3362"/>
      <c r="D15" s="3362"/>
    </row>
    <row r="16" spans="1:4" ht="75" customHeight="1">
      <c r="A16" s="3361" t="str">
        <f>IF(项目基本情况!D4="抵押",CONCATENATE(项目基本情况!J13,项目基本情况!J14,项目基本情况!J15),"——")</f>
        <v>——</v>
      </c>
      <c r="B16" s="3361"/>
      <c r="C16" s="3361"/>
      <c r="D16" s="3361"/>
    </row>
    <row r="17" spans="1:4" ht="63.75" customHeight="1">
      <c r="A17" s="3363" t="s">
        <v>1045</v>
      </c>
      <c r="B17" s="3363"/>
      <c r="C17" s="3363"/>
      <c r="D17" s="3363"/>
    </row>
    <row r="18" spans="1:4" ht="15.75" customHeight="1">
      <c r="A18" s="3361" t="str">
        <f>IF(项目基本情况!D4="抵押",结果表!L106,"——")</f>
        <v>——</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2497</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J24" sqref="J24"/>
      <selection pane="bottomLeft" activeCell="J24" sqref="J24"/>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44842</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2799</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2800</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2788</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本次估价的“房地产价值”是指在正常市场情况下，在价值时点2022年9月16日，估价对象规划用途为，假定未设立法定优先受偿款下的房地产市场价值。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2022-10-08T08:13:40Z</dcterms:modified>
</cp:coreProperties>
</file>