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80北京市朝阳区将台西路10号院2号楼6层601\"/>
    </mc:Choice>
  </mc:AlternateContent>
  <bookViews>
    <workbookView xWindow="-120" yWindow="-120" windowWidth="20736"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8" i="84" l="1"/>
  <c r="D9" i="84"/>
  <c r="D10" i="84"/>
  <c r="D11" i="84"/>
  <c r="D12" i="84"/>
  <c r="D13" i="84"/>
  <c r="D7" i="84"/>
  <c r="N18" i="1" l="1"/>
  <c r="B3" i="84"/>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37" i="71" s="1"/>
  <c r="P37" i="71"/>
  <c r="AA37" i="71" s="1"/>
  <c r="O37" i="71"/>
  <c r="N37" i="71"/>
  <c r="B38" i="71" s="1"/>
  <c r="D37" i="71"/>
  <c r="Q36" i="71"/>
  <c r="P36" i="71"/>
  <c r="O36" i="71"/>
  <c r="N36" i="71"/>
  <c r="Q35" i="71"/>
  <c r="AB35" i="71" s="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N68" i="71"/>
  <c r="E34" i="71"/>
  <c r="F51" i="71"/>
  <c r="F52" i="71" s="1"/>
  <c r="V52" i="71" s="1"/>
  <c r="P28" i="71"/>
  <c r="Q28" i="71"/>
  <c r="F28" i="71" s="1"/>
  <c r="F27" i="71" s="1"/>
  <c r="F26" i="71" s="1"/>
  <c r="D54" i="71"/>
  <c r="D62" i="71"/>
  <c r="B66" i="71"/>
  <c r="N65" i="71" s="1"/>
  <c r="T68" i="71"/>
  <c r="D68" i="71"/>
  <c r="Q68" i="71"/>
  <c r="E71" i="71"/>
  <c r="E70" i="71" s="1"/>
  <c r="D76" i="71"/>
  <c r="E79" i="71"/>
  <c r="E78" i="71" s="1"/>
  <c r="D80" i="71"/>
  <c r="C87" i="71"/>
  <c r="C86" i="71" s="1"/>
  <c r="D86" i="71" s="1"/>
  <c r="N6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1" i="34"/>
  <c r="H25" i="40"/>
  <c r="AB25" i="40" s="1"/>
  <c r="J25" i="40"/>
  <c r="H29" i="39"/>
  <c r="AB29" i="39" s="1"/>
  <c r="J29" i="39"/>
  <c r="J18" i="36"/>
  <c r="AC18" i="36" s="1"/>
  <c r="H18" i="35"/>
  <c r="AB18" i="35" s="1"/>
  <c r="J18" i="35"/>
  <c r="AC18" i="35" s="1"/>
  <c r="H21" i="37"/>
  <c r="U21" i="37" s="1"/>
  <c r="F21" i="37"/>
  <c r="AA21" i="37" s="1"/>
  <c r="F84" i="34"/>
  <c r="G84" i="34" s="1"/>
  <c r="H21" i="34"/>
  <c r="AB21" i="34" s="1"/>
  <c r="H21" i="33"/>
  <c r="U21" i="33" s="1"/>
  <c r="F21" i="33"/>
  <c r="AA21" i="33" s="1"/>
  <c r="E83" i="21"/>
  <c r="F83" i="21" s="1"/>
  <c r="G83" i="21" s="1"/>
  <c r="H1" i="69"/>
  <c r="AC25" i="40"/>
  <c r="W25" i="40"/>
  <c r="U25" i="40"/>
  <c r="U29" i="39"/>
  <c r="W18" i="36"/>
  <c r="AB21" i="37"/>
  <c r="U21" i="34"/>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H43" i="21" s="1"/>
  <c r="AB43"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s="1"/>
  <c r="E81" i="21"/>
  <c r="F81" i="21"/>
  <c r="G81" i="21" s="1"/>
  <c r="D77" i="21"/>
  <c r="E77" i="21" s="1"/>
  <c r="B130" i="21"/>
  <c r="B128" i="21"/>
  <c r="J45" i="21" s="1"/>
  <c r="W45" i="21" s="1"/>
  <c r="B126" i="21"/>
  <c r="J44" i="21" s="1"/>
  <c r="B98" i="21"/>
  <c r="H31" i="21" s="1"/>
  <c r="B96" i="21"/>
  <c r="B94" i="21"/>
  <c r="J29" i="21" s="1"/>
  <c r="AC29" i="2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AA41" i="21"/>
  <c r="J44" i="39"/>
  <c r="AC44" i="39"/>
  <c r="F35" i="39"/>
  <c r="AA35" i="39" s="1"/>
  <c r="W31" i="37"/>
  <c r="E103" i="37"/>
  <c r="F103" i="37" s="1"/>
  <c r="G103" i="37" s="1"/>
  <c r="H103" i="37" s="1"/>
  <c r="I103" i="37" s="1"/>
  <c r="J103" i="37" s="1"/>
  <c r="K103" i="37" s="1"/>
  <c r="L103" i="37" s="1"/>
  <c r="M103" i="37" s="1"/>
  <c r="F29" i="36"/>
  <c r="AA29" i="36" s="1"/>
  <c r="F16" i="36"/>
  <c r="AA16" i="36" s="1"/>
  <c r="W28" i="36"/>
  <c r="J33" i="36"/>
  <c r="AC33" i="36" s="1"/>
  <c r="H22" i="35"/>
  <c r="AB22" i="35"/>
  <c r="W22" i="35"/>
  <c r="F36" i="34"/>
  <c r="J35" i="34"/>
  <c r="H39" i="33"/>
  <c r="AB39" i="33"/>
  <c r="F26" i="33"/>
  <c r="AA26" i="33" s="1"/>
  <c r="W33" i="33"/>
  <c r="W39" i="33"/>
  <c r="H39" i="37"/>
  <c r="AB39" i="37" s="1"/>
  <c r="F11" i="40"/>
  <c r="AA11" i="40"/>
  <c r="H11" i="40"/>
  <c r="AB11" i="40" s="1"/>
  <c r="S34" i="40"/>
  <c r="U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AB36" i="40" s="1"/>
  <c r="F35" i="40"/>
  <c r="AA35" i="40"/>
  <c r="H23" i="40"/>
  <c r="AB23" i="40" s="1"/>
  <c r="H17" i="40"/>
  <c r="U17" i="40" s="1"/>
  <c r="J15" i="40"/>
  <c r="W15" i="40" s="1"/>
  <c r="J11" i="40"/>
  <c r="W11" i="40" s="1"/>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AC44" i="34" s="1"/>
  <c r="F44" i="34"/>
  <c r="AA44" i="34" s="1"/>
  <c r="J10" i="35"/>
  <c r="AC10" i="35" s="1"/>
  <c r="J14" i="21"/>
  <c r="W14" i="21"/>
  <c r="H14" i="21"/>
  <c r="U14" i="21" s="1"/>
  <c r="H28" i="21"/>
  <c r="AB28" i="21" s="1"/>
  <c r="F28" i="21"/>
  <c r="AA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U46" i="33"/>
  <c r="AA14" i="33"/>
  <c r="J36" i="37"/>
  <c r="AC36" i="37" s="1"/>
  <c r="J10" i="36"/>
  <c r="AC10" i="36" s="1"/>
  <c r="AB30" i="21"/>
  <c r="W31" i="34"/>
  <c r="AB46" i="34"/>
  <c r="S45" i="33"/>
  <c r="AC28" i="21"/>
  <c r="BA586" i="3"/>
  <c r="BA585" i="3"/>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BA570" i="3"/>
  <c r="BA568" i="3"/>
  <c r="BA566" i="3"/>
  <c r="AZ566" i="3" s="1"/>
  <c r="BA562" i="3"/>
  <c r="BA560" i="3"/>
  <c r="AZ560" i="3" s="1"/>
  <c r="BA558" i="3"/>
  <c r="AZ558" i="3" s="1"/>
  <c r="BA556" i="3"/>
  <c r="BA554" i="3"/>
  <c r="BA552" i="3"/>
  <c r="AZ552" i="3" s="1"/>
  <c r="BA548" i="3"/>
  <c r="BA546" i="3"/>
  <c r="BA544" i="3"/>
  <c r="BA542" i="3"/>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BA512" i="3"/>
  <c r="BA510" i="3"/>
  <c r="AZ510" i="3" s="1"/>
  <c r="BA508" i="3"/>
  <c r="BA506" i="3"/>
  <c r="BA504" i="3"/>
  <c r="BA502" i="3"/>
  <c r="BA500" i="3"/>
  <c r="BA498" i="3"/>
  <c r="AZ498" i="3" s="1"/>
  <c r="BA496" i="3"/>
  <c r="AZ496" i="3" s="1"/>
  <c r="BA494" i="3"/>
  <c r="BA587" i="3"/>
  <c r="BA583" i="3"/>
  <c r="BA581" i="3"/>
  <c r="BA579" i="3"/>
  <c r="BA577" i="3"/>
  <c r="BA575" i="3"/>
  <c r="BA573" i="3"/>
  <c r="BA571" i="3"/>
  <c r="BA569" i="3"/>
  <c r="BA567"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H37" i="21"/>
  <c r="U37" i="21" s="1"/>
  <c r="H19" i="34"/>
  <c r="AB19" i="34" s="1"/>
  <c r="F36" i="35"/>
  <c r="S36" i="35" s="1"/>
  <c r="J9" i="37"/>
  <c r="W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s="1"/>
  <c r="AT6"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500"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49" i="3"/>
  <c r="BA379" i="3"/>
  <c r="AZ379" i="3" s="1"/>
  <c r="BL380" i="3"/>
  <c r="G381" i="3"/>
  <c r="BA383" i="3"/>
  <c r="AZ383" i="3" s="1"/>
  <c r="BL384" i="3"/>
  <c r="G385" i="3"/>
  <c r="BA387" i="3"/>
  <c r="BL388" i="3"/>
  <c r="G389" i="3"/>
  <c r="BA391" i="3"/>
  <c r="BL392" i="3"/>
  <c r="G393" i="3"/>
  <c r="BM5" i="3"/>
  <c r="BH5" i="3"/>
  <c r="BF5" i="3"/>
  <c r="BD5" i="3"/>
  <c r="AC5" i="3"/>
  <c r="AZ506" i="3"/>
  <c r="G548" i="3"/>
  <c r="G538" i="3"/>
  <c r="G520" i="3"/>
  <c r="G502" i="3"/>
  <c r="BS5" i="3"/>
  <c r="BP5" i="3"/>
  <c r="BN5" i="3"/>
  <c r="G29" i="6" s="1"/>
  <c r="BK5" i="3"/>
  <c r="BG5" i="3"/>
  <c r="BC5" i="3"/>
  <c r="G17" i="3"/>
  <c r="BA17" i="3"/>
  <c r="BT5" i="3"/>
  <c r="BA15" i="3"/>
  <c r="BB5" i="3"/>
  <c r="BR5" i="3"/>
  <c r="G509" i="3"/>
  <c r="BL493" i="3"/>
  <c r="AZ493" i="3" s="1"/>
  <c r="U36" i="40"/>
  <c r="F83" i="43"/>
  <c r="H85" i="43" s="1"/>
  <c r="F50" i="43"/>
  <c r="H54" i="43" s="1"/>
  <c r="F72" i="43"/>
  <c r="H75" i="43" s="1"/>
  <c r="U17" i="39"/>
  <c r="S14" i="35"/>
  <c r="U35" i="21"/>
  <c r="AC35" i="21"/>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J27" i="40"/>
  <c r="AC27" i="40"/>
  <c r="F27" i="40"/>
  <c r="AA27" i="40" s="1"/>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BL14" i="3"/>
  <c r="AC13" i="34"/>
  <c r="AA47" i="34"/>
  <c r="W28" i="37"/>
  <c r="S19" i="39"/>
  <c r="F12" i="33"/>
  <c r="S12" i="33" s="1"/>
  <c r="H12" i="39"/>
  <c r="U12" i="39" s="1"/>
  <c r="AB12" i="39"/>
  <c r="F39" i="40"/>
  <c r="S39" i="40" s="1"/>
  <c r="BA14" i="3"/>
  <c r="AZ297" i="3"/>
  <c r="B12" i="1"/>
  <c r="E12" i="1" s="1"/>
  <c r="B10" i="1"/>
  <c r="E10" i="1" s="1"/>
  <c r="K12" i="1"/>
  <c r="M12" i="1" s="1"/>
  <c r="S13" i="1"/>
  <c r="AR13" i="1" s="1"/>
  <c r="R13" i="1"/>
  <c r="J51" i="67"/>
  <c r="C42" i="1"/>
  <c r="C24" i="12" s="1"/>
  <c r="AC34" i="33"/>
  <c r="AB37" i="40"/>
  <c r="S35" i="40"/>
  <c r="U35" i="40"/>
  <c r="AC36" i="40"/>
  <c r="W38" i="40"/>
  <c r="AA32" i="40"/>
  <c r="S23" i="40"/>
  <c r="AC17" i="40"/>
  <c r="AC15" i="40"/>
  <c r="AA19" i="40"/>
  <c r="S28" i="40"/>
  <c r="U21" i="40"/>
  <c r="AB19" i="40"/>
  <c r="U37"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S30" i="37"/>
  <c r="S37" i="37"/>
  <c r="AC15" i="37"/>
  <c r="J17" i="37"/>
  <c r="W17" i="37" s="1"/>
  <c r="G73" i="37"/>
  <c r="F17" i="37"/>
  <c r="AA17" i="37" s="1"/>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AB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s="1"/>
  <c r="F77" i="21"/>
  <c r="G77" i="21"/>
  <c r="F23" i="21"/>
  <c r="AA23" i="21" s="1"/>
  <c r="E85" i="21"/>
  <c r="F85" i="21" s="1"/>
  <c r="G85" i="21" s="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F33" i="21"/>
  <c r="AA33" i="21" s="1"/>
  <c r="J33" i="21"/>
  <c r="AC33" i="21" s="1"/>
  <c r="H33" i="21"/>
  <c r="AB33" i="21" s="1"/>
  <c r="F37" i="21"/>
  <c r="AA37" i="21" s="1"/>
  <c r="AB14" i="21"/>
  <c r="AB46" i="21"/>
  <c r="U40" i="21"/>
  <c r="AB31" i="21"/>
  <c r="U31" i="21"/>
  <c r="U13" i="21"/>
  <c r="AB13" i="21"/>
  <c r="S35" i="21"/>
  <c r="J37" i="21"/>
  <c r="W37" i="21" s="1"/>
  <c r="H15" i="21"/>
  <c r="U15" i="21"/>
  <c r="AC19" i="21"/>
  <c r="AC14" i="21"/>
  <c r="W30" i="21"/>
  <c r="S46" i="21"/>
  <c r="H45" i="21"/>
  <c r="U45" i="21" s="1"/>
  <c r="F29" i="21"/>
  <c r="AA29" i="21" s="1"/>
  <c r="F13" i="21"/>
  <c r="AA13" i="21" s="1"/>
  <c r="H32" i="21"/>
  <c r="AB32" i="21" s="1"/>
  <c r="H9" i="21"/>
  <c r="AB9" i="21" s="1"/>
  <c r="J9" i="21"/>
  <c r="W9" i="21" s="1"/>
  <c r="J32" i="21"/>
  <c r="W32" i="21" s="1"/>
  <c r="AA31"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AA12" i="33"/>
  <c r="J32" i="39"/>
  <c r="H32" i="39"/>
  <c r="AB32" i="39" s="1"/>
  <c r="S32"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G91" i="33"/>
  <c r="H91" i="33" s="1"/>
  <c r="I91" i="33" s="1"/>
  <c r="J91" i="33" s="1"/>
  <c r="K91" i="33" s="1"/>
  <c r="L91" i="33" s="1"/>
  <c r="M91" i="33" s="1"/>
  <c r="J27" i="33"/>
  <c r="W27" i="33" s="1"/>
  <c r="U25" i="33"/>
  <c r="S25" i="33"/>
  <c r="AA25" i="33"/>
  <c r="G87" i="33"/>
  <c r="H87" i="33" s="1"/>
  <c r="I87" i="33" s="1"/>
  <c r="J87" i="33" s="1"/>
  <c r="K87" i="33" s="1"/>
  <c r="L87" i="33" s="1"/>
  <c r="M87" i="33" s="1"/>
  <c r="J25" i="33"/>
  <c r="W25" i="33" s="1"/>
  <c r="F23" i="33"/>
  <c r="G85" i="33"/>
  <c r="AA19" i="33"/>
  <c r="H19" i="33"/>
  <c r="G81" i="33"/>
  <c r="H17" i="33"/>
  <c r="U17" i="33" s="1"/>
  <c r="F17" i="33"/>
  <c r="S17" i="33" s="1"/>
  <c r="AB15" i="21"/>
  <c r="J23" i="21"/>
  <c r="AC23" i="21" s="1"/>
  <c r="H23" i="21"/>
  <c r="AB23" i="21" s="1"/>
  <c r="AP7" i="1"/>
  <c r="AB45" i="21"/>
  <c r="A18" i="62"/>
  <c r="B64" i="72" s="1"/>
  <c r="AC32" i="39"/>
  <c r="W32" i="39"/>
  <c r="J11" i="37"/>
  <c r="AC11" i="37" s="1"/>
  <c r="J11" i="34"/>
  <c r="W11" i="34" s="1"/>
  <c r="AB36" i="33"/>
  <c r="AB19" i="33"/>
  <c r="U19" i="33"/>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7" i="15"/>
  <c r="E13" i="76"/>
  <c r="F16" i="67"/>
  <c r="L47" i="67"/>
  <c r="F5" i="73"/>
  <c r="E11" i="76"/>
  <c r="M24" i="67"/>
  <c r="F40" i="67"/>
  <c r="M9" i="15"/>
  <c r="L47" i="15"/>
  <c r="F37" i="15"/>
  <c r="B11" i="76"/>
  <c r="E8" i="76"/>
  <c r="F20" i="31"/>
  <c r="D34" i="9"/>
  <c r="M23" i="67"/>
  <c r="F38" i="15"/>
  <c r="F6" i="15"/>
  <c r="F40" i="15"/>
  <c r="M24" i="15"/>
  <c r="C76" i="15"/>
  <c r="F6" i="73"/>
  <c r="B12" i="76"/>
  <c r="J15" i="67"/>
  <c r="L48" i="15"/>
  <c r="J15" i="15"/>
  <c r="M6" i="67"/>
  <c r="F7" i="73"/>
  <c r="F16" i="15"/>
  <c r="E7" i="76"/>
  <c r="M6" i="15"/>
  <c r="E10" i="76"/>
  <c r="F8" i="15"/>
  <c r="F26" i="15"/>
  <c r="D6" i="73"/>
  <c r="F36" i="67"/>
  <c r="B10" i="76"/>
  <c r="F37" i="67"/>
  <c r="F43" i="15"/>
  <c r="F7" i="67"/>
  <c r="M22" i="15"/>
  <c r="AO13" i="1"/>
  <c r="D35" i="9"/>
  <c r="F13" i="15"/>
  <c r="E2" i="69"/>
  <c r="M23" i="15"/>
  <c r="F3" i="73"/>
  <c r="B13" i="76"/>
  <c r="B9" i="76"/>
  <c r="F36" i="15"/>
  <c r="F9" i="67"/>
  <c r="F4" i="73"/>
  <c r="M26" i="15"/>
  <c r="M28" i="15"/>
  <c r="E9" i="76"/>
  <c r="E12" i="76"/>
  <c r="E2" i="68"/>
  <c r="B7" i="76"/>
  <c r="M28" i="67"/>
  <c r="AC15" i="21" l="1"/>
  <c r="W23" i="21"/>
  <c r="AC25" i="33"/>
  <c r="U32" i="39"/>
  <c r="AA23" i="37"/>
  <c r="AC17" i="37"/>
  <c r="AA17" i="33"/>
  <c r="AC17" i="33"/>
  <c r="AB23" i="33"/>
  <c r="S36" i="33"/>
  <c r="AC35" i="33"/>
  <c r="AA40" i="34"/>
  <c r="S20" i="36"/>
  <c r="S23" i="21"/>
  <c r="S30" i="40"/>
  <c r="AZ391" i="3"/>
  <c r="AZ380" i="3"/>
  <c r="AZ347" i="3"/>
  <c r="AZ329" i="3"/>
  <c r="AZ376" i="3"/>
  <c r="AZ327" i="3"/>
  <c r="AZ309" i="3"/>
  <c r="AC12" i="37"/>
  <c r="AZ569" i="3"/>
  <c r="AZ527" i="3"/>
  <c r="AZ563" i="3"/>
  <c r="AZ504" i="3"/>
  <c r="AZ512" i="3"/>
  <c r="AZ520" i="3"/>
  <c r="AZ544" i="3"/>
  <c r="AZ554" i="3"/>
  <c r="AZ572" i="3"/>
  <c r="AC40" i="37"/>
  <c r="AB34" i="21"/>
  <c r="U34" i="21"/>
  <c r="J39" i="37"/>
  <c r="F39" i="37"/>
  <c r="S39" i="37" s="1"/>
  <c r="AB9" i="39"/>
  <c r="U9" i="39"/>
  <c r="S27" i="40"/>
  <c r="U27" i="40"/>
  <c r="H12" i="36"/>
  <c r="J12" i="36"/>
  <c r="F12" i="36"/>
  <c r="W41" i="33"/>
  <c r="AC41" i="33"/>
  <c r="AZ17" i="3"/>
  <c r="AZ322" i="3"/>
  <c r="AZ311" i="3"/>
  <c r="AZ342" i="3"/>
  <c r="AZ337" i="3"/>
  <c r="AZ511" i="3"/>
  <c r="AZ508"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J43" i="21"/>
  <c r="AC43" i="21" s="1"/>
  <c r="E125" i="21"/>
  <c r="F125" i="21" s="1"/>
  <c r="G125" i="21" s="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AZ233" i="3" s="1"/>
  <c r="G260" i="3"/>
  <c r="BA257" i="3"/>
  <c r="AZ257" i="3" s="1"/>
  <c r="BL257" i="3"/>
  <c r="BL258" i="3"/>
  <c r="G259" i="3"/>
  <c r="G265" i="3"/>
  <c r="BA270" i="3"/>
  <c r="BA273" i="3"/>
  <c r="G276" i="3"/>
  <c r="BA280" i="3"/>
  <c r="AZ280" i="3" s="1"/>
  <c r="G283" i="3"/>
  <c r="BA125" i="3"/>
  <c r="AZ125" i="3" s="1"/>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AZ217" i="3" s="1"/>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G445" i="3"/>
  <c r="BL445" i="3"/>
  <c r="BL446" i="3"/>
  <c r="BL451" i="3"/>
  <c r="G454" i="3"/>
  <c r="BA462" i="3"/>
  <c r="AZ462" i="3" s="1"/>
  <c r="G465" i="3"/>
  <c r="BA467" i="3"/>
  <c r="BA468" i="3"/>
  <c r="BA470" i="3"/>
  <c r="BL470" i="3"/>
  <c r="G472" i="3"/>
  <c r="BA480" i="3"/>
  <c r="BA487" i="3"/>
  <c r="AZ487" i="3" s="1"/>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AZ118" i="3" s="1"/>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K6" i="1"/>
  <c r="C7" i="40"/>
  <c r="C63" i="40" s="1"/>
  <c r="C65" i="40" s="1"/>
  <c r="C7" i="39"/>
  <c r="C67" i="39" s="1"/>
  <c r="S14" i="39"/>
  <c r="AA14" i="39"/>
  <c r="AB13" i="37"/>
  <c r="U13" i="37"/>
  <c r="AZ497" i="3"/>
  <c r="AZ499" i="3"/>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AZ44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1" i="3"/>
  <c r="AZ291" i="3" s="1"/>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71" i="15"/>
  <c r="L59" i="15"/>
  <c r="N59" i="15"/>
  <c r="L58" i="15"/>
  <c r="M59" i="15"/>
  <c r="F66" i="15"/>
  <c r="F64" i="15"/>
  <c r="C27" i="15"/>
  <c r="F65" i="15"/>
  <c r="N59" i="67"/>
  <c r="L59" i="67"/>
  <c r="M59" i="67"/>
  <c r="B13" i="70"/>
  <c r="M7" i="67"/>
  <c r="F50" i="67"/>
  <c r="F68" i="67"/>
  <c r="F64" i="67"/>
  <c r="F68" i="15"/>
  <c r="C36" i="68"/>
  <c r="D9" i="68"/>
  <c r="F26" i="67"/>
  <c r="F8" i="67"/>
  <c r="C76" i="67"/>
  <c r="D5" i="73"/>
  <c r="D7" i="73"/>
  <c r="F42" i="67"/>
  <c r="M22" i="67"/>
  <c r="M29" i="15"/>
  <c r="D3" i="73"/>
  <c r="M8" i="15"/>
  <c r="D4" i="73"/>
  <c r="M8" i="67"/>
  <c r="F42" i="15"/>
  <c r="M29" i="67"/>
  <c r="L48" i="67"/>
  <c r="F43" i="67"/>
  <c r="M9" i="67"/>
  <c r="C36" i="69"/>
  <c r="F27" i="69"/>
  <c r="C16" i="15"/>
  <c r="M26" i="67"/>
  <c r="F6" i="67"/>
  <c r="F13" i="67"/>
  <c r="F38" i="67"/>
  <c r="F9" i="15"/>
  <c r="D9" i="69"/>
  <c r="Q71" i="67" l="1"/>
  <c r="F66" i="67"/>
  <c r="F51" i="67"/>
  <c r="C49" i="67" s="1"/>
  <c r="C27" i="67"/>
  <c r="F31" i="67"/>
  <c r="C6" i="67"/>
  <c r="C32" i="67" s="1"/>
  <c r="J53" i="67"/>
  <c r="F1" i="67" s="1"/>
  <c r="L56" i="67"/>
  <c r="J57" i="67"/>
  <c r="J55" i="67" s="1"/>
  <c r="J58" i="67" s="1"/>
  <c r="Q50" i="67" s="1"/>
  <c r="L58" i="67"/>
  <c r="AZ88" i="3"/>
  <c r="AZ247" i="3"/>
  <c r="AZ283" i="3"/>
  <c r="AZ368" i="3"/>
  <c r="AZ473" i="3"/>
  <c r="AZ419" i="3"/>
  <c r="J6" i="67"/>
  <c r="J18" i="67" s="1"/>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C30" i="1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52" i="3"/>
  <c r="E288" i="3"/>
  <c r="E29" i="3"/>
  <c r="E295" i="3"/>
  <c r="E567" i="3"/>
  <c r="E261" i="3"/>
  <c r="E106" i="3"/>
  <c r="AJ6" i="3"/>
  <c r="E148"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C49" i="15"/>
  <c r="Q60" i="67"/>
  <c r="Q73" i="67"/>
  <c r="M11" i="67"/>
  <c r="J10" i="67" s="1"/>
  <c r="F11" i="15"/>
  <c r="M11" i="15"/>
  <c r="J10" i="15" s="1"/>
  <c r="F11" i="67"/>
  <c r="F1" i="15"/>
  <c r="Q52" i="15"/>
  <c r="Q60" i="15"/>
  <c r="Q73" i="15"/>
  <c r="Q61" i="67"/>
  <c r="Q74" i="67"/>
  <c r="Q74" i="15"/>
  <c r="Q61" i="15"/>
  <c r="AE11" i="1"/>
  <c r="AE9" i="1"/>
  <c r="F27" i="68"/>
  <c r="AE7" i="1"/>
  <c r="AE8" i="1"/>
  <c r="AE12" i="1"/>
  <c r="AE10" i="1"/>
  <c r="C16" i="67"/>
  <c r="G1" i="73"/>
  <c r="AE6" i="1"/>
  <c r="J5" i="67" l="1"/>
  <c r="Q52" i="67"/>
  <c r="D60" i="71"/>
  <c r="T60" i="71"/>
  <c r="P65" i="71"/>
  <c r="P66" i="71"/>
  <c r="AA7" i="36"/>
  <c r="R36"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41" i="67"/>
  <c r="M27" i="15"/>
  <c r="F41" i="15"/>
  <c r="M27" i="67"/>
  <c r="AC6" i="3" l="1"/>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7" i="67"/>
  <c r="C34" i="69"/>
  <c r="C14" i="67"/>
  <c r="G39" i="43" l="1"/>
  <c r="I39" i="43" s="1"/>
  <c r="E38" i="43"/>
  <c r="E33" i="43"/>
  <c r="C6" i="69"/>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C31" i="43" l="1"/>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E6" i="76"/>
  <c r="D10" i="69"/>
  <c r="L19" i="9" l="1"/>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15"/>
  <c r="F35" i="15"/>
  <c r="M21" i="67"/>
  <c r="R49" i="21" l="1"/>
  <c r="C32" i="12"/>
  <c r="B2" i="12" s="1"/>
  <c r="B3" i="12" s="1"/>
  <c r="I5" i="6"/>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C52" i="69" l="1"/>
  <c r="B2" i="69" s="1"/>
  <c r="D102" i="9"/>
  <c r="D21" i="9"/>
  <c r="B3" i="2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B3" i="69"/>
  <c r="D2" i="35"/>
  <c r="C19" i="9"/>
  <c r="D2" i="37"/>
  <c r="D2" i="36"/>
  <c r="D2" i="34"/>
  <c r="L51" i="15"/>
  <c r="C57" i="69" l="1"/>
  <c r="C56" i="69" s="1"/>
  <c r="D103" i="9"/>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C20" i="9"/>
  <c r="AO12" i="1"/>
  <c r="AO6" i="1"/>
  <c r="AO9" i="1"/>
  <c r="AO11"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c r="D53" i="9"/>
  <c r="B20" i="72"/>
  <c r="P57" i="9"/>
  <c r="N58" i="9"/>
  <c r="C5" i="74"/>
  <c r="M48" i="9"/>
  <c r="N60" i="9"/>
  <c r="N59" i="9"/>
  <c r="N61" i="9"/>
  <c r="D9" i="52"/>
  <c r="B53" i="72"/>
  <c r="B47" i="72"/>
  <c r="E81" i="9"/>
  <c r="C81" i="9"/>
  <c r="C104" i="9"/>
  <c r="H4" i="52"/>
  <c r="B49" i="72"/>
  <c r="I4" i="52"/>
  <c r="C105" i="9"/>
  <c r="B51" i="72"/>
  <c r="D5" i="53"/>
  <c r="D6" i="53"/>
  <c r="B22" i="72"/>
  <c r="D59" i="9"/>
  <c r="M55" i="9"/>
  <c r="G4" i="52"/>
  <c r="B52" i="72"/>
  <c r="C68" i="9"/>
  <c r="D54" i="9"/>
  <c r="E4" i="52"/>
  <c r="B48" i="72"/>
  <c r="F4" i="52"/>
  <c r="D4" i="52"/>
  <c r="C80" i="9"/>
  <c r="E80" i="9"/>
  <c r="C72" i="9"/>
  <c r="C79" i="9"/>
  <c r="H119" i="9"/>
  <c r="H5" i="52"/>
  <c r="G118" i="9"/>
  <c r="F118" i="9"/>
  <c r="F119" i="9"/>
  <c r="F5" i="52"/>
  <c r="C93" i="9"/>
  <c r="C86" i="9"/>
  <c r="N57" i="9"/>
  <c r="D8" i="52"/>
  <c r="D122" i="9"/>
  <c r="D123" i="9"/>
  <c r="C6" i="74"/>
  <c r="C96" i="9"/>
  <c r="E96" i="9"/>
  <c r="E97" i="9"/>
  <c r="D55" i="9"/>
  <c r="M53" i="9"/>
  <c r="B30" i="72"/>
  <c r="E118" i="9"/>
  <c r="D118" i="9"/>
  <c r="D119" i="9"/>
  <c r="D5" i="52"/>
  <c r="H102" i="9"/>
  <c r="D7" i="53"/>
  <c r="B21" i="72"/>
  <c r="M54" i="9"/>
  <c r="C85" i="9"/>
  <c r="C95" i="9"/>
  <c r="C97" i="9"/>
  <c r="D58" i="9"/>
  <c r="D56" i="9"/>
  <c r="H108" i="9"/>
  <c r="D15" i="53"/>
  <c r="B31" i="72"/>
  <c r="C64" i="9"/>
  <c r="C63" i="9"/>
  <c r="C67" i="9"/>
  <c r="D45" i="9"/>
  <c r="C78" i="9"/>
  <c r="C73"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<sst xmlns="http://schemas.openxmlformats.org/spreadsheetml/2006/main" count="8113" uniqueCount="3580">
  <si>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</si>
  <si>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</si>
  <si>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</si>
  <si>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</si>
  <si>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</si>
  <si>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</si>
  <si>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</si>
  <si>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</si>
  <si>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</si>
  <si>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</si>
  <si>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</si>
  <si>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</si>
  <si>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</si>
  <si>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</si>
  <si>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</si>
  <si>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</si>
  <si>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</si>
  <si>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</si>
  <si>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</si>
  <si>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</si>
  <si>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</si>
  <si>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</si>
  <si>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</si>
  <si>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</si>
  <si>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</si>
  <si>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</si>
  <si>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</si>
  <si>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</si>
  <si>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</si>
  <si>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</si>
  <si>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</si>
  <si>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</si>
  <si>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</si>
  <si>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</si>
  <si>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</si>
  <si>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</si>
  <si>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</si>
  <si>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</si>
  <si>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</si>
  <si>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</si>
  <si>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</si>
  <si>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</si>
  <si>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</si>
  <si>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</si>
  <si>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</si>
  <si>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</si>
  <si>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</si>
  <si>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</si>
  <si>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</si>
  <si>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</si>
  <si>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</si>
  <si>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</si>
  <si>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</si>
  <si>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</si>
  <si>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</si>
  <si>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</si>
  <si>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</si>
  <si>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</si>
  <si>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</si>
  <si>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</si>
  <si>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</si>
  <si>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</si>
  <si>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</si>
  <si>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</si>
  <si>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</si>
  <si>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</si>
  <si>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</si>
  <si>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</si>
  <si>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</si>
  <si>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</si>
  <si>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</si>
  <si>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</si>
  <si>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</si>
  <si>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</si>
  <si>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</si>
  <si>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</si>
  <si>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</si>
  <si>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</si>
  <si>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</si>
  <si>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</si>
  <si>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</si>
  <si>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</si>
  <si>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</si>
  <si>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</si>
  <si>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</si>
  <si>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</si>
  <si>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</si>
  <si>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</si>
  <si>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</si>
  <si>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</si>
  <si>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</si>
  <si>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</si>
  <si>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</si>
  <si>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</si>
  <si>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</si>
  <si>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</si>
  <si>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</si>
  <si>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</si>
  <si>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</si>
  <si>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</si>
  <si>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</si>
  <si>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</si>
  <si>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</si>
  <si>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</si>
  <si>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</si>
  <si>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</si>
  <si>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</si>
  <si>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</si>
  <si>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</si>
  <si>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</si>
  <si>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</si>
  <si>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</si>
  <si>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</si>
  <si>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</si>
  <si>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</si>
  <si>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</si>
  <si>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</si>
  <si>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</si>
  <si>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</si>
  <si>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</si>
  <si>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</si>
  <si>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</si>
  <si>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</si>
  <si>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</si>
  <si>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</si>
  <si>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</si>
  <si>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</si>
  <si>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</si>
  <si>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</si>
  <si>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</si>
  <si>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</si>
  <si>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</si>
  <si>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</si>
  <si>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</si>
  <si>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</si>
  <si>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</si>
  <si>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</si>
  <si>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</si>
  <si>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</si>
  <si>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</si>
  <si>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</si>
  <si>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</si>
  <si>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</si>
  <si>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</si>
  <si>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</si>
  <si>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</si>
  <si>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</si>
  <si>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</si>
  <si>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</si>
  <si>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</si>
  <si>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</si>
  <si>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</si>
  <si>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</si>
  <si>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</si>
  <si>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</si>
  <si>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</si>
  <si>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</si>
  <si>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</si>
  <si>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</si>
  <si>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</si>
  <si>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</si>
  <si>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</si>
  <si>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</si>
  <si>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</si>
  <si>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</si>
  <si>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</si>
  <si>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</si>
  <si>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</si>
  <si>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</si>
  <si>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</si>
  <si>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</si>
  <si>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</si>
  <si>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</si>
  <si>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</si>
  <si>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</si>
  <si>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</si>
  <si>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</si>
  <si>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</si>
  <si>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</si>
  <si>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</si>
  <si>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</si>
  <si>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</si>
  <si>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</si>
  <si>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</si>
  <si>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</si>
  <si>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</si>
  <si>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</si>
  <si>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</si>
  <si>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</si>
  <si>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</si>
  <si>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</si>
  <si>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</si>
  <si>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</si>
  <si>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</si>
  <si>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</si>
  <si>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</si>
  <si>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</si>
  <si>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</si>
  <si>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</si>
  <si>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</si>
  <si>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</si>
  <si>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</si>
  <si>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</si>
  <si>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</si>
  <si>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</si>
  <si>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</si>
  <si>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</si>
  <si>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</si>
  <si>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</si>
  <si>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</si>
  <si>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</si>
  <si>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</si>
  <si>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</si>
  <si>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</si>
  <si>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</si>
  <si>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</si>
  <si>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</si>
  <si>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</si>
  <si>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</si>
  <si>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</si>
  <si>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</si>
  <si>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</si>
  <si>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</si>
  <si>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</si>
  <si>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</si>
  <si>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</si>
  <si>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</si>
  <si>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</si>
  <si>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</si>
  <si>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</si>
  <si>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</si>
  <si>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</si>
  <si>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</si>
  <si>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</si>
  <si>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</si>
  <si>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</si>
  <si>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</si>
  <si>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</si>
  <si>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</si>
  <si>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</si>
  <si>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</si>
  <si>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</si>
  <si>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</si>
  <si>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</si>
  <si>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</si>
  <si>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</si>
  <si>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</si>
  <si>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</si>
  <si>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</si>
  <si>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</si>
  <si>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</si>
  <si>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</si>
  <si>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</si>
  <si>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</si>
  <si>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</si>
  <si>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</si>
  <si>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</si>
  <si>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</si>
  <si>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</si>
  <si>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</si>
  <si>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</si>
  <si>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</si>
  <si>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</si>
  <si>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</si>
  <si>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</si>
  <si>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</si>
  <si>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</si>
  <si>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</si>
  <si>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</si>
  <si>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</si>
  <si>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</si>
  <si>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</si>
  <si>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</si>
  <si>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</si>
  <si>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</si>
  <si>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</si>
  <si>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</si>
  <si>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</si>
  <si>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</si>
  <si>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</si>
  <si>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</si>
  <si>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</si>
  <si>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</si>
  <si>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</si>
  <si>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</si>
  <si>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</si>
  <si>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</si>
  <si>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</si>
  <si>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</si>
  <si>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</si>
  <si>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</si>
  <si>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</si>
  <si>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</si>
  <si>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</si>
  <si>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</si>
  <si>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</si>
  <si>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</si>
  <si>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</si>
  <si>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</si>
  <si>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</si>
  <si>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</si>
  <si>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</si>
  <si>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</si>
  <si>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</si>
  <si>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</si>
  <si>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</si>
  <si>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</si>
  <si>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</si>
  <si>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</si>
  <si>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</si>
  <si>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</si>
  <si>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</si>
  <si>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</si>
  <si>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</si>
  <si>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</si>
  <si>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</si>
  <si>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</si>
  <si>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</si>
  <si>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</si>
  <si>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</si>
  <si>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</si>
  <si>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</si>
  <si>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</si>
  <si>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</si>
  <si>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</si>
  <si>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</si>
  <si>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</si>
  <si>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</si>
  <si>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</si>
  <si>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</si>
  <si>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</si>
  <si>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</si>
  <si>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</si>
  <si>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</si>
  <si>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</si>
  <si>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</si>
  <si>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</si>
  <si>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</si>
  <si>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</si>
  <si>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</si>
  <si>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</si>
  <si>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</si>
  <si>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</si>
  <si>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</si>
  <si>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</si>
  <si>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</si>
  <si>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</si>
  <si>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</si>
  <si>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</si>
  <si>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</si>
  <si>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</si>
  <si>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</si>
  <si>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</si>
  <si>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</si>
  <si>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</si>
  <si>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</si>
  <si>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</si>
  <si>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</si>
  <si>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</si>
  <si>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</si>
  <si>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</si>
  <si>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</si>
  <si>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</si>
  <si>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</si>
  <si>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</si>
  <si>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</si>
  <si>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</si>
  <si>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</si>
  <si>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</si>
  <si>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</si>
  <si>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</si>
  <si>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</si>
  <si>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</si>
  <si>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</si>
  <si>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</si>
  <si>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</si>
  <si>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</si>
  <si>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</si>
  <si>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</si>
  <si>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</si>
  <si>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</si>
  <si>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</si>
  <si>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</si>
  <si>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</si>
  <si>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</si>
  <si>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</si>
  <si>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</si>
  <si>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</si>
  <si>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</si>
  <si>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</si>
  <si>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</si>
  <si>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</si>
  <si>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</si>
  <si>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</si>
  <si>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</si>
  <si>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</si>
  <si>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</si>
  <si>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</si>
  <si>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</si>
  <si>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</si>
  <si>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</si>
  <si>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</si>
  <si>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</si>
  <si>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</si>
  <si>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</si>
  <si>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</si>
  <si>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</si>
  <si>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</si>
  <si>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</si>
  <si>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</si>
  <si>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</si>
  <si>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</si>
  <si>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</si>
  <si>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</si>
  <si>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</si>
  <si>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</si>
  <si>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</si>
  <si>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</si>
  <si>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</si>
  <si>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</si>
  <si>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</si>
  <si>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</si>
  <si>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</si>
  <si>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</si>
  <si>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</si>
  <si>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</si>
  <si>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</si>
  <si>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</si>
  <si>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</si>
  <si>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</si>
  <si>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</si>
  <si>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</si>
  <si>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</si>
  <si>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</si>
  <si>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</si>
  <si>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</si>
  <si>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</si>
  <si>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</si>
  <si>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</si>
  <si>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</si>
  <si>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</si>
  <si>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</si>
  <si>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</si>
  <si>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</si>
  <si>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</si>
  <si>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</si>
  <si>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</si>
  <si>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</si>
  <si>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</si>
  <si>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</si>
  <si>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</si>
  <si>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</si>
  <si>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</si>
  <si>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</si>
  <si>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</si>
  <si>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</si>
  <si>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</si>
  <si>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</si>
  <si>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</si>
  <si>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</si>
  <si>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</si>
  <si>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</si>
  <si>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</si>
  <si>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</si>
  <si>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</si>
  <si>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</si>
  <si>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</si>
  <si>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</si>
  <si>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</si>
  <si>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</si>
  <si>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</si>
  <si>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</si>
  <si>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</si>
  <si>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</si>
  <si>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</si>
  <si>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</si>
  <si>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</si>
  <si>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</si>
  <si>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</si>
  <si>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</si>
  <si>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</si>
  <si>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</si>
  <si>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</si>
  <si>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</si>
  <si>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</si>
  <si>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</si>
  <si>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</si>
  <si>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</si>
  <si>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</si>
  <si>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</si>
  <si>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</si>
  <si>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</si>
  <si>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</si>
  <si>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</si>
  <si>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</si>
  <si>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</si>
  <si>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</si>
  <si>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</si>
  <si>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</si>
  <si>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</si>
  <si>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</si>
  <si>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</si>
  <si>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</si>
  <si>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</si>
  <si>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</si>
  <si>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</si>
  <si>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</si>
  <si>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</si>
  <si>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</si>
  <si>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</si>
  <si>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</si>
  <si>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</si>
  <si>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</si>
  <si>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</si>
  <si>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</si>
  <si>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</si>
  <si>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</si>
  <si>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</si>
  <si>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</si>
  <si>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</si>
  <si>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</si>
  <si>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</si>
  <si>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</si>
  <si>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</si>
  <si>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</si>
  <si>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</si>
  <si>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</si>
  <si>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</si>
  <si>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</si>
  <si>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</si>
  <si>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</si>
  <si>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</si>
  <si>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</si>
  <si>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</si>
  <si>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</si>
  <si>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</si>
  <si>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</si>
  <si>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</si>
  <si>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</si>
  <si>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</si>
  <si>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</si>
  <si>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</si>
  <si>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</si>
  <si>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</si>
  <si>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</si>
  <si>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</si>
  <si>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</si>
  <si>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</si>
  <si>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</si>
  <si>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</si>
  <si>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</si>
  <si>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</si>
  <si>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</si>
  <si>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</si>
  <si>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</si>
  <si>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</si>
  <si>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</si>
  <si>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</si>
  <si>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</si>
  <si>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</si>
  <si>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</si>
  <si>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</si>
  <si>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</si>
  <si>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</si>
  <si>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</si>
  <si>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</si>
  <si>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</si>
  <si>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</si>
  <si>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</si>
  <si>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</si>
  <si>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</si>
  <si>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</si>
  <si>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</si>
  <si>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</si>
  <si>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</si>
  <si>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</si>
  <si>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</si>
  <si>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</si>
  <si>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</si>
  <si>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</si>
  <si>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</si>
  <si>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</si>
  <si>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</si>
  <si>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</si>
  <si>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</si>
  <si>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</si>
  <si>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</si>
  <si>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</si>
  <si>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</si>
  <si>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</si>
  <si>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</si>
  <si>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</si>
  <si>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</si>
  <si>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</si>
  <si>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</si>
  <si>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</si>
  <si>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</si>
  <si>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</si>
  <si>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</si>
  <si>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</si>
  <si>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</si>
  <si>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</si>
  <si>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</si>
  <si>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</si>
  <si>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</si>
  <si>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</si>
  <si>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</si>
  <si>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</si>
  <si>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</si>
  <si>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</si>
  <si>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</si>
  <si>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</si>
  <si>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</si>
  <si>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</si>
  <si>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</si>
  <si>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</si>
  <si>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</si>
  <si>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</si>
  <si>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</si>
  <si>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</si>
  <si>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</si>
  <si>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</si>
  <si>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</si>
  <si>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</si>
  <si>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</si>
  <si>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</si>
  <si>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</si>
  <si>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</si>
  <si>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</si>
  <si>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</si>
  <si>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</si>
  <si>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</si>
  <si>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</si>
  <si>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</si>
  <si>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</si>
  <si>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</si>
  <si>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</si>
  <si>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</si>
  <si>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</si>
  <si>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</si>
  <si>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</si>
  <si>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</si>
  <si>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</si>
  <si>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</si>
  <si>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</si>
  <si>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</si>
  <si>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</si>
  <si>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</si>
  <si>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</si>
  <si>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</si>
  <si>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</si>
  <si>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</si>
  <si>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</si>
  <si>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</si>
  <si>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</si>
  <si>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</si>
  <si>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</si>
  <si>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</si>
  <si>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</si>
  <si>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</si>
  <si>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</si>
  <si>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</si>
  <si>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</si>
  <si>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</si>
  <si>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</si>
  <si>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</si>
  <si>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</si>
  <si>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</si>
  <si>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</si>
  <si>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</si>
  <si>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</si>
  <si>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</si>
  <si>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</si>
  <si>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</si>
  <si>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</si>
  <si>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</si>
  <si>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</si>
  <si>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</si>
  <si>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</si>
  <si>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</si>
  <si>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</si>
  <si>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</si>
  <si>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</si>
  <si>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</si>
  <si>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</si>
  <si>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</si>
  <si>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</si>
  <si>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</si>
  <si>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</si>
  <si>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</si>
  <si>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</si>
  <si>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</si>
  <si>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</si>
  <si>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</si>
  <si>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</si>
  <si>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</si>
  <si>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</si>
  <si>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</si>
  <si>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</si>
  <si>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</si>
  <si>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</si>
  <si>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</si>
  <si>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</si>
  <si>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</si>
  <si>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</si>
  <si>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</si>
  <si>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</si>
  <si>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</si>
  <si>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</si>
  <si>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</si>
  <si>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</si>
  <si>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</si>
  <si>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</si>
  <si>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</si>
  <si>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</si>
  <si>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</si>
  <si>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</si>
  <si>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</si>
  <si>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</si>
  <si>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</si>
  <si>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</si>
  <si>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</si>
  <si>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</si>
  <si>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</si>
  <si>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</si>
  <si>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</si>
  <si>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</si>
  <si>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</si>
  <si>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</si>
  <si>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</si>
  <si>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</si>
  <si>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</si>
  <si>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</si>
  <si>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</si>
  <si>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</si>
  <si>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</si>
  <si>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</si>
  <si>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</si>
  <si>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</si>
  <si>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</si>
  <si>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</si>
  <si>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</si>
  <si>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</si>
  <si>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</si>
  <si>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</si>
  <si>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</si>
  <si>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</si>
  <si>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</si>
  <si>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</si>
  <si>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</si>
  <si>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</si>
  <si>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</si>
  <si>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</si>
  <si>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</si>
  <si>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</si>
  <si>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</si>
  <si>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</si>
  <si>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</si>
  <si>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</si>
  <si>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</si>
  <si>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</si>
  <si>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</si>
  <si>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</si>
  <si>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</si>
  <si>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</si>
  <si>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</si>
  <si>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</si>
  <si>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</si>
  <si>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</si>
  <si>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</si>
  <si>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</si>
  <si>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</si>
  <si>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</si>
  <si>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</si>
  <si>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</si>
  <si>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</si>
  <si>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</si>
  <si>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</si>
  <si>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</si>
  <si>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</si>
  <si>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</si>
  <si>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</si>
  <si>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</si>
  <si>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</si>
  <si>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</si>
  <si>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</si>
  <si>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</si>
  <si>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</si>
  <si>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</si>
  <si>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</si>
  <si>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</si>
  <si>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</si>
  <si>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</si>
  <si>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</si>
  <si>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</si>
  <si>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</si>
  <si>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</si>
  <si>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</si>
  <si>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</si>
  <si>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</si>
  <si>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</si>
  <si>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</si>
  <si>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</si>
  <si>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</si>
  <si>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</si>
  <si>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</si>
  <si>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</si>
  <si>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</si>
  <si>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</si>
  <si>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</si>
  <si>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</si>
  <si>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</si>
  <si>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</si>
  <si>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</si>
  <si>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</si>
  <si>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</si>
  <si>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</si>
  <si>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</si>
  <si>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</si>
  <si>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</si>
  <si>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</si>
  <si>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</si>
  <si>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</si>
  <si>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</si>
  <si>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</si>
  <si>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</si>
  <si>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</si>
  <si>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</si>
  <si>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</si>
  <si>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</si>
  <si>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</si>
  <si>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</si>
  <si>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</si>
  <si>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</si>
  <si>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</si>
  <si>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</si>
  <si>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</si>
  <si>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</si>
  <si>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</si>
  <si>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</si>
  <si>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</si>
  <si>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</si>
  <si>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</si>
  <si>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</si>
  <si>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</si>
  <si>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</si>
  <si>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</si>
  <si>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</si>
  <si>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</si>
  <si>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</si>
  <si>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</si>
  <si>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</si>
  <si>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</si>
  <si>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</si>
  <si>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</si>
  <si>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</si>
  <si>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</si>
  <si>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</si>
  <si>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</si>
  <si>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</si>
  <si>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</si>
  <si>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</si>
  <si>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</si>
  <si>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</si>
  <si>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</si>
  <si>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</si>
  <si>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</si>
  <si>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</si>
  <si>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</si>
  <si>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</si>
  <si>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</si>
  <si>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</si>
  <si>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</si>
  <si>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</si>
  <si>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</si>
  <si>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</si>
  <si>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</si>
  <si>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</si>
  <si>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</si>
  <si>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</si>
  <si>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</si>
  <si>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</si>
  <si>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</si>
  <si>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</si>
  <si>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</si>
  <si>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</si>
  <si>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</si>
  <si>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</si>
  <si>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</si>
  <si>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</si>
  <si>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</si>
  <si>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</si>
  <si>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</si>
  <si>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</si>
  <si>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</si>
  <si>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</si>
  <si>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</si>
  <si>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</si>
  <si>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</si>
  <si>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</si>
  <si>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</si>
  <si>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</si>
  <si>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</si>
  <si>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</si>
  <si>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</si>
  <si>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</si>
  <si>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</si>
  <si>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</si>
  <si>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</si>
  <si>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</si>
  <si>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</si>
  <si>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</si>
  <si>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</si>
  <si>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</si>
  <si>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</si>
  <si>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</si>
  <si>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</si>
  <si>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</si>
  <si>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</si>
  <si>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</si>
  <si>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</si>
  <si>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</si>
  <si>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</si>
  <si>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</si>
  <si>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</si>
  <si>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</si>
  <si>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</si>
  <si>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</si>
  <si>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</si>
  <si>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</si>
  <si>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</si>
  <si>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</si>
  <si>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</si>
  <si>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</si>
  <si>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</si>
  <si>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</si>
  <si>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</si>
  <si>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</si>
  <si>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</si>
  <si>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</si>
  <si>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</si>
  <si>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</si>
  <si>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</si>
  <si>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</si>
  <si>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</si>
  <si>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</si>
  <si>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</si>
  <si>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</si>
  <si>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</si>
  <si>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</si>
  <si>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</si>
  <si>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</si>
  <si>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</si>
  <si>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</si>
  <si>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</si>
  <si>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</si>
  <si>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</si>
  <si>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</si>
  <si>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</si>
  <si>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</si>
  <si>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</si>
  <si>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</si>
  <si>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</si>
  <si>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</si>
  <si>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</si>
  <si>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</si>
  <si>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</si>
  <si>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</si>
  <si>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</si>
  <si>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</si>
  <si>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</si>
  <si>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</si>
  <si>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</si>
  <si>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</si>
  <si>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</si>
  <si>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</si>
  <si>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</si>
  <si>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</si>
  <si>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</si>
  <si>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</si>
  <si>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</si>
  <si>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</si>
  <si>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</si>
  <si>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</si>
  <si>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</si>
  <si>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</si>
  <si>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</si>
  <si>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</si>
  <si>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</si>
  <si>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</si>
  <si>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</si>
  <si>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</si>
  <si>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</si>
  <si>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</si>
  <si>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</si>
  <si>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</si>
  <si>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</si>
  <si>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</si>
  <si>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</si>
  <si>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</si>
  <si>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</si>
  <si>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</si>
  <si>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</si>
  <si>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</si>
  <si>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</si>
  <si>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</si>
  <si>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</si>
  <si>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</si>
  <si>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</si>
  <si>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</si>
  <si>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</si>
  <si>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</si>
  <si>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</si>
  <si>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</si>
  <si>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</si>
  <si>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</si>
  <si>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</si>
  <si>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</si>
  <si>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</si>
  <si>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</si>
  <si>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</si>
  <si>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</si>
  <si>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</si>
  <si>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</si>
  <si>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</si>
  <si>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</si>
  <si>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</si>
  <si>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</si>
  <si>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</si>
  <si>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</si>
  <si>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</si>
  <si>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</si>
  <si>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</si>
  <si>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</si>
  <si>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</si>
  <si>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</si>
  <si>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</si>
  <si>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</si>
  <si>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</si>
  <si>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</si>
  <si>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</si>
  <si>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</si>
  <si>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</si>
  <si>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</si>
  <si>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</si>
  <si>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</si>
  <si>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</si>
  <si>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</si>
  <si>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</si>
  <si>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</si>
  <si>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</si>
  <si>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</si>
  <si>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</si>
  <si>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</si>
  <si>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</si>
  <si>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</si>
  <si>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</si>
  <si>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</si>
  <si>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</si>
  <si>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</si>
  <si>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</si>
  <si>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</si>
  <si>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</si>
  <si>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</si>
  <si>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</si>
  <si>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</si>
  <si>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</si>
  <si>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</si>
  <si>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</si>
  <si>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</si>
  <si>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</si>
  <si>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</si>
  <si>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</si>
  <si>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</si>
  <si>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</si>
  <si>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</si>
  <si>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</si>
  <si>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</si>
  <si>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</si>
  <si>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</si>
  <si>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</si>
  <si>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</si>
  <si>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</si>
  <si>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</si>
  <si>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</si>
  <si>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</si>
  <si>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</si>
  <si>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</si>
  <si>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</si>
  <si>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</si>
  <si>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</si>
  <si>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</si>
  <si>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</si>
  <si>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</si>
  <si>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</si>
  <si>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</si>
  <si>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</si>
  <si>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</si>
  <si>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</si>
  <si>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</si>
  <si>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</si>
  <si>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</si>
  <si>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</si>
  <si>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</si>
  <si>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</si>
  <si>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</si>
  <si>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</si>
  <si>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</si>
  <si>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</si>
  <si>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</si>
  <si>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</si>
  <si>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</si>
  <si>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</si>
  <si>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</si>
  <si>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</si>
  <si>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</si>
  <si>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</si>
  <si>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</si>
  <si>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</si>
  <si>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</si>
  <si>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</si>
  <si>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</si>
  <si>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</si>
  <si>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</si>
  <si>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</si>
  <si>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</si>
  <si>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</si>
  <si>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</si>
  <si>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</si>
  <si>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</si>
  <si>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</si>
  <si>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</si>
  <si>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</si>
  <si>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</si>
  <si>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</si>
  <si>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</si>
  <si>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</si>
  <si>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</si>
  <si>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</si>
  <si>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</si>
  <si>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</si>
  <si>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</si>
  <si>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</si>
  <si>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</si>
  <si>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</si>
  <si>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</si>
  <si>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</si>
  <si>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</si>
  <si>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</si>
  <si>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</si>
  <si>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</si>
  <si>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</si>
  <si>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</si>
  <si>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</si>
  <si>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</si>
  <si>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</si>
  <si>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</si>
  <si>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</si>
  <si>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</si>
  <si>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</si>
  <si>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</si>
  <si>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</si>
  <si>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</si>
  <si>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</si>
  <si>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</si>
  <si>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</si>
  <si>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</si>
  <si>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</si>
  <si>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</si>
  <si>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</si>
  <si>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</si>
  <si>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</si>
  <si>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</si>
  <si>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</si>
  <si>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</si>
  <si>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</si>
  <si>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</si>
  <si>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</si>
  <si>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</si>
  <si>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</si>
  <si>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</si>
  <si>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</si>
  <si>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</si>
  <si>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</si>
  <si>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</si>
  <si>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</si>
  <si>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</si>
  <si>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</si>
  <si>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</si>
  <si>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</si>
  <si>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</si>
  <si>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</si>
  <si>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</si>
  <si>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</si>
  <si>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</si>
  <si>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</si>
  <si>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</si>
  <si>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</si>
  <si>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</si>
  <si>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</si>
  <si>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</si>
  <si>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</si>
  <si>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</si>
  <si>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</si>
  <si>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</si>
  <si>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</si>
  <si>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</si>
  <si>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</si>
  <si>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</si>
  <si>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</si>
  <si>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</si>
  <si>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</si>
  <si>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</si>
  <si>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</si>
  <si>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</si>
  <si>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</si>
  <si>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</si>
  <si>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</si>
  <si>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</si>
  <si>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</si>
  <si>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</si>
  <si>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</si>
  <si>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</si>
  <si>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</si>
  <si>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</si>
  <si>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</si>
  <si>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</si>
  <si>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</si>
  <si>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</si>
  <si>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</si>
  <si>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</si>
  <si>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</si>
  <si>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</si>
  <si>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</si>
  <si>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</si>
  <si>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</si>
  <si>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</si>
  <si>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</si>
  <si>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</si>
  <si>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</si>
  <si>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</si>
  <si>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</si>
  <si>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</si>
  <si>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</si>
  <si>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</si>
  <si>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</si>
  <si>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</si>
  <si>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</si>
  <si>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</si>
  <si>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</si>
  <si>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</si>
  <si>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</si>
  <si>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</si>
  <si>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</si>
  <si>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</si>
  <si>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</si>
  <si>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</si>
  <si>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</si>
  <si>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</si>
  <si>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</si>
  <si>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</si>
  <si>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</si>
  <si>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</si>
  <si>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</si>
  <si>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</si>
  <si>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</si>
  <si>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</si>
  <si>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</si>
  <si>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</si>
  <si>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</si>
  <si>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</si>
  <si>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</si>
  <si>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</si>
  <si>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</si>
  <si>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</si>
  <si>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</si>
  <si>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</si>
  <si>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</si>
  <si>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</si>
  <si>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</si>
  <si>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</si>
  <si>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</si>
  <si>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</si>
  <si>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</si>
  <si>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</si>
  <si>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</si>
  <si>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</si>
  <si>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</si>
  <si>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</si>
  <si>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</si>
  <si>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</si>
  <si>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</si>
  <si>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</si>
  <si>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</si>
  <si>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</si>
  <si>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</si>
  <si>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</si>
  <si>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</si>
  <si>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</si>
  <si>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</si>
  <si>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</si>
  <si>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</si>
  <si>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</si>
  <si>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</si>
  <si>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</si>
  <si>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</si>
  <si>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</si>
  <si>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</si>
  <si>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</si>
  <si>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</si>
  <si>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</si>
  <si>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</si>
  <si>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</si>
  <si>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</si>
  <si>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</si>
  <si>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</si>
  <si>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</si>
  <si>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</si>
  <si>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</si>
  <si>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</si>
  <si>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</si>
  <si>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</si>
  <si>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</si>
  <si>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</si>
  <si>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</si>
  <si>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</si>
  <si>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</si>
  <si>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</si>
  <si>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</si>
  <si>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</si>
  <si>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</si>
  <si>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</si>
  <si>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</si>
  <si>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</si>
  <si>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</si>
  <si>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</si>
  <si>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</si>
  <si>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</si>
  <si>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</si>
  <si>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</si>
  <si>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</si>
  <si>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</si>
  <si>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</si>
  <si>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</si>
  <si>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</si>
  <si>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</si>
  <si>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</si>
  <si>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</si>
  <si>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</si>
  <si>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</si>
  <si>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</si>
  <si>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</si>
  <si>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</si>
  <si>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</si>
  <si>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</si>
  <si>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</si>
  <si>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</si>
  <si>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</si>
  <si>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</si>
  <si>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</si>
  <si>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</si>
  <si>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</si>
  <si>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</si>
  <si>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</si>
  <si>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</si>
  <si>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</si>
  <si>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</si>
  <si>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</si>
  <si>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</si>
  <si>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</si>
  <si>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</si>
  <si>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</si>
  <si>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</si>
  <si>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</si>
  <si>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</si>
  <si>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</si>
  <si>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</si>
  <si>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</si>
  <si>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</si>
  <si>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</si>
  <si>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</si>
  <si>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</si>
  <si>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</si>
  <si>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</si>
  <si>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</si>
  <si>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</si>
  <si>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</si>
  <si>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</si>
  <si>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</si>
  <si>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</si>
  <si>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</si>
  <si>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</si>
  <si>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</si>
  <si>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</si>
  <si>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</si>
  <si>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</si>
  <si>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</si>
  <si>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</si>
  <si>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</si>
  <si>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</si>
  <si>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</si>
  <si>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</si>
  <si>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</si>
  <si>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</si>
  <si>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</si>
  <si>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</si>
  <si>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</si>
  <si>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</si>
  <si>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</si>
  <si>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</si>
  <si>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</si>
  <si>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</si>
  <si>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</si>
  <si>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</si>
  <si>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</si>
  <si>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</si>
  <si>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</si>
  <si>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</si>
  <si>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</si>
  <si>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</si>
  <si>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</si>
  <si>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</si>
  <si>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</si>
  <si>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</si>
  <si>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</si>
  <si>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</si>
  <si>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</si>
  <si>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</si>
  <si>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</si>
  <si>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</si>
  <si>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</si>
  <si>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</si>
  <si>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</si>
  <si>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</si>
  <si>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</si>
  <si>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</si>
  <si>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</si>
  <si>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</si>
  <si>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</si>
  <si>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</si>
  <si>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</si>
  <si>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</si>
  <si>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</si>
  <si>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</si>
  <si>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</si>
  <si>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</si>
  <si>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</si>
  <si>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</si>
  <si>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</si>
  <si>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</si>
  <si>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</si>
  <si>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</si>
  <si>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</si>
  <si>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</si>
  <si>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</si>
  <si>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</si>
  <si>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</si>
  <si>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</si>
  <si>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</si>
  <si>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</si>
  <si>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</si>
  <si>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</si>
  <si>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</si>
  <si>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</si>
  <si>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</si>
  <si>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</si>
  <si>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</si>
  <si>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</si>
  <si>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</si>
  <si>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</si>
  <si>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</si>
  <si>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</si>
  <si>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</si>
  <si>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</si>
  <si>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</si>
  <si>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</si>
  <si>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</si>
  <si>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</si>
  <si>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</si>
  <si>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</si>
  <si>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</si>
  <si>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</si>
  <si>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</si>
  <si>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</si>
  <si>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</si>
  <si>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</si>
  <si>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</si>
  <si>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</si>
  <si>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</si>
  <si>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</si>
  <si>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</si>
  <si>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</si>
  <si>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</si>
  <si>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</si>
  <si>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</si>
  <si>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</si>
  <si>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</si>
  <si>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</si>
  <si>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</si>
  <si>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</si>
  <si>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</si>
  <si>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</si>
  <si>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</si>
  <si>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</si>
  <si>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</si>
  <si>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</si>
  <si>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</si>
  <si>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</si>
  <si>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</si>
  <si>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</si>
  <si>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</si>
  <si>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</si>
  <si>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</si>
  <si>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</si>
  <si>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</si>
  <si>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</si>
  <si>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</si>
  <si>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</si>
  <si>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</si>
  <si>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</si>
  <si>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</si>
  <si>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</si>
  <si>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</si>
  <si>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</si>
  <si>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</si>
  <si>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</si>
  <si>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</si>
  <si>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</si>
  <si>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</si>
  <si>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</si>
  <si>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</si>
  <si>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</si>
  <si>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</si>
  <si>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</si>
  <si>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</si>
  <si>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</si>
  <si>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</si>
  <si>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</si>
  <si>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</si>
  <si>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</si>
  <si>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</si>
  <si>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</si>
  <si>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</si>
  <si>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</si>
  <si>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</si>
  <si>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</si>
  <si>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</si>
  <si>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</si>
  <si>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</si>
  <si>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</si>
  <si>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</si>
  <si>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</si>
  <si>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</si>
  <si>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</si>
  <si>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</si>
  <si>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</si>
  <si>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</si>
  <si>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</si>
  <si>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</si>
  <si>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</si>
  <si>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</si>
  <si>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</si>
  <si>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</si>
  <si>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</si>
  <si>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</si>
  <si>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</si>
  <si>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</si>
  <si>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</si>
  <si>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</si>
  <si>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</si>
  <si>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</si>
  <si>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</si>
  <si>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</si>
  <si>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</si>
  <si>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</si>
  <si>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</si>
  <si>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</si>
  <si>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</si>
  <si>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</si>
  <si>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</si>
  <si>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</si>
  <si>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</si>
  <si>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</si>
  <si>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</si>
  <si>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</si>
  <si>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</si>
  <si>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</si>
  <si>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</si>
  <si>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</si>
  <si>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</si>
  <si>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</si>
  <si>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</si>
  <si>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</si>
  <si>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</si>
  <si>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</si>
  <si>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</si>
  <si>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</si>
  <si>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</si>
  <si>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</si>
  <si>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</si>
  <si>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</si>
  <si>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</si>
  <si>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</si>
  <si>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</si>
  <si>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</si>
  <si>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</si>
  <si>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</si>
  <si>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</si>
  <si>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</si>
  <si>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</si>
  <si>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</si>
  <si>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</si>
  <si>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</si>
  <si>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</si>
  <si>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</si>
  <si>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</si>
  <si>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</si>
  <si>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</si>
  <si>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</si>
  <si>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</si>
  <si>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</si>
  <si>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</si>
  <si>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</si>
  <si>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</si>
  <si>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</si>
  <si>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</si>
  <si>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</si>
  <si>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</si>
  <si>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</si>
  <si>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</si>
  <si>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</si>
  <si>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</si>
  <si>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</si>
  <si>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</si>
  <si>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</si>
  <si>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</si>
  <si>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</si>
  <si>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</si>
  <si>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</si>
  <si>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</si>
  <si>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</si>
  <si>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</si>
  <si>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</si>
  <si>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</si>
  <si>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</si>
  <si>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</si>
  <si>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</si>
  <si>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</si>
  <si>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</si>
  <si>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</si>
  <si>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</si>
  <si>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</si>
  <si>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</si>
  <si>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</si>
  <si>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</si>
  <si>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</si>
  <si>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</si>
  <si>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</si>
  <si>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</si>
  <si>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</si>
  <si>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</si>
  <si>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</si>
  <si>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</si>
  <si>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</si>
  <si>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</si>
  <si>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</si>
  <si>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</si>
  <si>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</si>
  <si>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</si>
  <si>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</si>
  <si>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</si>
  <si>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</si>
  <si>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</si>
  <si>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</si>
  <si>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</si>
  <si>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</si>
  <si>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</si>
  <si>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</si>
  <si>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</si>
  <si>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</si>
  <si>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</si>
  <si>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</si>
  <si>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</si>
  <si>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</si>
  <si>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</si>
  <si>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</si>
  <si>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</si>
  <si>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</si>
  <si>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</si>
  <si>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</si>
  <si>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</si>
  <si>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</si>
  <si>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</si>
  <si>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</si>
  <si>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</si>
  <si>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</si>
  <si>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</si>
  <si>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</si>
  <si>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</si>
  <si>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</si>
  <si>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</si>
  <si>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</si>
  <si>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</si>
  <si>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</si>
  <si>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</si>
  <si>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</si>
  <si>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</si>
  <si>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</si>
  <si>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</si>
  <si>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</si>
  <si>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</si>
  <si>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</si>
  <si>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</si>
  <si>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</si>
  <si>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</si>
  <si>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</si>
  <si>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</si>
  <si>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</si>
  <si>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</si>
  <si>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</si>
  <si>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</si>
  <si>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</si>
  <si>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</si>
  <si>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</si>
  <si>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</si>
  <si>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</si>
  <si>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</si>
  <si>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</si>
  <si>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</si>
  <si>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</si>
  <si>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</si>
  <si>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</si>
  <si>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</si>
  <si>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</si>
  <si>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</si>
  <si>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</si>
  <si>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</si>
  <si>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</si>
  <si>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</si>
  <si>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</si>
  <si>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</si>
  <si>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</si>
  <si>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</si>
  <si>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</si>
  <si>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</si>
  <si>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</si>
  <si>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</si>
  <si>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</si>
  <si>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</si>
  <si>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</si>
  <si>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</si>
  <si>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</si>
  <si>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</si>
  <si>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</si>
  <si>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</si>
  <si>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</si>
  <si>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</si>
  <si>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</si>
  <si>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</si>
  <si>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</si>
  <si>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</si>
  <si>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</si>
  <si>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</si>
  <si>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</si>
  <si>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</si>
  <si>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</si>
  <si>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</si>
  <si>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</si>
  <si>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</si>
  <si>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</si>
  <si>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</si>
  <si>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</si>
  <si>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</si>
  <si>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</si>
  <si>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</si>
  <si>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</si>
  <si>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</si>
  <si>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</si>
  <si>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</si>
  <si>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</si>
  <si>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</si>
  <si>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</si>
  <si>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</si>
  <si>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</si>
  <si>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</si>
  <si>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</si>
  <si>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</si>
  <si>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</si>
  <si>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</si>
  <si>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</si>
  <si>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</si>
  <si>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</si>
  <si>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</si>
  <si>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</si>
  <si>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</si>
  <si>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</si>
  <si>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</si>
  <si>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</si>
  <si>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</si>
  <si>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</si>
  <si>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</si>
  <si>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</si>
  <si>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</si>
  <si>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</si>
  <si>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</si>
  <si>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</si>
  <si>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</si>
  <si>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</si>
  <si>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</si>
  <si>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</si>
  <si>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</si>
  <si>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</si>
  <si>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</si>
  <si>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</si>
  <si>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</si>
  <si>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</si>
  <si>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</si>
  <si>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</si>
  <si>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</si>
  <si>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</si>
  <si>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</si>
  <si>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</si>
  <si>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</si>
  <si>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</si>
  <si>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</si>
  <si>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</si>
  <si>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</si>
  <si>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</si>
  <si>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</si>
  <si>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</si>
  <si>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</si>
  <si>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</si>
  <si>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</si>
  <si>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</si>
  <si>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</si>
  <si>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</si>
  <si>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</si>
  <si>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</si>
  <si>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</si>
  <si>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</si>
  <si>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</si>
  <si>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</si>
  <si>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</si>
  <si>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</si>
  <si>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</si>
  <si>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</si>
  <si>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</si>
  <si>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</si>
  <si>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</si>
  <si>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</si>
  <si>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</si>
  <si>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</si>
  <si>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</si>
  <si>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</si>
  <si>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</si>
  <si>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</si>
  <si>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</si>
  <si>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</si>
  <si>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</si>
  <si>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</si>
  <si>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</si>
  <si>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</si>
  <si>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</si>
  <si>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</si>
  <si>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</si>
  <si>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</si>
  <si>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</si>
  <si>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</si>
  <si>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</si>
  <si>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</si>
  <si>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</si>
  <si>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</si>
  <si>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</si>
  <si>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</si>
  <si>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</si>
  <si>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</si>
  <si>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</si>
  <si>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</si>
  <si>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</si>
  <si>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</si>
  <si>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</si>
  <si>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</si>
  <si>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</si>
  <si>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</si>
  <si>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</si>
  <si>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</si>
  <si>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</si>
  <si>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</si>
  <si>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</si>
  <si>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</si>
  <si>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</si>
  <si>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</si>
  <si>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</si>
  <si>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</si>
  <si>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</si>
  <si>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</si>
  <si>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</si>
  <si>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</si>
  <si>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</si>
  <si>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</si>
  <si>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</si>
  <si>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</si>
  <si>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</si>
  <si>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</si>
  <si>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</si>
  <si>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</si>
  <si>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</si>
  <si>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</si>
  <si>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</si>
  <si>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</si>
  <si>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</si>
  <si>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</si>
  <si>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</si>
  <si>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</si>
  <si>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</si>
  <si>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</si>
  <si>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</si>
  <si>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</si>
  <si>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</si>
  <si>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</si>
  <si>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</si>
  <si>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</si>
  <si>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</si>
  <si>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</si>
  <si>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</si>
  <si>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</si>
  <si>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</si>
  <si>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</si>
  <si>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</si>
  <si>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</si>
  <si>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</si>
  <si>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</si>
  <si>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</si>
  <si>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</si>
  <si>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</si>
  <si>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</si>
  <si>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</si>
  <si>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</si>
  <si>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</si>
  <si>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</si>
  <si>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</si>
  <si>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</si>
  <si>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</si>
  <si>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</si>
  <si>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</si>
  <si>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</si>
  <si>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</si>
  <si>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</si>
  <si>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</si>
  <si>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</si>
  <si>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</si>
  <si>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</si>
  <si>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</si>
  <si>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</si>
  <si>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</si>
  <si>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</si>
  <si>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</si>
  <si>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</si>
  <si>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</si>
  <si>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</si>
  <si>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</si>
  <si>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</si>
  <si>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</si>
  <si>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</si>
  <si>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</si>
  <si>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</si>
  <si>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</si>
  <si>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</si>
  <si>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</si>
  <si>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</si>
  <si>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</si>
  <si>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</si>
  <si>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</si>
  <si>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</si>
  <si>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</si>
  <si>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</si>
  <si>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</si>
  <si>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</si>
  <si>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</si>
  <si>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</si>
  <si>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</si>
  <si>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</si>
  <si>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</si>
  <si>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</si>
  <si>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</si>
  <si>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</si>
  <si>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</si>
  <si>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</si>
  <si>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</si>
  <si>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</si>
  <si>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</si>
  <si>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</si>
  <si>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</si>
  <si>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</si>
  <si>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</si>
  <si>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</si>
  <si>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</si>
  <si>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</si>
  <si>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</si>
  <si>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</si>
  <si>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</si>
  <si>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</si>
  <si>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</si>
  <si>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</si>
  <si>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</si>
  <si>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</si>
  <si>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</si>
  <si>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</si>
  <si>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</si>
  <si>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</si>
  <si>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</si>
  <si>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</si>
  <si>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</si>
  <si>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</si>
  <si>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</si>
  <si>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</si>
  <si>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</si>
  <si>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</si>
  <si>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</si>
  <si>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</si>
  <si>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</si>
  <si>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</si>
  <si>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</si>
  <si>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</si>
  <si>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</si>
  <si>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</si>
  <si>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</si>
  <si>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</si>
  <si>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</si>
  <si>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</si>
  <si>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</si>
  <si>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</si>
  <si>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</si>
  <si>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</si>
  <si>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</si>
  <si>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</si>
  <si>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</si>
  <si>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</si>
  <si>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</si>
  <si>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</si>
  <si>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</si>
  <si>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</si>
  <si>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</si>
  <si>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</si>
  <si>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</si>
  <si>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</si>
  <si>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</si>
  <si>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</si>
  <si>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</si>
  <si>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</si>
  <si>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</si>
  <si>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</si>
  <si>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</si>
  <si>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</si>
  <si>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</si>
  <si>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</si>
  <si>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</si>
  <si>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</si>
  <si>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</si>
  <si>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</si>
  <si>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</si>
  <si>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</si>
  <si>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</si>
  <si>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</si>
  <si>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</si>
  <si>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</si>
  <si>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</si>
  <si>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</si>
  <si>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</si>
  <si>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</si>
  <si>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</si>
  <si>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</si>
  <si>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</si>
  <si>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</si>
  <si>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</si>
  <si>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</si>
  <si>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</si>
  <si>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</si>
  <si>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</si>
  <si>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</si>
  <si>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</si>
  <si>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</si>
  <si>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</si>
  <si>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</si>
  <si>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</si>
  <si>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</si>
  <si>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</si>
  <si>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</si>
  <si>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</si>
  <si>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</si>
  <si>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</si>
  <si>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</si>
  <si>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</si>
  <si>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</si>
  <si>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</si>
  <si>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</si>
  <si>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</si>
  <si>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</si>
  <si>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</si>
  <si>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</si>
  <si>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</si>
  <si>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</si>
  <si>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</si>
  <si>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</si>
  <si>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</si>
  <si>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</si>
  <si>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</si>
  <si>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</si>
  <si>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</si>
  <si>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</si>
  <si>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</si>
  <si>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</si>
  <si>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</si>
  <si>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</si>
  <si>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</si>
  <si>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</si>
  <si>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</si>
  <si>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</si>
  <si>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</si>
  <si>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</si>
  <si>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</si>
  <si>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</si>
  <si>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</si>
  <si>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</si>
  <si>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</si>
  <si>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</si>
  <si>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</si>
  <si>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</si>
  <si>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</si>
  <si>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</si>
  <si>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</si>
  <si>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</si>
  <si>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</si>
  <si>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</si>
  <si>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</si>
  <si>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</si>
  <si>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</si>
  <si>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</si>
  <si>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</si>
  <si>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</si>
  <si>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</si>
  <si>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</si>
  <si>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</si>
  <si>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</si>
  <si>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</si>
  <si>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</si>
  <si>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</si>
  <si>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</si>
  <si>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</si>
  <si>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</si>
  <si>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</si>
  <si>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</si>
  <si>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</si>
  <si>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</si>
  <si>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</si>
  <si>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</si>
  <si>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</si>
  <si>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</si>
  <si>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</si>
  <si>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</si>
  <si>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</si>
  <si>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</si>
  <si>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</si>
  <si>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</si>
  <si>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</si>
  <si>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</si>
  <si>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</si>
  <si>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</si>
  <si>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</si>
  <si>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</si>
  <si>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</si>
  <si>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</si>
  <si>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</si>
  <si>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</si>
  <si>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</si>
  <si>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</si>
  <si>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</si>
  <si>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</si>
  <si>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</si>
  <si>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</si>
  <si>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</si>
  <si>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</si>
  <si>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</si>
  <si>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</si>
  <si>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</si>
  <si>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</si>
  <si>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</si>
  <si>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</si>
  <si>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</si>
  <si>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</si>
  <si>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</si>
  <si>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</si>
  <si>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</si>
  <si>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</si>
  <si>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</si>
  <si>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</si>
  <si>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</si>
  <si>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</si>
  <si>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</si>
  <si>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</si>
  <si>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</si>
  <si>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</si>
  <si>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</si>
  <si>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</si>
  <si>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</si>
  <si>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</si>
  <si>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</si>
  <si>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</si>
  <si>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</si>
  <si>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</si>
  <si>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</si>
  <si>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</si>
  <si>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</si>
  <si>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</si>
  <si>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</si>
  <si>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</si>
  <si>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</si>
  <si>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</si>
  <si>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</si>
  <si>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</si>
  <si>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</si>
  <si>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</si>
  <si>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</si>
  <si>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</si>
  <si>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</si>
  <si>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</si>
  <si>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</si>
  <si>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</si>
  <si>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</si>
  <si>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</si>
  <si>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</si>
  <si>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</si>
  <si>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</si>
  <si>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</si>
  <si>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</si>
  <si>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</si>
  <si>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</si>
  <si>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</si>
  <si>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</si>
  <si>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</si>
  <si>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</si>
  <si>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</si>
  <si>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</si>
  <si>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</si>
  <si>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</si>
  <si>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</si>
  <si>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</si>
  <si>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</si>
  <si>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</si>
  <si>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</si>
  <si>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</si>
  <si>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</si>
  <si>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</si>
  <si>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</si>
  <si>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</si>
  <si>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</si>
  <si>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</si>
  <si>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</si>
  <si>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</si>
  <si>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</si>
  <si>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</si>
  <si>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</si>
  <si>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</si>
  <si>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</si>
  <si>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</si>
  <si>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</si>
  <si>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</si>
  <si>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</si>
  <si>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</si>
  <si>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</si>
  <si>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</si>
  <si>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</si>
  <si>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</si>
  <si>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</si>
  <si>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</si>
  <si>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</si>
  <si>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</si>
  <si>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</si>
  <si>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</si>
  <si>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</si>
  <si>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</si>
  <si>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</si>
  <si>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</si>
  <si>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</si>
  <si>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</si>
  <si>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</si>
  <si>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</si>
  <si>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</si>
  <si>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</si>
  <si>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</si>
  <si>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</si>
  <si>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</si>
  <si>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</si>
  <si>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</si>
  <si>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</si>
  <si>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</si>
  <si>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</si>
  <si>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</si>
  <si>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</si>
  <si>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</si>
  <si>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</si>
  <si>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</si>
  <si>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</si>
  <si>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</si>
  <si>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</si>
  <si>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</si>
  <si>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</si>
  <si>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</si>
  <si>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</si>
  <si>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</si>
  <si>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</si>
  <si>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</si>
  <si>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</si>
  <si>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</si>
  <si>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</si>
  <si>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</si>
  <si>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</si>
  <si>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</si>
  <si>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</si>
  <si>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</si>
  <si>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</si>
  <si>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</si>
  <si>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</si>
  <si>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</si>
  <si>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</si>
  <si>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</si>
  <si>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</si>
  <si>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</si>
  <si>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</si>
  <si>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</si>
  <si>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</si>
  <si>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</si>
  <si>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</si>
  <si>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</si>
  <si>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</si>
  <si>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</si>
  <si>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</si>
  <si>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</si>
  <si>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</si>
  <si>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</si>
  <si>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</si>
  <si>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</si>
  <si>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</si>
  <si>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</si>
  <si>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</si>
  <si>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</si>
  <si>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</si>
  <si>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</si>
  <si>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</si>
  <si>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</si>
  <si>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</si>
  <si>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</si>
  <si>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</si>
  <si>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</si>
  <si>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</si>
  <si>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</si>
  <si>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</si>
  <si>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</si>
  <si>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</si>
  <si>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</si>
  <si>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</si>
  <si>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</si>
  <si>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</si>
  <si>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</si>
  <si>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</si>
  <si>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</si>
  <si>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</si>
  <si>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</si>
  <si>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</si>
  <si>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</si>
  <si>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</si>
  <si>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</si>
  <si>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</si>
  <si>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</si>
  <si>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</si>
  <si>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</si>
  <si>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</si>
  <si>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</si>
  <si>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</si>
  <si>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</si>
  <si>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</si>
  <si>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</si>
  <si>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</si>
  <si>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</si>
  <si>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</si>
  <si>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</si>
  <si>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</si>
  <si>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</si>
  <si>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</si>
  <si>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</si>
  <si>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</si>
  <si>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</si>
  <si>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</si>
  <si>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</si>
  <si>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</si>
  <si>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</si>
  <si>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</si>
  <si>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</si>
  <si>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</si>
  <si>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</si>
  <si>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</si>
  <si>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</si>
  <si>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</si>
  <si>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</si>
  <si>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</si>
  <si>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</si>
  <si>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</si>
  <si>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</si>
  <si>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</si>
  <si>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</si>
  <si>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</si>
  <si>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</si>
  <si>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</si>
  <si>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</si>
  <si>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</si>
  <si>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</si>
  <si>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</si>
  <si>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</si>
  <si>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</si>
  <si>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</si>
  <si>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</si>
  <si>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</si>
  <si>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</si>
  <si>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</si>
  <si>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</si>
  <si>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</si>
  <si>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</si>
  <si>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</si>
  <si>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</si>
  <si>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</si>
  <si>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</si>
  <si>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</si>
  <si>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</si>
  <si>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</si>
  <si>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</si>
  <si>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</si>
  <si>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</si>
  <si>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</si>
  <si>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</si>
  <si>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</si>
  <si>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</si>
  <si>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</si>
  <si>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</si>
  <si>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</si>
  <si>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</si>
  <si>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</si>
  <si>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</si>
  <si>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</si>
  <si>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</si>
  <si>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</si>
  <si>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</si>
  <si>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</si>
  <si>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</si>
  <si>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</si>
  <si>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</si>
  <si>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</si>
  <si>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</si>
  <si>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</si>
  <si>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</si>
  <si>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</si>
  <si>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</si>
  <si>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</si>
  <si>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</si>
  <si>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</si>
  <si>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</si>
  <si>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</si>
  <si>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</si>
  <si>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</si>
  <si>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</si>
  <si>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</si>
  <si>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</si>
  <si>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</si>
  <si>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</si>
  <si>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</si>
  <si>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</si>
  <si>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</si>
  <si>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</si>
  <si>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</si>
  <si>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</si>
  <si>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</si>
  <si>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</si>
  <si>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</si>
  <si>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</si>
  <si>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</si>
  <si>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</si>
  <si>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</si>
  <si>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</si>
  <si>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</si>
  <si>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</si>
  <si>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</si>
  <si>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</si>
  <si>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</si>
  <si>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</si>
  <si>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</si>
  <si>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</si>
  <si>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</si>
  <si>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</si>
  <si>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</si>
  <si>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</si>
  <si>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</si>
  <si>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</si>
  <si>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</si>
  <si>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</si>
  <si>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</si>
  <si>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</si>
  <si>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</si>
  <si>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</si>
  <si>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</si>
  <si>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</si>
  <si>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</si>
  <si>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</si>
  <si>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</si>
  <si>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</si>
  <si>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</si>
  <si>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</si>
  <si>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</si>
  <si>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</si>
  <si>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</si>
  <si>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</si>
  <si>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</si>
  <si>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</si>
  <si>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</si>
  <si>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</si>
  <si>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</si>
  <si>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</si>
  <si>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</si>
  <si>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</si>
  <si>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</si>
  <si>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</si>
  <si>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</si>
  <si>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</si>
  <si>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</si>
  <si>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</si>
  <si>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</si>
  <si>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</si>
  <si>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</si>
  <si>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</si>
  <si>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</si>
  <si>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</si>
  <si>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</si>
  <si>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</si>
  <si>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</si>
  <si>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</si>
  <si>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</si>
  <si>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</si>
  <si>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</si>
  <si>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</si>
  <si>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</si>
  <si>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</si>
  <si>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</si>
  <si>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</si>
  <si>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</si>
  <si>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</si>
  <si>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</si>
  <si>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</si>
  <si>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</si>
  <si>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</si>
  <si>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</si>
  <si>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</si>
  <si>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</si>
  <si>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</si>
  <si>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</si>
  <si>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</si>
  <si>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</si>
  <si>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</si>
  <si>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</si>
  <si>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</si>
  <si>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</si>
  <si>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</si>
  <si>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</si>
  <si>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</si>
  <si>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</si>
  <si>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</si>
  <si>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</si>
  <si>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</si>
  <si>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</si>
  <si>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</si>
  <si>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</si>
  <si>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</si>
  <si>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</si>
  <si>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</si>
  <si>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</si>
  <si>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</si>
  <si>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</si>
  <si>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</si>
  <si>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</si>
  <si>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</si>
  <si>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</si>
  <si>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</si>
  <si>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</si>
  <si>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</si>
  <si>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</si>
  <si>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</si>
  <si>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</si>
  <si>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</si>
  <si>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</si>
  <si>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</si>
  <si>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</si>
  <si>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</si>
  <si>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</si>
  <si>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</si>
  <si>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</si>
  <si>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</si>
  <si>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</si>
  <si>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</si>
  <si>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</si>
  <si>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</si>
  <si>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</si>
  <si>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</si>
  <si>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</si>
  <si>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</si>
  <si>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</si>
  <si>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</si>
  <si>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</si>
  <si>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</si>
  <si>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</si>
  <si>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</si>
  <si>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</si>
  <si>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</si>
  <si>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</si>
  <si>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</si>
  <si>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</si>
  <si>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</si>
  <si>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</si>
  <si>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</si>
  <si>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</si>
  <si>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</si>
  <si>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</si>
  <si>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</si>
  <si>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</si>
  <si>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</si>
  <si>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</si>
  <si>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</si>
  <si>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</si>
  <si>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</si>
  <si>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</si>
  <si>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</si>
  <si>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</si>
  <si>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</si>
  <si>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</si>
  <si>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</si>
  <si>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</si>
  <si>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</si>
  <si>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</si>
  <si>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</si>
  <si>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</si>
  <si>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</si>
  <si>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</si>
  <si>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</si>
  <si>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</si>
  <si>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</si>
  <si>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</si>
  <si>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</si>
  <si>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</si>
  <si>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</si>
  <si>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</si>
  <si>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</si>
  <si>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</si>
  <si>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</si>
  <si>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</si>
  <si>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</si>
  <si>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</si>
  <si>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</si>
  <si>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</si>
  <si>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</si>
  <si>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</si>
  <si>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</si>
  <si>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</si>
  <si>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</si>
  <si>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</si>
  <si>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</si>
  <si>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</si>
  <si>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</si>
  <si>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</si>
  <si>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</si>
  <si>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</si>
  <si>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</si>
  <si>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</si>
  <si>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</si>
  <si>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</si>
  <si>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</si>
  <si>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</si>
  <si>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</si>
  <si>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</si>
  <si>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</si>
  <si>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</si>
  <si>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</si>
  <si>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</si>
  <si>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</si>
  <si>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</si>
  <si>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</si>
  <si>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</si>
  <si>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</si>
  <si>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</si>
  <si>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</si>
  <si>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</si>
  <si>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</si>
  <si>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</si>
  <si>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</si>
  <si>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</si>
  <si>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</si>
  <si>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</si>
  <si>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</si>
  <si>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</si>
  <si>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</si>
  <si>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</si>
  <si>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</si>
  <si>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</si>
  <si>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</si>
  <si>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</si>
  <si>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</si>
  <si>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</si>
  <si>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</si>
  <si>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</si>
  <si>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</si>
  <si>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</si>
  <si>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</si>
  <si>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</si>
  <si>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</si>
  <si>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</si>
  <si>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</si>
  <si>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</si>
  <si>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</si>
  <si>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</si>
  <si>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</si>
  <si>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</si>
  <si>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</si>
  <si>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</si>
  <si>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</si>
  <si>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</si>
  <si>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</si>
  <si>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</si>
  <si>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</si>
  <si>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</si>
  <si>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</si>
  <si>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</si>
  <si>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</si>
  <si>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</si>
  <si>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</si>
  <si>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</si>
  <si>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</si>
  <si>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</si>
  <si>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</si>
  <si>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</si>
  <si>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</si>
  <si>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</si>
  <si>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</si>
  <si>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</si>
  <si>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</si>
  <si>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</si>
  <si>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</si>
  <si>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</si>
  <si>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</si>
  <si>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</si>
  <si>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</si>
  <si>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</si>
  <si>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</si>
  <si>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</si>
  <si>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</si>
  <si>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</si>
  <si>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</si>
  <si>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</si>
  <si>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</si>
  <si>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</si>
  <si>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</si>
  <si>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</si>
  <si>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</si>
  <si>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</si>
  <si>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</si>
  <si>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</si>
  <si>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</si>
  <si>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</si>
  <si>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</si>
  <si>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</si>
  <si>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</si>
  <si>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</si>
  <si>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</si>
  <si>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</si>
  <si>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</si>
  <si>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</si>
  <si>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</si>
  <si>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</si>
  <si>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</si>
  <si>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</si>
  <si>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</si>
  <si>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</si>
  <si>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</si>
  <si>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</si>
  <si>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</si>
  <si>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</si>
  <si>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</si>
  <si>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</si>
  <si>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</si>
  <si>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</si>
  <si>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</si>
  <si>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</si>
  <si>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</si>
  <si>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</si>
  <si>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</si>
  <si>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</si>
  <si>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</si>
  <si>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</si>
  <si>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</si>
  <si>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</si>
  <si>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</si>
  <si>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</si>
  <si>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</si>
  <si>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</si>
  <si>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</si>
  <si>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</si>
  <si>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</si>
  <si>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</si>
  <si>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</si>
  <si>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</si>
  <si>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</si>
  <si>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</si>
  <si>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</si>
  <si>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</si>
  <si>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</si>
  <si>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</si>
  <si>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</si>
  <si>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</si>
  <si>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</si>
  <si>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</si>
  <si>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</si>
  <si>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</si>
  <si>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</si>
  <si>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</si>
  <si>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</si>
  <si>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</si>
  <si>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</si>
  <si>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</si>
  <si>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</si>
  <si>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</si>
  <si>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</si>
  <si>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</si>
  <si>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</si>
  <si>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</si>
  <si>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</si>
  <si>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</si>
  <si>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</si>
  <si>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</si>
  <si>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</si>
  <si>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</si>
  <si>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</si>
  <si>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</si>
  <si>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</si>
  <si>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</si>
  <si>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</si>
  <si>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</si>
  <si>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</si>
  <si>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</si>
  <si>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</si>
  <si>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</si>
  <si>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</si>
  <si>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</si>
  <si>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</si>
  <si>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</si>
  <si>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</si>
  <si>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</si>
  <si>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</si>
  <si>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</si>
  <si>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</si>
  <si>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</si>
  <si>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</si>
  <si>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</si>
  <si>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</si>
  <si>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</si>
  <si>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</si>
  <si>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</si>
  <si>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</si>
  <si>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</si>
  <si>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</si>
  <si>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</si>
  <si>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</si>
  <si>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</si>
  <si>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</si>
  <si>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</si>
  <si>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</si>
  <si>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</si>
  <si>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</si>
  <si>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</si>
  <si>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</si>
  <si>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</si>
  <si>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</si>
  <si>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</si>
  <si>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</si>
  <si>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</si>
  <si>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</si>
  <si>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</si>
  <si>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</si>
  <si>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</si>
  <si>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</si>
  <si>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</si>
  <si>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</si>
  <si>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</si>
  <si>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</si>
  <si>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</si>
  <si>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</si>
  <si>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</si>
  <si>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</si>
  <si>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</si>
  <si>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</si>
  <si>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</si>
  <si>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</si>
  <si>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</si>
  <si>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</si>
  <si>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</si>
  <si>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</si>
  <si>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</si>
  <si>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</si>
  <si>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</si>
  <si>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</si>
  <si>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</si>
  <si>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</si>
  <si>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</si>
  <si>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</si>
  <si>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</si>
  <si>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</si>
  <si>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</si>
  <si>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</si>
  <si>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</si>
  <si>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</si>
  <si>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</si>
  <si>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</si>
  <si>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</si>
  <si>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</si>
  <si>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</si>
  <si>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</si>
  <si>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</si>
  <si>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</si>
  <si>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</si>
  <si>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</si>
  <si>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</si>
  <si>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</si>
  <si>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</si>
  <si>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</si>
  <si>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</si>
  <si>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</si>
  <si>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</si>
  <si>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</si>
  <si>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</si>
  <si>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</si>
  <si>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</si>
  <si>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</si>
  <si>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</si>
  <si>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</si>
  <si>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</si>
  <si>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</si>
  <si>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</si>
  <si>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</si>
  <si>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</si>
  <si>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</si>
  <si>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</si>
  <si>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</si>
  <si>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</si>
  <si>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</si>
  <si>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</si>
  <si>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</si>
  <si>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</si>
  <si>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</si>
  <si>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</si>
  <si>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</si>
  <si>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</si>
  <si>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</si>
  <si>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</si>
  <si>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</si>
  <si>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</si>
  <si>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</si>
  <si>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</si>
  <si>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</si>
  <si>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</si>
  <si>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</si>
  <si>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</si>
  <si>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</si>
  <si>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</si>
  <si>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</si>
  <si>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</si>
  <si>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</si>
  <si>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</si>
  <si>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</si>
  <si>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</si>
  <si>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</si>
  <si>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</si>
  <si>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</si>
  <si>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</si>
  <si>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</si>
  <si>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</si>
  <si>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</si>
  <si>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</si>
  <si>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</si>
  <si>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</si>
  <si>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</si>
  <si>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</si>
  <si>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</si>
  <si>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</si>
  <si>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</si>
  <si>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</si>
  <si>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</si>
  <si>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</si>
  <si>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</si>
  <si>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</si>
  <si>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</si>
  <si>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</si>
  <si>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</si>
  <si>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</si>
  <si>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</si>
  <si>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</si>
  <si>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</si>
  <si>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</si>
  <si>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</si>
  <si>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</si>
  <si>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</si>
  <si>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</si>
  <si>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</si>
  <si>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</si>
  <si>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</si>
  <si>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</si>
  <si>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</si>
  <si>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</si>
  <si>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</si>
  <si>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</si>
  <si>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</si>
  <si>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</si>
  <si>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</si>
  <si>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</si>
  <si>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</si>
  <si>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</si>
  <si>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</si>
  <si>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</si>
  <si>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</si>
  <si>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</si>
  <si>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</si>
  <si>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</si>
  <si>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</si>
  <si>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</si>
  <si>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</si>
  <si>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</si>
  <si>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</si>
  <si>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</si>
  <si>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</si>
  <si>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</si>
  <si>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</si>
  <si>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</si>
  <si>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</si>
  <si>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</si>
  <si>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</si>
  <si>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</si>
  <si>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</si>
  <si>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</si>
  <si>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</si>
  <si>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</si>
  <si>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</si>
  <si>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</si>
  <si>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</si>
  <si>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</si>
  <si>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</si>
  <si>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</si>
  <si>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</si>
  <si>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</si>
  <si>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</si>
  <si>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</si>
  <si>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</si>
  <si>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</si>
  <si>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</si>
  <si>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</si>
  <si>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</si>
  <si>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</si>
  <si>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</si>
  <si>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</si>
  <si>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</si>
  <si>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</si>
  <si>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</si>
  <si>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</si>
  <si>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</si>
  <si>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</si>
  <si>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</si>
  <si>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</si>
  <si>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</si>
  <si>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</si>
  <si>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</si>
  <si>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</si>
  <si>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</si>
  <si>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</si>
  <si>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</si>
  <si>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</si>
  <si>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</si>
  <si>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</si>
  <si>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</si>
  <si>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</si>
  <si>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</si>
  <si>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</si>
  <si>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</si>
  <si>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</si>
  <si>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</si>
  <si>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</si>
  <si>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</si>
  <si>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</si>
  <si>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</si>
  <si>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</si>
  <si>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</si>
  <si>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</si>
  <si>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</si>
  <si>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</si>
  <si>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</si>
  <si>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</si>
  <si>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</si>
  <si>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</si>
  <si>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</si>
  <si>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</si>
  <si>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</si>
  <si>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</si>
  <si>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</si>
  <si>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</si>
  <si>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</si>
  <si>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</si>
  <si>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</si>
  <si>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</si>
  <si>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</si>
  <si>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</si>
  <si>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</si>
  <si>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</si>
  <si>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</si>
  <si>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</si>
  <si>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</si>
  <si>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</si>
  <si>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</si>
  <si>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</si>
  <si>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</si>
  <si>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</si>
  <si>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</si>
  <si>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</si>
  <si>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</si>
  <si>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</si>
  <si>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</si>
  <si>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</si>
  <si>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</si>
  <si>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</si>
  <si>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</si>
  <si>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</si>
  <si>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</si>
  <si>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</si>
  <si>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</si>
  <si>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</si>
  <si>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</si>
  <si>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</si>
  <si>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</si>
  <si>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</si>
  <si>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</si>
  <si>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</si>
  <si>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</si>
  <si>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</si>
  <si>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</si>
  <si>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</si>
  <si>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</si>
  <si>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</si>
  <si>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</si>
  <si>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</si>
  <si>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</si>
  <si>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</si>
  <si>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</si>
  <si>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</si>
  <si>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</si>
  <si>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</si>
  <si>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</si>
  <si>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</si>
  <si>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</si>
  <si>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</si>
  <si>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</si>
  <si>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</si>
  <si>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</si>
  <si>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</si>
  <si>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</si>
  <si>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</si>
  <si>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</si>
  <si>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</si>
  <si>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</si>
  <si>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</si>
  <si>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</si>
  <si>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</si>
  <si>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</si>
  <si>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</si>
  <si>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</si>
  <si>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</si>
  <si>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</si>
  <si>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</si>
  <si>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</si>
  <si>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</si>
  <si>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</si>
  <si>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</si>
  <si>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</si>
  <si>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</si>
  <si>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</si>
  <si>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</si>
  <si>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</si>
  <si>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</si>
  <si>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</si>
  <si>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</si>
  <si>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</si>
  <si>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</si>
  <si>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</si>
  <si>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</si>
  <si>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</si>
  <si>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</si>
  <si>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</si>
  <si>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</si>
  <si>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</si>
  <si>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</si>
  <si>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</si>
  <si>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</si>
  <si>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</si>
  <si>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</si>
  <si>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</si>
  <si>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</si>
  <si>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</si>
  <si>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</si>
  <si>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</si>
  <si>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</si>
  <si>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</si>
  <si>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</si>
  <si>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</si>
  <si>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</si>
  <si>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</si>
  <si>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</si>
  <si>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</si>
  <si>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</si>
  <si>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</si>
  <si>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</si>
  <si>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</si>
  <si>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</si>
  <si>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</si>
  <si>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</si>
  <si>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</si>
  <si>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</si>
  <si>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</si>
  <si>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</si>
  <si>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</si>
  <si>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</si>
  <si>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</si>
  <si>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</si>
  <si>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</si>
  <si>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</si>
  <si>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</si>
  <si>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</si>
  <si>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</si>
  <si>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</si>
  <si>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</si>
  <si>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</si>
  <si>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</si>
  <si>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</si>
  <si>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</si>
  <si>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</si>
  <si>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</si>
  <si>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</si>
  <si>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</si>
  <si>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</si>
  <si>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</si>
  <si>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</si>
  <si>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</si>
  <si>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</si>
  <si>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</si>
  <si>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</si>
  <si>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</si>
  <si>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</si>
  <si>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</si>
  <si>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</si>
  <si>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</si>
  <si>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</si>
  <si>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</si>
  <si>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</si>
  <si>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</si>
  <si>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</si>
  <si>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</si>
  <si>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</si>
  <si>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</si>
  <si>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</si>
  <si>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</si>
  <si>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</si>
  <si>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</si>
  <si>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</si>
  <si>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</si>
  <si>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</si>
  <si>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</si>
  <si>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</si>
  <si>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</si>
  <si>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</si>
  <si>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</si>
  <si>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</si>
  <si>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</si>
  <si>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</si>
  <si>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</si>
  <si>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</si>
  <si>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</si>
  <si>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</si>
  <si>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</si>
  <si>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</si>
  <si>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</si>
  <si>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</si>
  <si>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</si>
  <si>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</si>
  <si>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</si>
  <si>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</si>
  <si>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</si>
  <si>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</si>
  <si>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</si>
  <si>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</si>
  <si>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</si>
  <si>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</si>
  <si>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</si>
  <si>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</si>
  <si>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</si>
  <si>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</si>
  <si>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</si>
  <si>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</si>
  <si>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</si>
  <si>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</si>
  <si>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</si>
  <si>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</si>
  <si>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</si>
  <si>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</si>
  <si>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</si>
  <si>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</si>
  <si>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</si>
  <si>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</si>
  <si>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</si>
  <si>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</si>
  <si>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</si>
  <si>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</si>
  <si>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</si>
  <si>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</si>
  <si>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</si>
  <si>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</si>
  <si>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</si>
  <si>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</si>
  <si>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</si>
  <si>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</si>
  <si>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</si>
  <si>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</si>
  <si>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</si>
  <si>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</si>
  <si>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</si>
  <si>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</si>
  <si>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</si>
  <si>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</si>
  <si>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</si>
  <si>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</si>
  <si>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</si>
  <si>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</si>
  <si>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</si>
  <si>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</si>
  <si>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</si>
  <si>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</si>
  <si>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</si>
  <si>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</si>
  <si>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</si>
  <si>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</si>
  <si>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</si>
  <si>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</si>
  <si>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</si>
  <si>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</si>
  <si>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</si>
  <si>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</si>
  <si>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</si>
  <si>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</si>
  <si>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</si>
  <si>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</si>
  <si>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</si>
  <si>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</si>
  <si>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</si>
  <si>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</si>
  <si>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</si>
  <si>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</si>
  <si>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</si>
  <si>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</si>
  <si>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</si>
  <si>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</si>
  <si>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</si>
  <si>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</si>
  <si>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</si>
  <si>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</si>
  <si>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</si>
  <si>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</si>
  <si>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</si>
  <si>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</si>
  <si>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</si>
  <si>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</si>
  <si>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</si>
  <si>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</si>
  <si>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</si>
  <si>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</si>
  <si>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</si>
  <si>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</si>
  <si>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</si>
  <si>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</si>
  <si>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</si>
  <si>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</si>
  <si>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</si>
  <si>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</si>
  <si>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</si>
  <si>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</si>
  <si>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</si>
  <si>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</si>
  <si>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</si>
  <si>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</si>
  <si>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</si>
  <si>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</si>
  <si>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</si>
  <si>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Ⅶ-门1</t>
  </si>
  <si>
    <t>地上</t>
  </si>
  <si>
    <t>住宅</t>
  </si>
  <si>
    <t>住宅</t>
    <phoneticPr fontId="7" type="noConversion"/>
  </si>
  <si>
    <t>是</t>
  </si>
  <si>
    <t>成新度</t>
  </si>
  <si>
    <t>收益法 (元)</t>
  </si>
  <si>
    <t>比较法-住宅</t>
  </si>
  <si>
    <t>单套模式</t>
  </si>
  <si>
    <t>正常</t>
  </si>
  <si>
    <t>住宅</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</si>
  <si>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</si>
  <si>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</si>
  <si>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</si>
  <si>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</si>
  <si>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</si>
  <si>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</si>
  <si>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</si>
  <si>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</si>
  <si>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</si>
  <si>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</si>
  <si>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</si>
  <si>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</si>
  <si>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</si>
  <si>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</si>
  <si>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</si>
  <si>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</si>
  <si>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</si>
  <si>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</si>
  <si>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</si>
  <si>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</si>
  <si>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</si>
  <si>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</si>
  <si>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</si>
  <si>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</si>
  <si>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</si>
  <si>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</si>
  <si>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</si>
  <si>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</si>
  <si>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</si>
  <si>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</si>
  <si>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</si>
  <si>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</si>
  <si>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</si>
  <si>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</si>
  <si>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</si>
  <si>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</si>
  <si>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</si>
  <si>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</si>
  <si>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</si>
  <si>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</si>
  <si>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</si>
  <si>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</si>
  <si>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</si>
  <si>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</si>
  <si>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</si>
  <si>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</si>
  <si>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</si>
  <si>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</si>
  <si>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</si>
  <si>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</si>
  <si>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</si>
  <si>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</si>
  <si>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</si>
  <si>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</si>
  <si>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</si>
  <si>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</si>
  <si>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</si>
  <si>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</si>
  <si>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</si>
  <si>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</si>
  <si>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</si>
  <si>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</si>
  <si>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</si>
  <si>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</si>
  <si>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</si>
  <si>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</si>
  <si>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</si>
  <si>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</si>
  <si>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</si>
  <si>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</si>
  <si>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</si>
  <si>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</si>
  <si>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</si>
  <si>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</si>
  <si>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</si>
  <si>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</si>
  <si>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</si>
  <si>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</si>
  <si>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</si>
  <si>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</si>
  <si>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</si>
  <si>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</si>
  <si>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</si>
  <si>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</si>
  <si>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</si>
  <si>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</si>
  <si>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</si>
  <si>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</si>
  <si>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</si>
  <si>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</si>
  <si>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</si>
  <si>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</si>
  <si>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</si>
  <si>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</si>
  <si>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</si>
  <si>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</si>
  <si>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</si>
  <si>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</si>
  <si>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</si>
  <si>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</si>
  <si>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</si>
  <si>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</si>
  <si>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</si>
  <si>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</si>
  <si>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</si>
  <si>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</si>
  <si>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</si>
  <si>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</si>
  <si>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</si>
  <si>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</si>
  <si>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</si>
  <si>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</si>
  <si>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</si>
  <si>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</si>
  <si>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</si>
  <si>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</si>
  <si>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</si>
  <si>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</si>
  <si>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</si>
  <si>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</si>
  <si>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</si>
  <si>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</si>
  <si>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</si>
  <si>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</si>
  <si>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</si>
  <si>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</si>
  <si>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</si>
  <si>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</si>
  <si>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</si>
  <si>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</si>
  <si>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</si>
  <si>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</si>
  <si>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</si>
  <si>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</si>
  <si>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</si>
  <si>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</si>
  <si>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</si>
  <si>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</si>
  <si>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</si>
  <si>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</si>
  <si>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</si>
  <si>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</si>
  <si>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</si>
  <si>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</si>
  <si>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</si>
  <si>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</si>
  <si>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</si>
  <si>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</si>
  <si>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</si>
  <si>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</si>
  <si>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</si>
  <si>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</si>
  <si>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</si>
  <si>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</si>
  <si>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</si>
  <si>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</si>
  <si>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</si>
  <si>
    <t>企业</t>
  </si>
  <si>
    <t>时间</t>
    <phoneticPr fontId="134" type="noConversion"/>
  </si>
  <si>
    <t>面积</t>
    <phoneticPr fontId="134" type="noConversion"/>
  </si>
  <si>
    <t>月租</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</si>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</sst>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3" fillId="0" borderId="0" xfId="20">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272" fillId="0" borderId="0" xfId="19"/>
    <xf numFmtId="14" fontId="272" fillId="0" borderId="0" xfId="19" applyNumberFormat="1"/>
    <xf numFmtId="0" fontId="113" fillId="5" borderId="1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2" fillId="0" borderId="0" xfId="19" applyAlignment="1">
      <alignment horizontal="center" vertical="center"/>
    </xf>
    <xf numFmtId="14" fontId="272" fillId="0" borderId="0" xfId="19" applyNumberFormat="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a:extLst>
            <a:ext uri="{FF2B5EF4-FFF2-40B4-BE49-F238E27FC236}">
              <a16:creationId xmlns:a16="http://schemas.microsoft.com/office/drawing/2014/main" xmlns="" id="{00000000-0008-0000-1500-00000A000000}"/>
            </a:ext>
          </a:extLst>
        </xdr:cNvPr>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twoCellAnchor editAs="oneCell">
    <xdr:from>
      <xdr:col>0</xdr:col>
      <xdr:colOff>0</xdr:colOff>
      <xdr:row>137</xdr:row>
      <xdr:rowOff>0</xdr:rowOff>
    </xdr:from>
    <xdr:to>
      <xdr:col>8</xdr:col>
      <xdr:colOff>373119</xdr:colOff>
      <xdr:row>160</xdr:row>
      <xdr:rowOff>113760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054560"/>
          <a:ext cx="7337799" cy="43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估价对象为北京市房地产，为所有。根据《国有土地使用证》[]，估价对象（分摊）出让国有建设用地使用权面积为0平方米，建筑面积为215.28平方米。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估价对象为北京市房地产,属开发建设的，该项目尚在开发建设中。根据《国有土地使用证》[]，估价对象（分摊）出让国有建设用地使用权面积为0平方米，规划建筑面积为215.28平方米。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2025年2月21日（评估专业人员实地查勘之日）</v>
      </c>
    </row>
    <row r="13" spans="1:2">
      <c r="A13" s="1119" t="s">
        <v>529</v>
      </c>
      <c r="B13" s="1120"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215.28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9" t="s">
        <v>2579</v>
      </c>
      <c r="J2" s="3209"/>
      <c r="K2" s="3209"/>
      <c r="L2" s="3209"/>
      <c r="M2" s="3209"/>
      <c r="N2" s="3209"/>
      <c r="O2" s="3209"/>
      <c r="P2" s="3209"/>
      <c r="Q2" s="3209"/>
      <c r="R2" s="3209"/>
    </row>
    <row r="3" spans="1:18">
      <c r="A3" s="2762" t="s">
        <v>2500</v>
      </c>
      <c r="B3" s="2763">
        <f>项目基本情况!D3</f>
        <v>45709</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1.82</v>
      </c>
      <c r="D5" s="2767">
        <f>IF(ISERROR(ROUND(POWER(1+E5,A5-C5)*(POWER(1+E5,C5)-1)/(POWER(1+E5,A5)-1),3)),0,ROUND(POWER(1+E5,A5-C5)*(POWER(1+E5,C5)-1)/(POWER(1+E5,A5)-1),4))</f>
        <v>8.6999999999999994E-2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31.84</v>
      </c>
      <c r="D7" s="2767">
        <f>IF(ISERROR(ROUND(POWER(1+E7,A7-C7)*(POWER(1+E7,C7)-1)/(POWER(1+E7,A7)-1),3)),0,ROUND(POWER(1+E7,A7-C7)*(POWER(1+E7,C7)-1)/(POWER(1+E7,A7)-1),4))</f>
        <v>0.7621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7" t="str">
        <f>IF(B10="北京市","北京市",C10)&amp;F10&amp;IF(结果表!G1="在建","出让国有建设用地使用权及在建建筑物",IF(结果表!G1="土地","出让国有建设用地使用权",))&amp;B9&amp;"预评估"</f>
        <v>北京市房地产市场价值预评估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45709</v>
      </c>
      <c r="C3" s="2186" t="s">
        <v>2171</v>
      </c>
      <c r="D3" s="2185">
        <v>45709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3404</v>
      </c>
      <c r="C8" s="2201"/>
      <c r="D8" s="3220" t="s">
        <v>2177</v>
      </c>
      <c r="E8" s="2202"/>
      <c r="F8" s="2203"/>
      <c r="G8" s="2441"/>
      <c r="H8" s="2441"/>
      <c r="I8" s="2441"/>
      <c r="J8" s="2244"/>
      <c r="K8" s="2399"/>
      <c r="L8" s="2398"/>
      <c r="M8" s="2398"/>
      <c r="N8" s="2244"/>
      <c r="O8" s="1670"/>
      <c r="P8" s="2244"/>
      <c r="Q8" s="2244"/>
      <c r="R8" s="2244"/>
    </row>
    <row r="9" spans="1:30" ht="13.8" thickBot="1">
      <c r="A9" s="2204" t="s">
        <v>2178</v>
      </c>
      <c r="B9" s="2205" t="s">
        <v>3405</v>
      </c>
      <c r="C9" s="2206"/>
      <c r="D9" s="3221"/>
      <c r="E9" s="2205"/>
      <c r="F9" s="2207"/>
      <c r="G9" s="2442"/>
      <c r="H9" s="2442"/>
      <c r="I9" s="2442"/>
      <c r="J9" s="2244"/>
      <c r="K9" s="2401"/>
      <c r="L9" s="2398"/>
      <c r="M9" s="2398"/>
      <c r="N9" s="2244"/>
      <c r="O9" s="1670"/>
      <c r="P9" s="2244"/>
      <c r="Q9" s="2244"/>
      <c r="R9" s="2244"/>
    </row>
    <row r="10" spans="1:30" ht="13.8" thickTop="1">
      <c r="A10" s="2208" t="s">
        <v>2179</v>
      </c>
      <c r="B10" s="2209" t="s">
        <v>3406</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67" t="s">
        <v>3575</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3331</v>
      </c>
      <c r="B13" s="2217" t="s">
        <v>2190</v>
      </c>
      <c r="C13" s="803">
        <v>61822</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44.14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c r="A17" s="305" t="s">
        <v>2195</v>
      </c>
      <c r="B17" s="294" t="s">
        <v>2196</v>
      </c>
      <c r="C17" s="8">
        <f>'数据-汇总表'!E3</f>
        <v>215.28</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1"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3407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215.28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3409</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215.28</v>
      </c>
      <c r="H13" s="17">
        <f>SUMIF(I$12:AB$12,"总值",I13:AB13)</f>
        <v>215.28</v>
      </c>
      <c r="I13" s="1514">
        <v>215.28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8" t="s">
        <v>1131</v>
      </c>
      <c r="B2" s="3248"/>
      <c r="C2" s="3248"/>
      <c r="D2" s="748" t="s">
        <v>1107</v>
      </c>
      <c r="E2" s="1523" t="s">
        <v>1108</v>
      </c>
      <c r="F2" s="2438"/>
      <c r="G2" s="2431"/>
      <c r="H2" s="2432"/>
      <c r="I2" s="2146" t="s">
        <v>1132</v>
      </c>
      <c r="J2" s="2438"/>
      <c r="K2" s="2438"/>
      <c r="L2" s="2438"/>
      <c r="M2" s="2438"/>
      <c r="N2" s="2439"/>
      <c r="O2" s="2438"/>
      <c r="P2" s="2438"/>
    </row>
    <row r="3" spans="1:16" ht="15" thickBot="1">
      <c r="A3" s="3249" t="s">
        <v>1105</v>
      </c>
      <c r="B3" s="3249"/>
      <c r="C3" s="3249"/>
      <c r="D3" s="41">
        <f>'数据-基础表'!AY6</f>
        <v>0</v>
      </c>
      <c r="E3" s="41">
        <f>'数据-基础表'!AZ5</f>
        <v>215.28</v>
      </c>
      <c r="F3" s="2438"/>
      <c r="G3" s="42"/>
      <c r="H3" s="43" t="s">
        <v>1106</v>
      </c>
      <c r="I3" s="802" t="e">
        <f>ROUND('数据-基础表'!B3/'数据-基础表'!A3,2)</f>
        <v>#DIV/0!</v>
      </c>
      <c r="J3" s="2438"/>
      <c r="K3" s="2438"/>
      <c r="L3" s="2438"/>
      <c r="M3" s="2438"/>
      <c r="N3" s="2439"/>
      <c r="O3" s="2438"/>
      <c r="P3" s="2438"/>
    </row>
    <row r="4" spans="1:16" ht="14.4">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3" t="s">
        <v>1110</v>
      </c>
      <c r="C5" s="3253"/>
      <c r="D5" s="43">
        <f>ROUND($D$3*E5/$E$3,2)</f>
        <v>0</v>
      </c>
      <c r="E5" s="44">
        <f>SUMIF('数据-基础表'!$11:$11,"住宅",'数据-基础表'!$5:$5)</f>
        <v>215.28</v>
      </c>
      <c r="F5" s="2438"/>
      <c r="G5" s="42"/>
      <c r="H5" s="43" t="s">
        <v>1106</v>
      </c>
      <c r="I5" s="802" t="e">
        <f>ROUND(E31/D31,2)</f>
        <v>#DIV/0!</v>
      </c>
      <c r="J5" s="2438"/>
      <c r="K5" s="2438"/>
      <c r="L5" s="2438"/>
      <c r="M5" s="2438"/>
      <c r="N5" s="2438"/>
      <c r="O5" s="2438"/>
      <c r="P5" s="2438"/>
    </row>
    <row r="6" spans="1:16" ht="15" thickBot="1">
      <c r="A6" s="1527"/>
      <c r="B6" s="3253" t="s">
        <v>1111</v>
      </c>
      <c r="C6" s="3253"/>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5"/>
      <c r="B7" s="3246"/>
      <c r="C7" s="3247"/>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215.28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215.28</v>
      </c>
      <c r="F16" s="2438"/>
      <c r="G16" s="2438"/>
      <c r="H16" s="1531" t="s">
        <v>1135</v>
      </c>
      <c r="I16" s="1532"/>
      <c r="J16" s="1071"/>
      <c r="K16" s="3242" t="s">
        <v>1135</v>
      </c>
      <c r="L16" s="3243"/>
      <c r="M16" s="3243"/>
      <c r="N16" s="3243"/>
      <c r="O16" s="3243"/>
      <c r="P16" s="3244"/>
    </row>
    <row r="17" spans="1:19" ht="14.4">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3410</v>
      </c>
      <c r="D19" s="43">
        <f>ROUND($D$3*E19/$E$3,2)</f>
        <v>0</v>
      </c>
      <c r="E19" s="51">
        <f t="shared" ref="E19:E26" si="1">SUM(F19:G19)</f>
        <v>215.28</v>
      </c>
      <c r="F19" s="2557">
        <f>'数据-基础表'!I13</f>
        <v>215.28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215.28</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215.28</v>
      </c>
      <c r="F27" s="1072">
        <f>IF(SUM(F19:F26)=E8,SUM(F19:F26),"地上面积有误")</f>
        <v>215.28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215.28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215.28</v>
      </c>
      <c r="F31" s="644">
        <f>F27+F30</f>
        <v>215.28</v>
      </c>
      <c r="G31" s="645">
        <f>G27+G30</f>
        <v>0</v>
      </c>
      <c r="H31" s="2438"/>
      <c r="I31" s="2438"/>
      <c r="J31" s="2438"/>
      <c r="K31" s="2438"/>
      <c r="L31" s="2438"/>
      <c r="M31" s="2438"/>
      <c r="N31" s="2438"/>
      <c r="O31" s="2438"/>
      <c r="P31" s="2438"/>
    </row>
    <row r="32" spans="1:19" ht="14.4">
      <c r="A32" s="1526"/>
      <c r="B32" s="1526" t="s">
        <v>1159</v>
      </c>
      <c r="C32" s="1526"/>
      <c r="D32" s="1526"/>
      <c r="E32" s="990">
        <f>SUMIF(C19:C26,"*住宅*",E19:E26)</f>
        <v>215.28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3409</v>
      </c>
      <c r="D6" s="805">
        <f>SUMIF(项目基本情况!C$12:I$12,C6,项目基本情况!C$14:I$14)</f>
        <v>70</v>
      </c>
      <c r="E6" s="804">
        <f>IF(B6="","",SUMIF(项目基本情况!C$12:I$12,C6,项目基本情况!C$13:I$13))</f>
        <v>61822</v>
      </c>
      <c r="F6" s="61">
        <f>SUMIF(项目基本情况!C$12:I$12,C6,项目基本情况!C$15:I$15)</f>
        <v>44.14</v>
      </c>
      <c r="G6" s="62">
        <f>IF(ISERROR(ROUND(POWER(1+H6,D6-F6)*(POWER(1+H6,F6)-1)/(POWER(1+H6,D6)-1),3)),0,ROUND(POWER(1+H6,D6-F6)*(POWER(1+H6,F6)-1)/(POWER(1+H6,D6)-1),3))</f>
        <v>0.879</v>
      </c>
      <c r="H6" s="691">
        <v>0.04</v>
      </c>
      <c r="I6" s="691">
        <v>0.04</v>
      </c>
      <c r="J6" s="63"/>
      <c r="K6" s="970">
        <f>SUMIF('数据-汇总表'!C$19:C$33,A6,'数据-汇总表'!E$19:E$33)</f>
        <v>215.28</v>
      </c>
      <c r="L6" s="692">
        <v>5000</v>
      </c>
      <c r="M6" s="64">
        <f t="shared" ref="M6:M14" si="0">ROUND(K6*L6/10000,0)</f>
        <v>108</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0.03</v>
      </c>
      <c r="W6" s="67">
        <v>0.1</v>
      </c>
      <c r="X6" s="979"/>
      <c r="Y6" s="68">
        <f>N6</f>
        <v>0.8</v>
      </c>
      <c r="Z6" s="69"/>
      <c r="AA6" s="63"/>
      <c r="AB6" s="63"/>
      <c r="AC6" s="979"/>
      <c r="AD6" s="70"/>
      <c r="AE6" s="980">
        <f ca="1">IF(AN6="",0,SUMIF(INDIRECT("'"&amp;AN6&amp;"'"&amp;"!E:E"),$AE$5,INDIRECT("'"&amp;AN6&amp;"'"&amp;"!F:F")))</f>
        <v>44.14</v>
      </c>
      <c r="AF6" s="74"/>
      <c r="AG6" s="130">
        <f>IF(AF6="",0,AE6-AF6)</f>
        <v>0</v>
      </c>
      <c r="AH6" s="71">
        <f>'数据-基础表'!I13</f>
        <v>215.28</v>
      </c>
      <c r="AI6" s="73">
        <v>12</v>
      </c>
      <c r="AJ6" s="74"/>
      <c r="AK6" s="75">
        <v>2E-3</v>
      </c>
      <c r="AL6" s="76">
        <v>1E-3</v>
      </c>
      <c r="AM6" s="77">
        <v>0.01</v>
      </c>
      <c r="AN6" s="1589" t="s">
        <v>3413</v>
      </c>
      <c r="AO6" s="50">
        <f ca="1">SUMIF(INDIRECT("'"&amp;AN6&amp;"'"&amp;"!A:A"),"总价",INDIRECT("'"&amp;AN6&amp;"'"&amp;"!B:B"))</f>
        <v>979.32929999999999</v>
      </c>
      <c r="AP6" s="1590">
        <f>IF(C6="住宅",K6*L6,0)</f>
        <v>1076400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0.879</v>
      </c>
      <c r="H16" s="84">
        <f>ROUND(SUMPRODUCT(H6:H13,K6:K13)/SUMPRODUCT((H6:H13&gt;0)*(K6:K13)),3)</f>
        <v>0.04</v>
      </c>
      <c r="I16" s="85"/>
      <c r="J16" s="85"/>
      <c r="K16" s="86">
        <f>SUM(K6:K15)</f>
        <v>215.28</v>
      </c>
      <c r="L16" s="87">
        <f>ROUND(M16*10000/SUM(K6:K14),0)</f>
        <v>5017</v>
      </c>
      <c r="M16" s="87">
        <f>SUM(M6:M14)</f>
        <v>108</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ROUND(1-(2025-2005)/60,2)</f>
        <v>0.67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0.1</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3449</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215.28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45709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1636</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3355</v>
      </c>
      <c r="D10" s="2299" t="s">
        <v>3356</v>
      </c>
      <c r="E10" s="3136"/>
      <c r="F10" s="3140" t="s">
        <v>3357</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215.28</v>
      </c>
      <c r="C14" s="2305"/>
      <c r="D14" s="2305">
        <f ca="1">结果表!G19</f>
        <v>1636</v>
      </c>
      <c r="E14" s="2305">
        <f ca="1">结果表!G20</f>
        <v>75972</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3409</v>
      </c>
      <c r="D1" s="646"/>
      <c r="E1" s="646"/>
      <c r="F1" s="1621" t="s">
        <v>1263</v>
      </c>
      <c r="G1" s="1453"/>
      <c r="H1" s="1621" t="str">
        <f>IF(G1="现房","——","估价对象范围")</f>
        <v>估价对象范围</v>
      </c>
      <c r="I1" s="1622"/>
    </row>
    <row r="2" spans="1:12" ht="21.75" customHeight="1" thickBot="1">
      <c r="A2" s="3290" t="str">
        <f>项目基本情况!S2</f>
        <v>北京市房地产</v>
      </c>
      <c r="B2" s="3291"/>
      <c r="C2" s="3291"/>
      <c r="D2" s="3291"/>
      <c r="E2" s="3291"/>
      <c r="F2" s="3291"/>
      <c r="G2" s="3291"/>
      <c r="H2" s="3291"/>
      <c r="I2" s="3292"/>
    </row>
    <row r="3" spans="1:12" ht="13.2">
      <c r="A3" s="3294" t="s">
        <v>1264</v>
      </c>
      <c r="B3" s="3295"/>
      <c r="C3" s="3295"/>
      <c r="D3" s="3295"/>
      <c r="E3" s="3295"/>
      <c r="F3" s="3295"/>
      <c r="G3" s="3295"/>
      <c r="H3" s="3295"/>
      <c r="I3" s="3295"/>
    </row>
    <row r="4" spans="1:12" ht="14.4">
      <c r="A4" s="1624" t="s">
        <v>1265</v>
      </c>
      <c r="B4" s="1625" t="s">
        <v>1266</v>
      </c>
      <c r="C4" s="1626" t="s">
        <v>3413</v>
      </c>
      <c r="D4" s="1626" t="s">
        <v>3414</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70" t="s">
        <v>1268</v>
      </c>
      <c r="B5" s="3257">
        <v>25</v>
      </c>
      <c r="C5" s="3273">
        <v>2</v>
      </c>
      <c r="D5" s="3293">
        <f>10-2</f>
        <v>8</v>
      </c>
      <c r="E5" s="123" t="s">
        <v>1269</v>
      </c>
      <c r="F5" s="1627"/>
      <c r="G5" s="1627"/>
      <c r="H5" s="1627"/>
      <c r="I5" s="1281"/>
    </row>
    <row r="6" spans="1:12" ht="13.2">
      <c r="A6" s="3270"/>
      <c r="B6" s="3257"/>
      <c r="C6" s="3274"/>
      <c r="D6" s="3293"/>
      <c r="E6" s="123" t="s">
        <v>1270</v>
      </c>
      <c r="F6" s="1627"/>
      <c r="G6" s="1627"/>
      <c r="H6" s="1627"/>
      <c r="I6" s="1281"/>
    </row>
    <row r="7" spans="1:12" ht="13.2">
      <c r="A7" s="3270"/>
      <c r="B7" s="3257"/>
      <c r="C7" s="3275"/>
      <c r="D7" s="3293"/>
      <c r="E7" s="123" t="s">
        <v>1271</v>
      </c>
      <c r="F7" s="1627"/>
      <c r="G7" s="1627"/>
      <c r="H7" s="1627"/>
      <c r="I7" s="1281"/>
    </row>
    <row r="8" spans="1:12" ht="13.2">
      <c r="A8" s="3270" t="s">
        <v>1272</v>
      </c>
      <c r="B8" s="3257">
        <v>15</v>
      </c>
      <c r="C8" s="3273"/>
      <c r="D8" s="3293"/>
      <c r="E8" s="123" t="s">
        <v>1273</v>
      </c>
      <c r="F8" s="1627"/>
      <c r="G8" s="1627"/>
      <c r="H8" s="1627"/>
      <c r="I8" s="1281"/>
    </row>
    <row r="9" spans="1:12" ht="13.2">
      <c r="A9" s="3270"/>
      <c r="B9" s="3257"/>
      <c r="C9" s="3275"/>
      <c r="D9" s="3293"/>
      <c r="E9" s="123" t="s">
        <v>1274</v>
      </c>
      <c r="F9" s="1627"/>
      <c r="G9" s="1627"/>
      <c r="H9" s="1627"/>
      <c r="I9" s="1281"/>
    </row>
    <row r="10" spans="1:12" ht="13.2">
      <c r="A10" s="3270" t="s">
        <v>1275</v>
      </c>
      <c r="B10" s="3257">
        <v>15</v>
      </c>
      <c r="C10" s="3273"/>
      <c r="D10" s="3293"/>
      <c r="E10" s="123" t="s">
        <v>1276</v>
      </c>
      <c r="F10" s="1627"/>
      <c r="G10" s="1627"/>
      <c r="H10" s="1627"/>
      <c r="I10" s="1281"/>
    </row>
    <row r="11" spans="1:12" ht="13.2">
      <c r="A11" s="3270"/>
      <c r="B11" s="3257"/>
      <c r="C11" s="3275"/>
      <c r="D11" s="3293"/>
      <c r="E11" s="123" t="s">
        <v>1277</v>
      </c>
      <c r="F11" s="1627"/>
      <c r="G11" s="1627"/>
      <c r="H11" s="1627"/>
      <c r="I11" s="1281"/>
    </row>
    <row r="12" spans="1:12" ht="13.2">
      <c r="A12" s="3270" t="s">
        <v>1278</v>
      </c>
      <c r="B12" s="3257">
        <v>15</v>
      </c>
      <c r="C12" s="3273"/>
      <c r="D12" s="3293"/>
      <c r="E12" s="123" t="s">
        <v>1279</v>
      </c>
      <c r="F12" s="1627"/>
      <c r="G12" s="1627"/>
      <c r="H12" s="1627"/>
      <c r="I12" s="1281"/>
    </row>
    <row r="13" spans="1:12" ht="13.2">
      <c r="A13" s="3270"/>
      <c r="B13" s="3257"/>
      <c r="C13" s="3275"/>
      <c r="D13" s="3293"/>
      <c r="E13" s="123" t="s">
        <v>1280</v>
      </c>
      <c r="F13" s="1627"/>
      <c r="G13" s="1627"/>
      <c r="H13" s="1627"/>
      <c r="I13" s="1281"/>
    </row>
    <row r="14" spans="1:12" ht="13.2">
      <c r="A14" s="3270" t="s">
        <v>1281</v>
      </c>
      <c r="B14" s="3257">
        <v>30</v>
      </c>
      <c r="C14" s="3273"/>
      <c r="D14" s="3293"/>
      <c r="E14" s="123" t="s">
        <v>1282</v>
      </c>
      <c r="F14" s="1627"/>
      <c r="G14" s="1627"/>
      <c r="H14" s="1627"/>
      <c r="I14" s="1281"/>
    </row>
    <row r="15" spans="1:12" ht="13.2">
      <c r="A15" s="3270"/>
      <c r="B15" s="3257"/>
      <c r="C15" s="3274"/>
      <c r="D15" s="3293"/>
      <c r="E15" s="123" t="s">
        <v>1283</v>
      </c>
      <c r="F15" s="1627"/>
      <c r="G15" s="1627"/>
      <c r="H15" s="1627"/>
      <c r="I15" s="1281"/>
    </row>
    <row r="16" spans="1:12" ht="13.2">
      <c r="A16" s="3270"/>
      <c r="B16" s="3257"/>
      <c r="C16" s="3275"/>
      <c r="D16" s="3293"/>
      <c r="E16" s="123" t="s">
        <v>1284</v>
      </c>
      <c r="F16" s="1627"/>
      <c r="G16" s="1627"/>
      <c r="H16" s="1627"/>
      <c r="I16" s="1281"/>
    </row>
    <row r="17" spans="1:36" ht="14.4">
      <c r="A17" s="1628" t="s">
        <v>1285</v>
      </c>
      <c r="B17" s="54"/>
      <c r="C17" s="124">
        <f>SUM(C5:C16)</f>
        <v>2</v>
      </c>
      <c r="D17" s="124">
        <f>SUM(D5:D16)</f>
        <v>8</v>
      </c>
      <c r="E17" s="121"/>
      <c r="F17" s="121"/>
      <c r="G17" s="121"/>
      <c r="H17" s="121"/>
      <c r="I17" s="121"/>
      <c r="K17" s="294"/>
      <c r="L17" s="294" t="s">
        <v>1286</v>
      </c>
      <c r="M17" s="294" t="s">
        <v>1287</v>
      </c>
    </row>
    <row r="18" spans="1:36" ht="31.95" customHeight="1" thickBot="1">
      <c r="A18" s="1629" t="s">
        <v>1288</v>
      </c>
      <c r="B18" s="1542"/>
      <c r="C18" s="125">
        <f>ROUND(C17/SUM(C17:D17),2)</f>
        <v>0.2</v>
      </c>
      <c r="D18" s="125">
        <f>1-C18</f>
        <v>0.8</v>
      </c>
      <c r="E18" s="3280" t="s">
        <v>2131</v>
      </c>
      <c r="F18" s="3281"/>
      <c r="G18" s="3281"/>
      <c r="H18" s="3281"/>
      <c r="I18" s="3281"/>
      <c r="K18" s="294" t="s">
        <v>1289</v>
      </c>
      <c r="L18" s="294">
        <f>IF(C1="",'数据-汇总表'!E3,SUMIF(项目类型,C1,'数据-汇总表'!E17:E26)+SUMIF(项目类型,C1,'数据-汇总表'!I17:I26))</f>
        <v>215.28</v>
      </c>
      <c r="M18" s="294">
        <f>IF(C1="",'数据-汇总表'!E3,SUMIF(项目类型,C1,'数据-汇总表'!E17:E26))</f>
        <v>215.28</v>
      </c>
    </row>
    <row r="19" spans="1:36" ht="14.4">
      <c r="A19" s="1630" t="s">
        <v>1290</v>
      </c>
      <c r="B19" s="1631" t="s">
        <v>1291</v>
      </c>
      <c r="C19" s="126">
        <f ca="1">SUMIF(INDIRECT("'"&amp;C4&amp;"'"&amp;"!A:A"),结果表!B19,INDIRECT("'"&amp;C4&amp;"'"&amp;"!B:B"))</f>
        <v>979.32929999999999</v>
      </c>
      <c r="D19" s="127">
        <f ca="1">SUMIF(INDIRECT("'"&amp;D4&amp;"'"&amp;"!A:A"),结果表!B19,INDIRECT("'"&amp;D4&amp;"'"&amp;"!B:B"))</f>
        <v>1799.5686000000001</v>
      </c>
      <c r="E19" s="1630" t="s">
        <v>1292</v>
      </c>
      <c r="F19" s="1631" t="s">
        <v>1291</v>
      </c>
      <c r="G19" s="128">
        <f ca="1">ROUND(C19*$C$18+D19*$D$18,0)</f>
        <v>1636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45491</v>
      </c>
      <c r="D20" s="130">
        <f ca="1">SUMIF(INDIRECT("'"&amp;D4&amp;"'"&amp;"!A:A"),结果表!B20,INDIRECT("'"&amp;D4&amp;"'"&amp;"!B:B"))</f>
        <v>83592</v>
      </c>
      <c r="E20" s="1633"/>
      <c r="F20" s="43" t="s">
        <v>1295</v>
      </c>
      <c r="G20" s="131">
        <f ca="1">ROUND(C20*$C$18+D20*$D$18,0)</f>
        <v>75972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0.83755208794426972</v>
      </c>
      <c r="E22" s="121"/>
      <c r="F22" s="121"/>
      <c r="G22" s="121"/>
      <c r="H22" s="121"/>
      <c r="I22" s="121"/>
    </row>
    <row r="23" spans="1:36" ht="13.8" thickBot="1">
      <c r="A23" s="646"/>
      <c r="B23" s="646"/>
      <c r="C23" s="646"/>
      <c r="D23" s="646"/>
      <c r="E23" s="121"/>
      <c r="F23" s="121"/>
      <c r="G23" s="121"/>
      <c r="H23" s="121"/>
      <c r="I23" s="121"/>
    </row>
    <row r="24" spans="1:36" ht="14.4">
      <c r="A24" s="3264" t="s">
        <v>1299</v>
      </c>
      <c r="B24" s="1631" t="s">
        <v>1291</v>
      </c>
      <c r="C24" s="128">
        <f>IF(B30=0,0,D30)</f>
        <v>0</v>
      </c>
      <c r="D24" s="1637"/>
      <c r="E24" s="121"/>
      <c r="F24" s="121"/>
      <c r="G24" s="121"/>
      <c r="H24" s="121"/>
      <c r="I24" s="121"/>
    </row>
    <row r="25" spans="1:36" ht="14.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75972</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4" t="s">
        <v>1312</v>
      </c>
      <c r="B36" s="1652" t="s">
        <v>1313</v>
      </c>
      <c r="C36" s="137"/>
      <c r="D36" s="1653"/>
      <c r="E36" s="1567"/>
      <c r="F36" s="1654"/>
      <c r="G36" s="121"/>
      <c r="H36" s="121"/>
      <c r="I36" s="121"/>
    </row>
    <row r="37" spans="1:15" ht="15" thickBot="1">
      <c r="A37" s="3285"/>
      <c r="B37" s="1555" t="s">
        <v>1314</v>
      </c>
      <c r="C37" s="139"/>
      <c r="D37" s="1071"/>
      <c r="E37" s="1071"/>
      <c r="F37" s="1654"/>
      <c r="G37" s="121"/>
      <c r="H37" s="121"/>
      <c r="I37" s="121"/>
    </row>
    <row r="38" spans="1:15" ht="15" thickBot="1">
      <c r="A38" s="328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t="e">
        <f ca="1">ROUND(H101*F45,0)</f>
        <v>#REF!</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45709</v>
      </c>
      <c r="N47" s="3341"/>
      <c r="O47" s="3341"/>
    </row>
    <row r="48" spans="1:15" ht="26.4">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0" t="s">
        <v>1340</v>
      </c>
      <c r="L48" s="3320"/>
      <c r="M48" s="3342" t="e">
        <f ca="1">H101</f>
        <v>#REF!</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抵押担保权已注销时的房地产抵押价值</v>
      </c>
      <c r="L49" s="3320"/>
      <c r="M49" s="3342" t="str">
        <f>IF(项目基本情况!E8="房地产抵押价值",H107,H109)</f>
        <v>——</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399999999999999"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t="e">
        <f ca="1">ROUND(D45*'数据-取费表'!B41/(1+'数据-取费表'!C42),0)</f>
        <v>#REF!</v>
      </c>
      <c r="E52" s="1256" t="s">
        <v>1354</v>
      </c>
      <c r="F52" s="2339">
        <f>'数据-取费表'!B41</f>
        <v>5.6000000000000001E-2</v>
      </c>
      <c r="G52" s="2340"/>
      <c r="H52" s="2330"/>
      <c r="I52" s="1669"/>
      <c r="J52" s="2309">
        <v>1</v>
      </c>
      <c r="K52" s="3321" t="s">
        <v>1355</v>
      </c>
      <c r="L52" s="3321"/>
      <c r="M52" s="2311" t="b">
        <f>D48</f>
        <v>0</v>
      </c>
      <c r="N52" s="2309" t="str">
        <f>E48</f>
        <v>销售额×税（费）率</v>
      </c>
      <c r="O52" s="2312">
        <f>F48</f>
        <v>5.6000000000000001E-2</v>
      </c>
    </row>
    <row r="53" spans="1:35" ht="12" customHeight="1">
      <c r="A53" s="2153" t="s">
        <v>1356</v>
      </c>
      <c r="B53" s="3282" t="s">
        <v>2291</v>
      </c>
      <c r="C53" s="3283"/>
      <c r="D53" s="1024" t="e">
        <f ca="1">ROUND(D45*'数据-取费表'!B41/(1+'数据-取费表'!C42),0)</f>
        <v>#REF!</v>
      </c>
      <c r="E53" s="1256" t="s">
        <v>1354</v>
      </c>
      <c r="F53" s="2339">
        <f>'数据-取费表'!B41</f>
        <v>5.6000000000000001E-2</v>
      </c>
      <c r="G53" s="2340"/>
      <c r="H53" s="2330"/>
      <c r="I53" s="1669"/>
      <c r="J53" s="2309">
        <v>2</v>
      </c>
      <c r="K53" s="3321" t="s">
        <v>1357</v>
      </c>
      <c r="L53" s="3321"/>
      <c r="M53" s="2311" t="e">
        <f t="shared" ref="M53:O54" ca="1" si="0">D55</f>
        <v>#REF!</v>
      </c>
      <c r="N53" s="2309" t="str">
        <f t="shared" si="0"/>
        <v>销售额×税（费）率</v>
      </c>
      <c r="O53" s="2312" t="str">
        <f t="shared" si="0"/>
        <v>免征</v>
      </c>
    </row>
    <row r="54" spans="1:35" ht="12" customHeight="1">
      <c r="A54" s="2153" t="s">
        <v>1358</v>
      </c>
      <c r="B54" s="3282" t="s">
        <v>2292</v>
      </c>
      <c r="C54" s="3283"/>
      <c r="D54" s="1024" t="e">
        <f ca="1">C68</f>
        <v>#REF!</v>
      </c>
      <c r="E54" s="319" t="s">
        <v>1359</v>
      </c>
      <c r="F54" s="2339">
        <f>'数据-取费表'!B41</f>
        <v>5.6000000000000001E-2</v>
      </c>
      <c r="G54" s="2340"/>
      <c r="H54" s="2341"/>
      <c r="I54" s="1669"/>
      <c r="J54" s="2309">
        <v>3</v>
      </c>
      <c r="K54" s="3321" t="s">
        <v>1360</v>
      </c>
      <c r="L54" s="3321"/>
      <c r="M54" s="2311" t="e">
        <f t="shared" ca="1" si="0"/>
        <v>#REF!</v>
      </c>
      <c r="N54" s="2309" t="str">
        <f t="shared" si="0"/>
        <v>增值额×税（费）率</v>
      </c>
      <c r="O54" s="2313" t="str">
        <f t="shared" si="0"/>
        <v>免征</v>
      </c>
    </row>
    <row r="55" spans="1:35" ht="24" customHeight="1">
      <c r="A55" s="3271" t="s">
        <v>1361</v>
      </c>
      <c r="B55" s="3272"/>
      <c r="C55" s="3272"/>
      <c r="D55" s="12" t="e">
        <f ca="1">IF(H55="个人住宅",0,ROUND(D45*I55,0))</f>
        <v>#REF!</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t="e">
        <f ca="1">D59</f>
        <v>#REF!</v>
      </c>
      <c r="N55" s="1883" t="str">
        <f>E59</f>
        <v>差额计税</v>
      </c>
      <c r="O55" s="2315">
        <f>F59</f>
        <v>0.01</v>
      </c>
    </row>
    <row r="56" spans="1:35" ht="25.2">
      <c r="A56" s="3271" t="s">
        <v>1363</v>
      </c>
      <c r="B56" s="3272"/>
      <c r="C56" s="3272"/>
      <c r="D56" s="12" t="e">
        <f ca="1">IF(H56="个人住宅",D57,D58)</f>
        <v>#REF!</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2">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0</v>
      </c>
      <c r="O57" s="2319"/>
      <c r="P57" s="2464" t="e">
        <f ca="1">N57/M49</f>
        <v>#VALUE!</v>
      </c>
    </row>
    <row r="58" spans="1:35" ht="25.2">
      <c r="A58" s="2153" t="s">
        <v>1352</v>
      </c>
      <c r="B58" s="3282" t="s">
        <v>1369</v>
      </c>
      <c r="C58" s="3256"/>
      <c r="D58" s="12" t="e">
        <f ca="1">IF(H58="转让取得",C81,C97)</f>
        <v>#REF!</v>
      </c>
      <c r="E58" s="1256" t="s">
        <v>1364</v>
      </c>
      <c r="F58" s="294" t="s">
        <v>28</v>
      </c>
      <c r="G58" s="2340"/>
      <c r="H58" s="2343"/>
      <c r="I58" s="1670"/>
      <c r="J58" s="3321"/>
      <c r="K58" s="3321"/>
      <c r="L58" s="2316" t="s">
        <v>1370</v>
      </c>
      <c r="M58" s="2320"/>
      <c r="N58" s="2321" t="str">
        <f ca="1">NUMBERSTRING(INT(N57*10000),2)&amp;"元整"</f>
        <v>零元整</v>
      </c>
      <c r="O58" s="2322"/>
    </row>
    <row r="59" spans="1:35" ht="24.6" thickBot="1">
      <c r="A59" s="3324" t="s">
        <v>1371</v>
      </c>
      <c r="B59" s="3325"/>
      <c r="C59" s="332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t="e">
        <f ca="1">M49-N57</f>
        <v>#VALUE!</v>
      </c>
      <c r="O59" s="2325"/>
    </row>
    <row r="60" spans="1:35" ht="12" customHeight="1">
      <c r="A60" s="1671"/>
      <c r="B60" s="646"/>
      <c r="C60" s="646"/>
      <c r="D60" s="646"/>
      <c r="E60" s="1466"/>
      <c r="F60" s="1670"/>
      <c r="G60" s="1670"/>
      <c r="H60" s="151"/>
      <c r="I60" s="121"/>
      <c r="J60" s="3323"/>
      <c r="K60" s="3321"/>
      <c r="L60" s="2316" t="s">
        <v>1370</v>
      </c>
      <c r="M60" s="2320"/>
      <c r="N60" s="2321" t="e">
        <f ca="1">NUMBERSTRING(INT(N59*10000),2)&amp;"元整"</f>
        <v>#VALUE!</v>
      </c>
      <c r="O60" s="2322"/>
    </row>
    <row r="61" spans="1:35" ht="13.8" thickBot="1">
      <c r="A61" s="3269" t="s">
        <v>1373</v>
      </c>
      <c r="B61" s="3269"/>
      <c r="C61" s="3269"/>
      <c r="D61" s="3269"/>
      <c r="E61" s="3269"/>
      <c r="F61" s="1670"/>
      <c r="G61" s="1670"/>
      <c r="H61" s="151"/>
      <c r="I61" s="121"/>
      <c r="J61" s="2309">
        <f>J59+1</f>
        <v>7</v>
      </c>
      <c r="K61" s="3321" t="s">
        <v>1374</v>
      </c>
      <c r="L61" s="3321"/>
      <c r="M61" s="2326"/>
      <c r="N61" s="2327" t="e">
        <f ca="1">ROUND(N59*10000/'数据-汇总表'!E3,0)</f>
        <v>#VALUE!</v>
      </c>
      <c r="O61" s="2328"/>
    </row>
    <row r="62" spans="1:35" ht="13.2">
      <c r="A62" s="3287" t="s">
        <v>1375</v>
      </c>
      <c r="B62" s="3288"/>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6"/>
      <c r="K69" s="1245" t="s">
        <v>1393</v>
      </c>
      <c r="L69" s="1245"/>
      <c r="M69" s="294" t="e">
        <f>ROUND(SUM(M63:M68),0)</f>
        <v>#VALUE!</v>
      </c>
      <c r="N69" s="2331" t="e">
        <f>M69/M49</f>
        <v>#VALUE!</v>
      </c>
      <c r="Z69" s="1623"/>
      <c r="AI69" s="1561"/>
    </row>
    <row r="70" spans="1:35" s="642" customFormat="1" ht="14.4"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收益法 (元)</v>
      </c>
      <c r="D101" s="2371" t="str">
        <f>D4</f>
        <v>比较法-住宅</v>
      </c>
      <c r="E101" s="3343" t="s">
        <v>1431</v>
      </c>
      <c r="F101" s="3300"/>
      <c r="G101" s="1687" t="s">
        <v>1432</v>
      </c>
      <c r="H101" s="2380" t="e">
        <f ca="1">H118</f>
        <v>#REF!</v>
      </c>
      <c r="I101" s="121"/>
    </row>
    <row r="102" spans="1:35" ht="18.75" customHeight="1">
      <c r="A102" s="3302" t="s">
        <v>1433</v>
      </c>
      <c r="B102" s="2369" t="s">
        <v>1432</v>
      </c>
      <c r="C102" s="2370">
        <f ca="1">IF(D32="楼面单价",ROUND(C19,0),C19)</f>
        <v>979.32929999999999</v>
      </c>
      <c r="D102" s="2371">
        <f ca="1">IF(D32="楼面单价",ROUND(D19,0),D19)</f>
        <v>1799.5686000000001</v>
      </c>
      <c r="E102" s="3343"/>
      <c r="F102" s="3300"/>
      <c r="G102" s="1687" t="s">
        <v>1434</v>
      </c>
      <c r="H102" s="2340" t="e">
        <f ca="1">I118</f>
        <v>#REF!</v>
      </c>
      <c r="I102" s="121"/>
    </row>
    <row r="103" spans="1:35" ht="42.75" customHeight="1">
      <c r="A103" s="3302"/>
      <c r="B103" s="2369" t="s">
        <v>1434</v>
      </c>
      <c r="C103" s="2372">
        <f ca="1">C20</f>
        <v>45491</v>
      </c>
      <c r="D103" s="2373">
        <f ca="1">D20</f>
        <v>83592</v>
      </c>
      <c r="E103" s="3337" t="s">
        <v>1435</v>
      </c>
      <c r="F103" s="3338"/>
      <c r="G103" s="1688" t="s">
        <v>1436</v>
      </c>
      <c r="H103" s="2380">
        <f>IF(D36="正常操作",H104+H105+H106,H105+H106)</f>
        <v>0</v>
      </c>
      <c r="I103" s="121"/>
    </row>
    <row r="104" spans="1:35" ht="18.75" customHeight="1">
      <c r="A104" s="3302"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t="e">
        <f ca="1">IF(E107="——","——",H101-H103)</f>
        <v>#REF!</v>
      </c>
      <c r="I107" s="121"/>
    </row>
    <row r="108" spans="1:35" ht="18.75" customHeight="1">
      <c r="A108" s="121"/>
      <c r="B108" s="121"/>
      <c r="C108" s="121"/>
      <c r="D108" s="121"/>
      <c r="E108" s="3299"/>
      <c r="F108" s="3300"/>
      <c r="G108" s="1687" t="s">
        <v>1434</v>
      </c>
      <c r="H108" s="2340">
        <f ca="1">IF(H107=H101,H102,ROUND(H107*10000/'数据-汇总表'!E3,0))</f>
        <v>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215.28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0" t="s">
        <v>1452</v>
      </c>
      <c r="B119" s="3270"/>
      <c r="C119" s="3270"/>
      <c r="D119" s="3310" t="e">
        <f ca="1">NUMBERSTRING(INT(D118*10000),2)&amp;"元整"</f>
        <v>#REF!</v>
      </c>
      <c r="E119" s="3312"/>
      <c r="F119" s="3310" t="e">
        <f ca="1">NUMBERSTRING(INT(F118*10000),2)&amp;"元整"</f>
        <v>#REF!</v>
      </c>
      <c r="G119" s="3312"/>
      <c r="H119" s="3310" t="e">
        <f ca="1">NUMBERSTRING(INT(H118*10000),2)&amp;"元整"</f>
        <v>#REF!</v>
      </c>
      <c r="I119" s="3312"/>
    </row>
    <row r="120" spans="1:27" ht="18.75" customHeight="1">
      <c r="A120" s="3334" t="str">
        <f>IF(项目基本情况!B9="房地产市场价值","",MID(E103,3,LEN(E103)-2))</f>
        <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
      </c>
      <c r="B122" s="3301"/>
      <c r="C122" s="3301"/>
      <c r="D122" s="3334" t="e">
        <f ca="1">H107</f>
        <v>#REF!</v>
      </c>
      <c r="E122" s="3335"/>
      <c r="F122" s="3335"/>
      <c r="G122" s="3335"/>
      <c r="H122" s="3335"/>
      <c r="I122" s="3336"/>
      <c r="AA122" s="684"/>
    </row>
    <row r="123" spans="1:27" ht="18.75" customHeight="1">
      <c r="A123" s="3270" t="s">
        <v>1452</v>
      </c>
      <c r="B123" s="3270"/>
      <c r="C123" s="3270"/>
      <c r="D123" s="3310" t="e">
        <f ca="1">NUMBERSTRING(INT(D122*10000),2)&amp;"元整"</f>
        <v>#REF!</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7107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215.28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215.28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215.28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148</v>
      </c>
      <c r="D51" s="224"/>
      <c r="E51" s="224"/>
      <c r="F51" s="256"/>
      <c r="G51" s="226" t="s">
        <v>1560</v>
      </c>
    </row>
    <row r="52" spans="1:7" s="200" customFormat="1" ht="16.8" thickBot="1">
      <c r="A52" s="257" t="s">
        <v>1561</v>
      </c>
      <c r="B52" s="258"/>
      <c r="C52" s="259">
        <f ca="1">C31+C51</f>
        <v>153</v>
      </c>
      <c r="D52" s="258"/>
      <c r="E52" s="258"/>
      <c r="F52" s="258"/>
      <c r="G52" s="260"/>
    </row>
    <row r="55" spans="1:7" ht="15">
      <c r="B55" s="262" t="s">
        <v>1562</v>
      </c>
      <c r="C55" s="263"/>
    </row>
    <row r="56" spans="1:7">
      <c r="B56" s="265" t="s">
        <v>802</v>
      </c>
      <c r="C56" s="267">
        <f ca="1">1-C57</f>
        <v>3.3000000000000029E-2</v>
      </c>
    </row>
    <row r="57" spans="1:7">
      <c r="B57" s="265" t="s">
        <v>803</v>
      </c>
      <c r="C57" s="266">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北京市房地产市场价值预评估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215.28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270</v>
      </c>
      <c r="C2" s="1846" t="s">
        <v>1935</v>
      </c>
      <c r="D2" s="162" t="s">
        <v>1936</v>
      </c>
      <c r="E2" s="3120" t="s">
        <v>3409</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18862</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12542</v>
      </c>
      <c r="C3" s="1846" t="s">
        <v>1941</v>
      </c>
      <c r="D3" s="162" t="s">
        <v>1942</v>
      </c>
      <c r="E3" s="3118" t="s">
        <v>3440</v>
      </c>
      <c r="F3" s="1848" t="s">
        <v>3441</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14867</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60"/>
      <c r="B4" s="3361"/>
      <c r="C4" s="3361"/>
      <c r="D4" s="3362"/>
      <c r="E4" s="3362"/>
      <c r="F4" s="3362"/>
      <c r="G4" s="3362"/>
      <c r="H4" s="3362"/>
      <c r="I4" s="3362"/>
      <c r="J4" s="33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12565</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12485</v>
      </c>
      <c r="D5" s="1252">
        <f>ROUND(C6*C17+C20,0)</f>
        <v>11350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11082</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10650</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11350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6.4">
      <c r="A8" s="3009"/>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9"/>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3442</v>
      </c>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4" t="s">
        <v>3253</v>
      </c>
      <c r="B20" s="159" t="s">
        <v>1994</v>
      </c>
      <c r="C20" s="3031">
        <f>ROUND(IF(F21="与级别开发程度一致",0,(G21-E21)/C21),0)</f>
        <v>0</v>
      </c>
      <c r="D20" s="3046" t="s">
        <v>1998</v>
      </c>
      <c r="E20" s="3047"/>
      <c r="F20" s="3370" t="s">
        <v>1995</v>
      </c>
      <c r="G20" s="33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45709</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0.91400000000000003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44.14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270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12559</v>
      </c>
      <c r="D33" s="1940">
        <f>'数据-基础表'!I13</f>
        <v>215.28</v>
      </c>
      <c r="E33" s="727">
        <f>ROUND(C33*D33/10000,0)</f>
        <v>270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8"/>
      <c r="B37" s="1955" t="s">
        <v>2036</v>
      </c>
      <c r="C37" s="167">
        <f>ROUND(D5*C22*C23*C24*C28*F37,0)</f>
        <v>6850</v>
      </c>
      <c r="D37" s="1940"/>
      <c r="E37" s="163">
        <f>ROUND(C37*D37/10000,0)</f>
        <v>0</v>
      </c>
      <c r="F37" s="163">
        <f>SUMIF(修正!A57:A68,G2,修正!B57:B68)</f>
        <v>0.6</v>
      </c>
      <c r="G37" s="163">
        <f>ROUND(IF(E2="工业",C37*$M$42,C37*$M$41),0)</f>
        <v>1713</v>
      </c>
      <c r="H37" s="163">
        <f>D37</f>
        <v>0</v>
      </c>
      <c r="I37" s="163">
        <f>ROUND(G37*H37/10000,0)</f>
        <v>0</v>
      </c>
      <c r="J37" s="2754"/>
      <c r="K37" s="3061"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9"/>
      <c r="B38" s="1884" t="s">
        <v>2037</v>
      </c>
      <c r="C38" s="167">
        <f>ROUND(D5*C22*C23*C24*C28*F38,0)</f>
        <v>3425</v>
      </c>
      <c r="D38" s="1940"/>
      <c r="E38" s="163">
        <f t="shared" ref="E38:E42" si="4">ROUND(C38*D38/10000,0)</f>
        <v>0</v>
      </c>
      <c r="F38" s="163">
        <f>SUMIF(修正!A57:A68,G2,修正!C57:C68)</f>
        <v>0.3</v>
      </c>
      <c r="G38" s="163">
        <f>ROUND(IF(E2="工业",C38*$M$42,C38*$M$41),0)</f>
        <v>856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9"/>
      <c r="B39" s="1884" t="s">
        <v>3258</v>
      </c>
      <c r="C39" s="167">
        <f>ROUND(D5*C22*C23*C24*C28*F39,0)</f>
        <v>2854</v>
      </c>
      <c r="D39" s="1940"/>
      <c r="E39" s="163">
        <f t="shared" si="4"/>
        <v>0</v>
      </c>
      <c r="F39" s="163">
        <f>SUMIF(修正!A57:A68,G2,修正!D57:D68)</f>
        <v>0.25</v>
      </c>
      <c r="G39" s="163">
        <f>ROUND(IF(E2="工业",C39*$M$42,C39*$M$41),0)</f>
        <v>714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2854</v>
      </c>
      <c r="D40" s="1940"/>
      <c r="E40" s="163">
        <f t="shared" si="4"/>
        <v>0</v>
      </c>
      <c r="F40" s="167">
        <f>SUMIF(修正!A57:A68,G2,修正!E57:E68)</f>
        <v>0.25</v>
      </c>
      <c r="G40" s="163">
        <f>ROUND(IF(E2="工业",C40*$M$42,C40*$M$41),0)</f>
        <v>714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3436</v>
      </c>
      <c r="D72" s="1002">
        <f t="shared" ref="D72:D80" si="17">SUMIF($J$71:$N$71,C72,J72:N72)</f>
        <v>1.2999999999999999E-2</v>
      </c>
      <c r="E72" s="702">
        <f>ROUND(SUM(D72:D80),4)</f>
        <v>4.2099999999999999E-2</v>
      </c>
      <c r="F72" s="1675">
        <f>IF(E2="住宅",SUMIF(L1:L12,G2,N1:N12),"——")</f>
        <v>0.13</v>
      </c>
      <c r="G72" s="1000">
        <v>1.2999999999999999E-2</v>
      </c>
      <c r="H72" s="1003">
        <f t="shared" ref="H72:H80" si="18">IFERROR(ROUNDDOWN($F$72*I72/2,4),"——")</f>
        <v>1.2999999999999999E-2</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3445</v>
      </c>
      <c r="D73" s="1002">
        <f t="shared" si="17"/>
        <v>0</v>
      </c>
      <c r="E73" s="705"/>
      <c r="F73" s="1675"/>
      <c r="G73" s="1000">
        <v>1.6899999999999998E-2</v>
      </c>
      <c r="H73" s="1003">
        <f t="shared" si="18"/>
        <v>1.6899999999999998E-2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t="s">
        <v>3436</v>
      </c>
      <c r="D74" s="1002">
        <f t="shared" si="17"/>
        <v>6.4999999999999997E-3</v>
      </c>
      <c r="E74" s="705"/>
      <c r="F74" s="1675"/>
      <c r="G74" s="1000">
        <v>6.4999999999999997E-3</v>
      </c>
      <c r="H74" s="1003">
        <f t="shared" si="18"/>
        <v>6.4999999999999997E-3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3446</v>
      </c>
      <c r="D75" s="1002">
        <f t="shared" si="17"/>
        <v>-3.2000000000000002E-3</v>
      </c>
      <c r="E75" s="705"/>
      <c r="F75" s="1675"/>
      <c r="G75" s="1000">
        <v>3.2000000000000002E-3</v>
      </c>
      <c r="H75" s="1003">
        <f t="shared" si="18"/>
        <v>3.2000000000000002E-3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3445</v>
      </c>
      <c r="D76" s="1002">
        <f t="shared" si="17"/>
        <v>0</v>
      </c>
      <c r="E76" s="705"/>
      <c r="F76" s="1675"/>
      <c r="G76" s="1000">
        <v>5.1999999999999998E-3</v>
      </c>
      <c r="H76" s="1003">
        <f t="shared" si="18"/>
        <v>5.1999999999999998E-3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3437</v>
      </c>
      <c r="D77" s="1002">
        <f t="shared" si="17"/>
        <v>1.1599999999999999E-2</v>
      </c>
      <c r="E77" s="705"/>
      <c r="F77" s="1675"/>
      <c r="G77" s="1000">
        <v>5.7999999999999996E-3</v>
      </c>
      <c r="H77" s="1003">
        <f t="shared" si="18"/>
        <v>5.7999999999999996E-3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3436</v>
      </c>
      <c r="D78" s="1002">
        <f t="shared" si="17"/>
        <v>3.2000000000000002E-3</v>
      </c>
      <c r="E78" s="705"/>
      <c r="F78" s="1675"/>
      <c r="G78" s="1000">
        <v>3.2000000000000002E-3</v>
      </c>
      <c r="H78" s="1003">
        <f t="shared" si="18"/>
        <v>3.2000000000000002E-3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3436</v>
      </c>
      <c r="D79" s="1002">
        <f t="shared" si="17"/>
        <v>7.7999999999999996E-3</v>
      </c>
      <c r="E79" s="705"/>
      <c r="F79" s="1675"/>
      <c r="G79" s="1000">
        <v>7.7999999999999996E-3</v>
      </c>
      <c r="H79" s="1003">
        <f t="shared" si="18"/>
        <v>7.7999999999999996E-3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3436</v>
      </c>
      <c r="D80" s="1002">
        <f t="shared" si="17"/>
        <v>3.2000000000000002E-3</v>
      </c>
      <c r="E80" s="706"/>
      <c r="F80" s="1675"/>
      <c r="G80" s="1000">
        <v>3.2000000000000002E-3</v>
      </c>
      <c r="H80" s="1003">
        <f t="shared" si="18"/>
        <v>3.2000000000000002E-3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6" t="s">
        <v>3293</v>
      </c>
      <c r="B103" s="3366"/>
      <c r="C103" s="3366"/>
      <c r="D103" s="3366"/>
      <c r="E103" s="3366"/>
      <c r="F103" s="3366"/>
      <c r="G103" s="3366"/>
      <c r="H103" s="3366"/>
      <c r="I103" s="3366"/>
      <c r="J103" s="3366"/>
      <c r="K103" s="1667"/>
      <c r="L103" s="1667"/>
      <c r="M103" s="1667"/>
      <c r="N103" s="1667"/>
    </row>
    <row r="104" spans="1:14">
      <c r="A104" s="3367" t="s">
        <v>3294</v>
      </c>
      <c r="B104" s="3367" t="s">
        <v>3295</v>
      </c>
      <c r="C104" s="3090" t="s">
        <v>3296</v>
      </c>
      <c r="D104" s="3091"/>
      <c r="E104" s="3091"/>
      <c r="F104" s="3091"/>
      <c r="G104" s="3091"/>
      <c r="H104" s="3091"/>
      <c r="I104" s="3091"/>
      <c r="J104" s="3092"/>
      <c r="K104" s="3093"/>
      <c r="L104" s="3093"/>
      <c r="M104" s="3093"/>
      <c r="N104" s="3093"/>
    </row>
    <row r="105" spans="1:14">
      <c r="A105" s="3367"/>
      <c r="B105" s="3367"/>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353"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4"/>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6" t="s">
        <v>3310</v>
      </c>
      <c r="B113" s="3356"/>
      <c r="C113" s="3356"/>
      <c r="D113" s="3356"/>
      <c r="E113" s="3356"/>
      <c r="F113" s="3356"/>
      <c r="G113" s="3356"/>
      <c r="H113" s="3356"/>
      <c r="I113" s="3356"/>
      <c r="J113" s="33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K18" sqref="K1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3409</v>
      </c>
      <c r="E1" s="3124" t="s">
        <v>3415</v>
      </c>
      <c r="F1" s="1735" t="s">
        <v>3450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1799.5686000000001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83592</v>
      </c>
      <c r="C3" s="344" t="s">
        <v>1665</v>
      </c>
      <c r="D3" s="343">
        <f>IF(D1="",'数据-汇总表'!E3,SUMIF('数据-汇总表'!$C19:$C33,D1,'数据-汇总表'!$E19:$E33))</f>
        <v>215.28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13" t="s">
        <v>1673</v>
      </c>
      <c r="D5" s="3409"/>
      <c r="E5" s="3417" t="s">
        <v>3557</v>
      </c>
      <c r="F5" s="3418"/>
      <c r="G5" s="3408" t="s">
        <v>3558</v>
      </c>
      <c r="H5" s="3409"/>
      <c r="I5" s="3408" t="str">
        <f>G5</f>
        <v>阳光上东</v>
      </c>
      <c r="J5" s="3409"/>
      <c r="K5" s="1745"/>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14" t="s">
        <v>1677</v>
      </c>
      <c r="D6" s="3407"/>
      <c r="E6" s="3415" t="s">
        <v>3559</v>
      </c>
      <c r="F6" s="3416"/>
      <c r="G6" s="3406" t="s">
        <v>3563</v>
      </c>
      <c r="H6" s="3407"/>
      <c r="I6" s="3406" t="s">
        <v>3569</v>
      </c>
      <c r="J6" s="3407"/>
      <c r="K6" s="1745"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v>45637</v>
      </c>
      <c r="F7" s="357">
        <f>SUMIF(58:58,YEAR(E7)&amp;"-"&amp;MONTH(E7),59:59)</f>
        <v>100.5</v>
      </c>
      <c r="G7" s="356">
        <v>45672</v>
      </c>
      <c r="H7" s="355">
        <f>SUMIF(58:58,YEAR(G7)&amp;"-"&amp;MONTH(G7),59:59)</f>
        <v>100</v>
      </c>
      <c r="I7" s="356">
        <v>45697</v>
      </c>
      <c r="J7" s="355">
        <f>SUMIF(58:58,YEAR(I7)&amp;"-"&amp;MONTH(I7),59:59)</f>
        <v>100</v>
      </c>
      <c r="K7" s="1746"/>
      <c r="L7" s="2488"/>
      <c r="M7" s="2439"/>
      <c r="N7" s="2439"/>
      <c r="O7" s="2439"/>
      <c r="P7" s="3410" t="s">
        <v>1680</v>
      </c>
      <c r="Q7" s="3412"/>
      <c r="R7" s="664" t="s">
        <v>20</v>
      </c>
      <c r="S7" s="665">
        <f t="shared" ref="S7:S15" si="0">F7</f>
        <v>100.5</v>
      </c>
      <c r="T7" s="664" t="s">
        <v>20</v>
      </c>
      <c r="U7" s="665">
        <f t="shared" ref="U7:U15" si="1">H7</f>
        <v>100</v>
      </c>
      <c r="V7" s="664" t="s">
        <v>20</v>
      </c>
      <c r="W7" s="665">
        <f t="shared" ref="W7:W15" si="2">J7</f>
        <v>100</v>
      </c>
      <c r="X7" s="666"/>
      <c r="Y7" s="3410" t="s">
        <v>1680</v>
      </c>
      <c r="Z7" s="3411"/>
      <c r="AA7" s="50">
        <f>D7/F7</f>
        <v>0.99502487562189057</v>
      </c>
      <c r="AB7" s="50">
        <f>D7/H7</f>
        <v>1</v>
      </c>
      <c r="AC7" s="50">
        <f>D7/J7</f>
        <v>1</v>
      </c>
    </row>
    <row r="8" spans="1:29" s="102" customFormat="1" ht="15" thickBot="1">
      <c r="A8" s="352" t="s">
        <v>1681</v>
      </c>
      <c r="B8" s="353"/>
      <c r="C8" s="358" t="s">
        <v>3416</v>
      </c>
      <c r="D8" s="355">
        <v>100</v>
      </c>
      <c r="E8" s="1747" t="s">
        <v>3416</v>
      </c>
      <c r="F8" s="357">
        <f>SUMIF(61:61,E8,62:62)-SUMIF(61:61,C8,62:62)+100</f>
        <v>100</v>
      </c>
      <c r="G8" s="358" t="s">
        <v>3416</v>
      </c>
      <c r="H8" s="355">
        <f>SUMIF(61:61,G8,62:62)-SUMIF(61:61,C8,62:62)+100</f>
        <v>100</v>
      </c>
      <c r="I8" s="1747" t="s">
        <v>3416</v>
      </c>
      <c r="J8" s="355">
        <f>SUMIF(61:61,I8,62:62)-SUMIF(61:61,C8,62:62)+100</f>
        <v>100</v>
      </c>
      <c r="K8" s="1746"/>
      <c r="L8" s="2488"/>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153" t="s">
        <v>3417</v>
      </c>
      <c r="D9" s="59">
        <v>100</v>
      </c>
      <c r="E9" s="361" t="s">
        <v>3409</v>
      </c>
      <c r="F9" s="60">
        <f>SUMIF(63:63,E9,64:64)-SUMIF(63:63,C9,64:64)+100</f>
        <v>100</v>
      </c>
      <c r="G9" s="362" t="s">
        <v>3409</v>
      </c>
      <c r="H9" s="59">
        <f>SUMIF(63:63,G9,64:64)-SUMIF(63:63,C9,64:64)+100</f>
        <v>100</v>
      </c>
      <c r="I9" s="362" t="s">
        <v>3409</v>
      </c>
      <c r="J9" s="59">
        <f>SUMIF(63:63,I9,64:64)-SUMIF(63:63,C9,64:64)+100</f>
        <v>100</v>
      </c>
      <c r="K9" s="1746"/>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86"/>
      <c r="Q11" s="530" t="str">
        <f t="shared" si="6"/>
        <v>容积率</v>
      </c>
      <c r="R11" s="664" t="s">
        <v>18</v>
      </c>
      <c r="S11" s="665">
        <f t="shared" si="0"/>
        <v>100</v>
      </c>
      <c r="T11" s="664" t="s">
        <v>18</v>
      </c>
      <c r="U11" s="665">
        <f t="shared" si="1"/>
        <v>100</v>
      </c>
      <c r="V11" s="664" t="s">
        <v>18</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86"/>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6"/>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6"/>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92</v>
      </c>
      <c r="G17" s="391"/>
      <c r="H17" s="394">
        <f>SUMIF(78:78,G18,79:79)-SUMIF(78:78,C18,79:79)+100</f>
        <v>92</v>
      </c>
      <c r="I17" s="391"/>
      <c r="J17" s="394">
        <f>SUMIF(78:78,I18,79:79)-SUMIF(78:78,C18,79:79)+100</f>
        <v>92</v>
      </c>
      <c r="K17" s="384">
        <v>8</v>
      </c>
      <c r="L17" s="2492"/>
      <c r="M17" s="2487"/>
      <c r="N17" s="2487"/>
      <c r="O17" s="2487"/>
      <c r="P17" s="3385"/>
      <c r="Q17" s="1263" t="str">
        <f>B17</f>
        <v>交通便捷度</v>
      </c>
      <c r="R17" s="667" t="s">
        <v>18</v>
      </c>
      <c r="S17" s="668">
        <f>F17</f>
        <v>92</v>
      </c>
      <c r="T17" s="667" t="s">
        <v>18</v>
      </c>
      <c r="U17" s="668">
        <f>H17</f>
        <v>92</v>
      </c>
      <c r="V17" s="667" t="s">
        <v>18</v>
      </c>
      <c r="W17" s="668">
        <f>J17</f>
        <v>92</v>
      </c>
      <c r="X17" s="1265"/>
      <c r="Y17" s="3378"/>
      <c r="Z17" s="1264" t="str">
        <f>Q17</f>
        <v>交通便捷度</v>
      </c>
      <c r="AA17" s="1264">
        <f t="shared" si="3"/>
        <v>1.0869565217391304</v>
      </c>
      <c r="AB17" s="1264">
        <f t="shared" si="4"/>
        <v>1.0869565217391304</v>
      </c>
      <c r="AC17" s="1264">
        <f t="shared" si="5"/>
        <v>1.0869565217391304</v>
      </c>
    </row>
    <row r="18" spans="1:29" ht="15">
      <c r="A18" s="367"/>
      <c r="B18" s="395"/>
      <c r="C18" s="1755" t="s">
        <v>3437</v>
      </c>
      <c r="D18" s="389"/>
      <c r="E18" s="1756" t="s">
        <v>3436</v>
      </c>
      <c r="F18" s="389"/>
      <c r="G18" s="1757" t="s">
        <v>3436</v>
      </c>
      <c r="H18" s="387"/>
      <c r="I18" s="1757" t="s">
        <v>3436</v>
      </c>
      <c r="J18" s="387"/>
      <c r="K18" s="1753"/>
      <c r="L18" s="2492"/>
      <c r="M18" s="2487"/>
      <c r="N18" s="2487"/>
      <c r="O18" s="2487"/>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t="s">
        <v>3566</v>
      </c>
      <c r="D26" s="374">
        <v>100</v>
      </c>
      <c r="E26" s="1760" t="s">
        <v>3418</v>
      </c>
      <c r="F26" s="374">
        <f>SUMIF(88:88,E26,89:89)-SUMIF(88:88,C26,89:89)+100</f>
        <v>101</v>
      </c>
      <c r="G26" s="1761" t="s">
        <v>3418</v>
      </c>
      <c r="H26" s="374">
        <f>SUMIF(88:88,G26,89:89)-SUMIF(88:88,C26,89:89)+100</f>
        <v>101</v>
      </c>
      <c r="I26" s="1761" t="s">
        <v>3418</v>
      </c>
      <c r="J26" s="374">
        <f>SUMIF(88:88,I26,89:89)-SUMIF(88:88,C26,89:89)+100</f>
        <v>101</v>
      </c>
      <c r="K26" s="365">
        <v>1</v>
      </c>
      <c r="L26" s="2492"/>
      <c r="M26" s="2487"/>
      <c r="N26" s="2487"/>
      <c r="O26" s="2487"/>
      <c r="P26" s="3385"/>
      <c r="Q26" s="1263" t="str">
        <f t="shared" si="11"/>
        <v>朝向</v>
      </c>
      <c r="R26" s="667" t="s">
        <v>18</v>
      </c>
      <c r="S26" s="668">
        <f t="shared" si="12"/>
        <v>101</v>
      </c>
      <c r="T26" s="667" t="s">
        <v>18</v>
      </c>
      <c r="U26" s="668">
        <f t="shared" si="13"/>
        <v>101</v>
      </c>
      <c r="V26" s="667" t="s">
        <v>18</v>
      </c>
      <c r="W26" s="668">
        <f t="shared" si="14"/>
        <v>101</v>
      </c>
      <c r="X26" s="1265"/>
      <c r="Y26" s="3378"/>
      <c r="Z26" s="1264" t="str">
        <f>Q26</f>
        <v>朝向</v>
      </c>
      <c r="AA26" s="1264">
        <f t="shared" si="15"/>
        <v>0.99009900990099009</v>
      </c>
      <c r="AB26" s="1264">
        <f t="shared" si="16"/>
        <v>0.99009900990099009</v>
      </c>
      <c r="AC26" s="1264">
        <f t="shared" si="17"/>
        <v>0.99009900990099009</v>
      </c>
    </row>
    <row r="27" spans="1:29" s="102" customFormat="1" ht="15">
      <c r="A27" s="370"/>
      <c r="B27" s="3156" t="s">
        <v>3433</v>
      </c>
      <c r="C27" s="371" t="str">
        <f>C90</f>
        <v>6/29（低）</v>
      </c>
      <c r="D27" s="401">
        <v>100</v>
      </c>
      <c r="E27" s="403" t="str">
        <f>D90</f>
        <v>5/20（低）</v>
      </c>
      <c r="F27" s="401">
        <f>SUMIF(90:90,E27,91:91)-SUMIF(90:90,C27,91:91)+100</f>
        <v>100</v>
      </c>
      <c r="G27" s="402" t="str">
        <f>E90</f>
        <v>3/24（低）</v>
      </c>
      <c r="H27" s="401">
        <f>SUMIF(90:90,G27,91:91)-SUMIF(90:90,C27,91:91)+100</f>
        <v>100</v>
      </c>
      <c r="I27" s="402" t="str">
        <f>F90</f>
        <v>12/32（中）</v>
      </c>
      <c r="J27" s="401">
        <f>SUMIF(90:90,I27,91:91)-SUMIF(90:90,C27,91:91)+100</f>
        <v>101</v>
      </c>
      <c r="K27" s="1748"/>
      <c r="L27" s="2488"/>
      <c r="M27" s="2439"/>
      <c r="N27" s="2439"/>
      <c r="O27" s="2439"/>
      <c r="P27" s="3385"/>
      <c r="Q27" s="530" t="str">
        <f t="shared" si="11"/>
        <v>楼层</v>
      </c>
      <c r="R27" s="664" t="s">
        <v>18</v>
      </c>
      <c r="S27" s="665">
        <f t="shared" si="12"/>
        <v>100</v>
      </c>
      <c r="T27" s="664" t="s">
        <v>18</v>
      </c>
      <c r="U27" s="665">
        <f t="shared" si="13"/>
        <v>100</v>
      </c>
      <c r="V27" s="664" t="s">
        <v>18</v>
      </c>
      <c r="W27" s="665">
        <f t="shared" si="14"/>
        <v>101</v>
      </c>
      <c r="X27" s="666"/>
      <c r="Y27" s="3378"/>
      <c r="Z27" s="50" t="str">
        <f>Q27</f>
        <v>楼层</v>
      </c>
      <c r="AA27" s="1264">
        <f t="shared" si="15"/>
        <v>1</v>
      </c>
      <c r="AB27" s="1264">
        <f t="shared" si="16"/>
        <v>1</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t="s">
        <v>3567</v>
      </c>
      <c r="D32" s="405">
        <v>100</v>
      </c>
      <c r="E32" s="1765" t="s">
        <v>3561</v>
      </c>
      <c r="F32" s="400">
        <f>SUMIF(100:100,E32,101:101)-SUMIF(100:100,C32,101:101)+100</f>
        <v>101</v>
      </c>
      <c r="G32" s="1764" t="s">
        <v>3561</v>
      </c>
      <c r="H32" s="405">
        <f>SUMIF(100:100,G32,101:101)-SUMIF(100:100,C32,101:101)+100</f>
        <v>101</v>
      </c>
      <c r="I32" s="1765" t="s">
        <v>3561</v>
      </c>
      <c r="J32" s="374">
        <f>SUMIF(100:100,I32,101:101)-SUMIF(100:100,C32,101:101)+100</f>
        <v>101</v>
      </c>
      <c r="K32" s="365">
        <v>1</v>
      </c>
      <c r="L32" s="2492"/>
      <c r="M32" s="2487"/>
      <c r="N32" s="2487"/>
      <c r="O32" s="2487"/>
      <c r="P32" s="3379" t="s">
        <v>1696</v>
      </c>
      <c r="Q32" s="1263" t="str">
        <f t="shared" si="11"/>
        <v>建筑类型</v>
      </c>
      <c r="R32" s="667" t="s">
        <v>18</v>
      </c>
      <c r="S32" s="668">
        <f t="shared" si="12"/>
        <v>101</v>
      </c>
      <c r="T32" s="667" t="s">
        <v>18</v>
      </c>
      <c r="U32" s="668">
        <f t="shared" si="13"/>
        <v>101</v>
      </c>
      <c r="V32" s="667" t="s">
        <v>18</v>
      </c>
      <c r="W32" s="668">
        <f t="shared" si="14"/>
        <v>101</v>
      </c>
      <c r="X32" s="1265"/>
      <c r="Y32" s="3382"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'数据-基础表'!I13</f>
        <v>215.28</v>
      </c>
      <c r="D33" s="119">
        <v>100</v>
      </c>
      <c r="E33" s="369">
        <v>196.54</v>
      </c>
      <c r="F33" s="364">
        <f>LOOKUP(E33,103:103,104:104)-LOOKUP(C33,103:103,104:104)+100</f>
        <v>101.5</v>
      </c>
      <c r="G33" s="368">
        <v>194.01</v>
      </c>
      <c r="H33" s="119">
        <f>LOOKUP(G33,103:103,104:104)-LOOKUP(C33,103:103,104:104)+100</f>
        <v>101.5</v>
      </c>
      <c r="I33" s="369">
        <v>158.76</v>
      </c>
      <c r="J33" s="119">
        <f>LOOKUP(I33,103:103,104:104)-LOOKUP(C33,103:103,104:104)+100</f>
        <v>103</v>
      </c>
      <c r="K33" s="1748"/>
      <c r="L33" s="2491"/>
      <c r="M33" s="2493"/>
      <c r="N33" s="2493"/>
      <c r="O33" s="2493"/>
      <c r="P33" s="3380"/>
      <c r="Q33" s="531" t="str">
        <f t="shared" si="11"/>
        <v>项目建筑规模</v>
      </c>
      <c r="R33" s="669" t="s">
        <v>18</v>
      </c>
      <c r="S33" s="670">
        <f t="shared" si="12"/>
        <v>101.5</v>
      </c>
      <c r="T33" s="669" t="s">
        <v>18</v>
      </c>
      <c r="U33" s="670">
        <f t="shared" si="13"/>
        <v>101.5</v>
      </c>
      <c r="V33" s="669" t="s">
        <v>18</v>
      </c>
      <c r="W33" s="670">
        <f t="shared" si="14"/>
        <v>103</v>
      </c>
      <c r="X33" s="671"/>
      <c r="Y33" s="3382"/>
      <c r="Z33" s="672" t="str">
        <f t="shared" si="18"/>
        <v>项目建筑规模</v>
      </c>
      <c r="AA33" s="1264">
        <f t="shared" si="15"/>
        <v>0.98522167487684731</v>
      </c>
      <c r="AB33" s="1264">
        <f t="shared" si="16"/>
        <v>0.98522167487684731</v>
      </c>
      <c r="AC33" s="1264">
        <f t="shared" si="17"/>
        <v>0.970873786407767</v>
      </c>
    </row>
    <row r="34" spans="1:29" ht="15" hidden="1">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t="s">
        <v>3426</v>
      </c>
      <c r="D36" s="374">
        <v>100</v>
      </c>
      <c r="E36" s="1761" t="s">
        <v>3426</v>
      </c>
      <c r="F36" s="400">
        <f>SUMIF(109:109,E36,110:110)-SUMIF(109:109,C36,110:110)+100</f>
        <v>100</v>
      </c>
      <c r="G36" s="1760" t="s">
        <v>3426</v>
      </c>
      <c r="H36" s="374">
        <f>SUMIF(109:109,G36,110:110)-SUMIF(109:109,C36,110:110)+100</f>
        <v>100</v>
      </c>
      <c r="I36" s="1761" t="s">
        <v>3426</v>
      </c>
      <c r="J36" s="374">
        <f>SUMIF(109:109,I36,110:110)-SUMIF(109:109,C36,110:110)+100</f>
        <v>100</v>
      </c>
      <c r="K36" s="365"/>
      <c r="L36" s="2492"/>
      <c r="M36" s="2487"/>
      <c r="N36" s="2487"/>
      <c r="O36" s="2487"/>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380"/>
      <c r="Q37" s="530" t="str">
        <f t="shared" si="11"/>
        <v>成新度</v>
      </c>
      <c r="R37" s="664" t="s">
        <v>18</v>
      </c>
      <c r="S37" s="665">
        <f t="shared" si="12"/>
        <v>100</v>
      </c>
      <c r="T37" s="664" t="s">
        <v>18</v>
      </c>
      <c r="U37" s="665">
        <f t="shared" si="13"/>
        <v>100</v>
      </c>
      <c r="V37" s="664" t="s">
        <v>18</v>
      </c>
      <c r="W37" s="665">
        <f t="shared" si="14"/>
        <v>100</v>
      </c>
      <c r="X37" s="666"/>
      <c r="Y37" s="3382"/>
      <c r="Z37" s="50" t="str">
        <f t="shared" si="18"/>
        <v>成新度</v>
      </c>
      <c r="AA37" s="50">
        <f t="shared" si="15"/>
        <v>1</v>
      </c>
      <c r="AB37" s="50">
        <f t="shared" si="16"/>
        <v>1</v>
      </c>
      <c r="AC37" s="50">
        <f t="shared" si="17"/>
        <v>1</v>
      </c>
    </row>
    <row r="38" spans="1:29" ht="15">
      <c r="A38" s="409"/>
      <c r="B38" s="364" t="s">
        <v>1702</v>
      </c>
      <c r="C38" s="1760" t="s">
        <v>3430</v>
      </c>
      <c r="D38" s="374">
        <v>100</v>
      </c>
      <c r="E38" s="1761" t="s">
        <v>3430</v>
      </c>
      <c r="F38" s="400">
        <f>SUMIF(114:114,E38,115:115)-SUMIF(114:114,C38,115:115)+100</f>
        <v>100</v>
      </c>
      <c r="G38" s="1760" t="s">
        <v>3430</v>
      </c>
      <c r="H38" s="374">
        <f>SUMIF(114:114,G38,115:115)-SUMIF(114:114,C38,115:115)+100</f>
        <v>100</v>
      </c>
      <c r="I38" s="1761" t="s">
        <v>3430</v>
      </c>
      <c r="J38" s="374">
        <f>SUMIF(114:114,I38,115:115)-SUMIF(114:114,C38,115:115)+100</f>
        <v>100</v>
      </c>
      <c r="K38" s="365"/>
      <c r="L38" s="2492"/>
      <c r="M38" s="2487"/>
      <c r="N38" s="2487"/>
      <c r="O38" s="2487"/>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t="s">
        <v>3428</v>
      </c>
      <c r="D39" s="374">
        <v>100</v>
      </c>
      <c r="E39" s="1761" t="s">
        <v>3428</v>
      </c>
      <c r="F39" s="400">
        <f>SUMIF(116:116,E39,117:117)-SUMIF(116:116,C39,117:117)+100</f>
        <v>100</v>
      </c>
      <c r="G39" s="1760" t="s">
        <v>3428</v>
      </c>
      <c r="H39" s="374">
        <f>SUMIF(116:116,G39,117:117)-SUMIF(116:116,C39,117:117)+100</f>
        <v>100</v>
      </c>
      <c r="I39" s="1761" t="s">
        <v>3428</v>
      </c>
      <c r="J39" s="374">
        <f>SUMIF(116:116,I39,117:117)-SUMIF(116:116,C39,117:117)+100</f>
        <v>100</v>
      </c>
      <c r="K39" s="365"/>
      <c r="L39" s="2492"/>
      <c r="M39" s="2487"/>
      <c r="N39" s="2487"/>
      <c r="O39" s="2487"/>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t="s">
        <v>3426</v>
      </c>
      <c r="D42" s="374">
        <v>100</v>
      </c>
      <c r="E42" s="1761" t="s">
        <v>3426</v>
      </c>
      <c r="F42" s="400">
        <f>SUMIF(122:122,E42,123:123)-SUMIF(122:122,C42,123:123)+100</f>
        <v>100</v>
      </c>
      <c r="G42" s="1760" t="s">
        <v>3426</v>
      </c>
      <c r="H42" s="374">
        <f>SUMIF(122:122,G42,123:123)-SUMIF(122:122,C42,123:123)+100</f>
        <v>100</v>
      </c>
      <c r="I42" s="1761" t="s">
        <v>3426</v>
      </c>
      <c r="J42" s="374">
        <f>SUMIF(122:122,I42,123:123)-SUMIF(122:122,C42,123:123)+100</f>
        <v>100</v>
      </c>
      <c r="K42" s="365"/>
      <c r="L42" s="2492"/>
      <c r="M42" s="2487"/>
      <c r="N42" s="2487"/>
      <c r="O42" s="2487"/>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t="s">
        <v>3436</v>
      </c>
      <c r="D43" s="374">
        <v>100</v>
      </c>
      <c r="E43" s="1761" t="s">
        <v>3436</v>
      </c>
      <c r="F43" s="400">
        <f>SUMIF(124:124,E43,125:125)-SUMIF(124:124,C43,125:125)+100</f>
        <v>100</v>
      </c>
      <c r="G43" s="1760" t="s">
        <v>3436</v>
      </c>
      <c r="H43" s="374">
        <f>SUMIF(124:124,G43,125:125)-SUMIF(124:124,C43,125:125)+100</f>
        <v>100</v>
      </c>
      <c r="I43" s="1761" t="s">
        <v>3436</v>
      </c>
      <c r="J43" s="374">
        <f>SUMIF(124:124,I43,125:125)-SUMIF(124:124,C43,125:125)+100</f>
        <v>100</v>
      </c>
      <c r="K43" s="365"/>
      <c r="L43" s="2492"/>
      <c r="M43" s="2487"/>
      <c r="N43" s="2487"/>
      <c r="O43" s="2487"/>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3156" t="s">
        <v>3435</v>
      </c>
      <c r="C44" s="407">
        <v>2020</v>
      </c>
      <c r="D44" s="119">
        <v>100</v>
      </c>
      <c r="E44" s="407">
        <v>2006</v>
      </c>
      <c r="F44" s="364">
        <f>SUMIF(126:126,E44,127:127)-SUMIF(126:126,C44,127:127)+100</f>
        <v>98.4</v>
      </c>
      <c r="G44" s="407">
        <v>2007</v>
      </c>
      <c r="H44" s="119">
        <f>SUMIF(126:126,G44,127:127)-SUMIF(126:126,C44,127:127)+100</f>
        <v>98.3</v>
      </c>
      <c r="I44" s="407">
        <v>2009</v>
      </c>
      <c r="J44" s="119">
        <f>SUMIF(126:126,I44,127:127)-SUMIF(126:126,C44,127:127)+100</f>
        <v>98.9</v>
      </c>
      <c r="K44" s="1748"/>
      <c r="L44" s="2488"/>
      <c r="M44" s="2439"/>
      <c r="N44" s="2439"/>
      <c r="O44" s="2439"/>
      <c r="P44" s="3380"/>
      <c r="Q44" s="530" t="str">
        <f t="shared" si="11"/>
        <v>建成年代</v>
      </c>
      <c r="R44" s="664" t="s">
        <v>18</v>
      </c>
      <c r="S44" s="665">
        <f t="shared" si="12"/>
        <v>98.4</v>
      </c>
      <c r="T44" s="664" t="s">
        <v>18</v>
      </c>
      <c r="U44" s="665">
        <f t="shared" si="13"/>
        <v>98.3</v>
      </c>
      <c r="V44" s="664" t="s">
        <v>18</v>
      </c>
      <c r="W44" s="665">
        <f t="shared" si="14"/>
        <v>98.9</v>
      </c>
      <c r="X44" s="666"/>
      <c r="Y44" s="3382"/>
      <c r="Z44" s="50" t="str">
        <f t="shared" si="18"/>
        <v>建成年代</v>
      </c>
      <c r="AA44" s="50">
        <f t="shared" si="15"/>
        <v>1.0162601626016259</v>
      </c>
      <c r="AB44" s="50">
        <f t="shared" si="16"/>
        <v>1.0172939979654121</v>
      </c>
      <c r="AC44" s="50">
        <f t="shared" si="17"/>
        <v>1.0111223458038423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v>76320</v>
      </c>
      <c r="F47" s="420"/>
      <c r="G47" s="421">
        <v>85047</v>
      </c>
      <c r="H47" s="422"/>
      <c r="I47" s="419">
        <v>76216</v>
      </c>
      <c r="J47" s="422"/>
      <c r="K47" s="1767"/>
      <c r="L47" s="2494"/>
      <c r="M47" s="2487"/>
      <c r="N47" s="2487"/>
      <c r="O47" s="2487"/>
      <c r="P47" s="3375" t="str">
        <f>A47</f>
        <v>成交单价（元/平方米）</v>
      </c>
      <c r="Q47" s="3375"/>
      <c r="R47" s="3376">
        <f>E47</f>
        <v>76320</v>
      </c>
      <c r="S47" s="3376"/>
      <c r="T47" s="3376">
        <f>G47</f>
        <v>85047</v>
      </c>
      <c r="U47" s="3376"/>
      <c r="V47" s="3376">
        <f>I47</f>
        <v>76216</v>
      </c>
      <c r="W47" s="3376"/>
      <c r="X47" s="385"/>
      <c r="Y47" s="673"/>
      <c r="Z47" s="385"/>
      <c r="AA47" s="385"/>
      <c r="AB47" s="385"/>
      <c r="AC47" s="385"/>
    </row>
    <row r="48" spans="1:29" ht="15" thickBot="1">
      <c r="A48" s="423" t="s">
        <v>1709</v>
      </c>
      <c r="B48" s="424"/>
      <c r="C48" s="1082">
        <f>R49</f>
        <v>83592</v>
      </c>
      <c r="D48" s="2141" t="s">
        <v>2138</v>
      </c>
      <c r="E48" s="1083">
        <f>R48</f>
        <v>81018</v>
      </c>
      <c r="F48" s="2142"/>
      <c r="G48" s="1082">
        <f>T48</f>
        <v>90826</v>
      </c>
      <c r="H48" s="2142"/>
      <c r="I48" s="1083">
        <f>V48</f>
        <v>78933</v>
      </c>
      <c r="J48" s="2142"/>
      <c r="K48" s="2143">
        <f>F48+H48+J48</f>
        <v>0</v>
      </c>
      <c r="L48" s="2494"/>
      <c r="M48" s="2487"/>
      <c r="N48" s="2487"/>
      <c r="O48" s="2487"/>
      <c r="P48" s="3375" t="str">
        <f>A48</f>
        <v>比较价值（元/平方米）</v>
      </c>
      <c r="Q48" s="3375"/>
      <c r="R48" s="3376">
        <f>IF(F1="售价",ROUND(PRODUCT(R47,AA7:AA46),0),ROUND(PRODUCT(R47,AA7:AA46),1))</f>
        <v>81018</v>
      </c>
      <c r="S48" s="3376"/>
      <c r="T48" s="3376">
        <f>IF(F1="售价",ROUND(PRODUCT(T47,AB7:AB46),0),ROUND(PRODUCT(T47,AB7:AB46),1))</f>
        <v>90826</v>
      </c>
      <c r="U48" s="3376"/>
      <c r="V48" s="3376">
        <f>IF(F1="售价",ROUND(PRODUCT(V47,AC7:AC46),0),ROUND(PRODUCT(V47,AC7:AC46),1))</f>
        <v>78933</v>
      </c>
      <c r="W48" s="3376"/>
      <c r="X48" s="385"/>
      <c r="Y48" s="385"/>
      <c r="Z48" s="385"/>
      <c r="AA48" s="385"/>
      <c r="AB48" s="385"/>
      <c r="AC48" s="385"/>
    </row>
    <row r="49" spans="1:29" ht="15" thickBot="1">
      <c r="A49" s="427" t="s">
        <v>1710</v>
      </c>
      <c r="B49" s="428"/>
      <c r="C49" s="1084">
        <f>R49</f>
        <v>83592</v>
      </c>
      <c r="D49" s="351"/>
      <c r="E49" s="351"/>
      <c r="F49" s="351"/>
      <c r="G49" s="351"/>
      <c r="H49" s="351"/>
      <c r="I49" s="351"/>
      <c r="J49" s="351"/>
      <c r="K49" s="1768"/>
      <c r="L49" s="2494"/>
      <c r="M49" s="2487"/>
      <c r="N49" s="2487"/>
      <c r="O49" s="2487"/>
      <c r="P49" s="3372" t="str">
        <f>A49</f>
        <v>估价对象XX用房的比较价值（楼面单价，元/平方米）</v>
      </c>
      <c r="Q49" s="3373"/>
      <c r="R49" s="3374">
        <f>IF(F1="售价",ROUND(IF(D48="简单平均",AVERAGE(R48:V48),R48*F48+T48*H48+V48*J48),0),ROUND(IF(D48="简单平均",AVERAGE(R48:V48),R48*F48+T48*H48+V48*J48),1))</f>
        <v>83592</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6.155660377358485E-2</v>
      </c>
      <c r="F52" s="435" t="str">
        <f>IF(OR(E52&gt;=0.3,E52&lt;=-0.3),"超过30%","")</f>
        <v/>
      </c>
      <c r="G52" s="434">
        <f>IF(G47&lt;G48,G48/G47-1,G47/G48-1)</f>
        <v>6.7950662574811638E-2</v>
      </c>
      <c r="H52" s="435" t="str">
        <f>IF(OR(G52&gt;=0.3,G52&lt;=-0.3),"超过30%","")</f>
        <v/>
      </c>
      <c r="I52" s="434">
        <f>IF(I47&lt;I48,I48/I47-1,I47/I48-1)</f>
        <v>3.5648682691298506E-2</v>
      </c>
      <c r="J52" s="435" t="str">
        <f>IF(OR(I52&gt;=0.3,I52&lt;=-0.3),"超过30%","")</f>
        <v/>
      </c>
      <c r="K52" s="2499"/>
      <c r="L52" s="2495"/>
      <c r="M52" s="2487"/>
      <c r="N52" s="2487"/>
      <c r="O52" s="2487"/>
    </row>
    <row r="53" spans="1:29" ht="13.5" customHeight="1">
      <c r="A53" s="2487"/>
      <c r="B53" s="2487"/>
      <c r="C53" s="432" t="s">
        <v>1712</v>
      </c>
      <c r="D53" s="436"/>
      <c r="E53" s="434">
        <f>IF(E48&lt;G48,G48/E48-1,E48/G48-1)</f>
        <v>0.12105951763805578</v>
      </c>
      <c r="F53" s="435" t="str">
        <f>IF(OR(E53&gt;=0.2,E53&lt;=-0.2),"超过20%","")</f>
        <v/>
      </c>
      <c r="G53" s="434">
        <f>IF(G48&lt;I48,I48/G48-1,G48/I48-1)</f>
        <v>0.15067208898686224</v>
      </c>
      <c r="H53" s="435" t="str">
        <f>IF(OR(G53&gt;=0.2,G53&lt;=-0.2),"超过20%","")</f>
        <v/>
      </c>
      <c r="I53" s="434">
        <f>IF(I48&lt;E48,E48/I48-1,I48/E48-1)</f>
        <v>2.6414807494964165E-2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0.11434748427672958</v>
      </c>
      <c r="F54" s="435" t="str">
        <f>IF(OR(E54&gt;=0.3,E54&lt;=-0.3),"超过30%","")</f>
        <v/>
      </c>
      <c r="G54" s="434">
        <f>IF(G47&lt;I47,I47/G47-1,G47/I47-1)</f>
        <v>0.11586805920016796</v>
      </c>
      <c r="H54" s="435" t="str">
        <f>IF(OR(G54&gt;=0.3,G54&lt;=-0.3),"超过30%","")</f>
        <v/>
      </c>
      <c r="I54" s="434">
        <f>IF(I47&lt;E47,E47/I47-1,I47/E47-1)</f>
        <v>1.3645428781359215E-3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3419</v>
      </c>
      <c r="D88" s="3154" t="s">
        <v>3420</v>
      </c>
      <c r="E88" s="3154" t="s">
        <v>3421</v>
      </c>
      <c r="F88" s="3155" t="s">
        <v>3422</v>
      </c>
      <c r="G88" s="3154" t="s">
        <v>3423</v>
      </c>
      <c r="H88" s="3154" t="s">
        <v>3424</v>
      </c>
      <c r="I88" s="3154" t="s">
        <v>3425</v>
      </c>
      <c r="J88" s="3154" t="s">
        <v>3438</v>
      </c>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 thickTop="1">
      <c r="A90" s="484"/>
      <c r="B90" s="469" t="str">
        <f>B27</f>
        <v>楼层</v>
      </c>
      <c r="C90" s="485" t="s">
        <v>3565</v>
      </c>
      <c r="D90" s="3157" t="s">
        <v>3560</v>
      </c>
      <c r="E90" s="3157" t="s">
        <v>3564</v>
      </c>
      <c r="F90" s="3157" t="s">
        <v>3571</v>
      </c>
      <c r="G90" s="485"/>
      <c r="H90" s="486"/>
      <c r="I90" s="486"/>
      <c r="J90" s="486"/>
      <c r="K90" s="486"/>
      <c r="L90" s="487"/>
      <c r="M90" s="488"/>
      <c r="N90" s="881"/>
      <c r="O90" s="881"/>
      <c r="P90" s="1776"/>
      <c r="Q90" s="490"/>
    </row>
    <row r="91" spans="1:17" s="408" customFormat="1" ht="14.4" thickBot="1">
      <c r="A91" s="484"/>
      <c r="B91" s="474"/>
      <c r="C91" s="491">
        <v>100</v>
      </c>
      <c r="D91" s="491">
        <v>100</v>
      </c>
      <c r="E91" s="491">
        <v>100</v>
      </c>
      <c r="F91" s="491">
        <v>101</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3434</v>
      </c>
      <c r="D100" s="3158" t="s">
        <v>3562</v>
      </c>
      <c r="E100" s="3158" t="s">
        <v>3568</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 thickTop="1">
      <c r="A102" s="367"/>
      <c r="B102" s="469" t="s">
        <v>1737</v>
      </c>
      <c r="C102" s="509" t="str">
        <f>C103&amp;"(含)"&amp;"-"&amp;D103</f>
        <v>0(含)-150</v>
      </c>
      <c r="D102" s="509" t="str">
        <f t="shared" ref="D102:L102" si="26">D103&amp;"(含)"&amp;"-"&amp;E103</f>
        <v>150(含)-180</v>
      </c>
      <c r="E102" s="509" t="str">
        <f t="shared" si="26"/>
        <v>180(含)-210</v>
      </c>
      <c r="F102" s="509" t="str">
        <f t="shared" si="26"/>
        <v>210(含)-240</v>
      </c>
      <c r="G102" s="509" t="str">
        <f t="shared" si="26"/>
        <v>240(含)-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180</v>
      </c>
      <c r="F103" s="6">
        <v>210</v>
      </c>
      <c r="G103" s="6">
        <v>240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3432</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3427</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3431</v>
      </c>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3429</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3427</v>
      </c>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t="str">
        <f>B44</f>
        <v>建成年代</v>
      </c>
      <c r="C126" s="485">
        <v>2020</v>
      </c>
      <c r="D126" s="485">
        <v>2006</v>
      </c>
      <c r="E126" s="485">
        <v>2007</v>
      </c>
      <c r="F126" s="485">
        <v>2009</v>
      </c>
      <c r="G126" s="485"/>
      <c r="H126" s="486"/>
      <c r="I126" s="486"/>
      <c r="J126" s="486"/>
      <c r="K126" s="486"/>
      <c r="L126" s="487"/>
      <c r="M126" s="488"/>
      <c r="N126" s="881"/>
      <c r="O126" s="881"/>
      <c r="P126" s="1776"/>
      <c r="Q126" s="490"/>
    </row>
    <row r="127" spans="1:17" s="408" customFormat="1" ht="14.4" thickBot="1">
      <c r="A127" s="484"/>
      <c r="B127" s="474"/>
      <c r="C127" s="491">
        <v>100</v>
      </c>
      <c r="D127" s="467">
        <v>98.4</v>
      </c>
      <c r="E127" s="467">
        <v>98.3</v>
      </c>
      <c r="F127" s="467">
        <v>98.9</v>
      </c>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8"/>
  <sheetViews>
    <sheetView topLeftCell="A58" workbookViewId="0">
      <selection activeCell="P126" sqref="P126"/>
    </sheetView>
  </sheetViews>
  <sheetFormatPr defaultRowHeight="14.4"/>
  <cols>
    <col min="1" max="1" width="6.6640625" style="3160" customWidth="1"/>
    <col min="2" max="2" width="34.21875" customWidth="1"/>
    <col min="3" max="4" width="8.6640625" customWidth="1"/>
    <col min="6" max="6" width="11.6640625" bestFit="1" customWidth="1"/>
    <col min="7" max="7" width="9.44140625" customWidth="1"/>
    <col min="8" max="8" width="13.33203125" customWidth="1"/>
    <col min="9" max="9" width="12.44140625" customWidth="1"/>
    <col min="10" max="10" width="9.88671875" customWidth="1"/>
    <col min="11" max="11" width="10.44140625" customWidth="1"/>
  </cols>
  <sheetData>
    <row r="1" spans="1:13">
      <c r="A1" s="1448" t="s">
        <v>3451</v>
      </c>
      <c r="B1" s="1448" t="s">
        <v>3452</v>
      </c>
      <c r="C1" s="1448" t="s">
        <v>3463</v>
      </c>
      <c r="D1" s="1448" t="s">
        <v>3465</v>
      </c>
      <c r="E1" s="1448" t="s">
        <v>3454</v>
      </c>
      <c r="F1" s="1448" t="s">
        <v>3455</v>
      </c>
      <c r="G1" s="1448" t="s">
        <v>3458</v>
      </c>
      <c r="H1" s="1448" t="s">
        <v>3456</v>
      </c>
      <c r="I1" s="1448" t="s">
        <v>3483</v>
      </c>
      <c r="J1" s="1448"/>
      <c r="K1" s="1448" t="s">
        <v>3462</v>
      </c>
      <c r="L1" s="1448" t="s">
        <v>3457</v>
      </c>
      <c r="M1" s="1448" t="s">
        <v>3453</v>
      </c>
    </row>
    <row r="2" spans="1:13">
      <c r="A2" s="3160">
        <v>1</v>
      </c>
      <c r="B2" s="1405" t="s">
        <v>3459</v>
      </c>
      <c r="C2" s="1448" t="s">
        <v>3464</v>
      </c>
      <c r="D2" s="3163" t="s">
        <v>3466</v>
      </c>
      <c r="E2" s="3160">
        <v>227.34</v>
      </c>
      <c r="F2" s="3164">
        <v>12303552</v>
      </c>
      <c r="G2" s="3160">
        <f>ROUND(F2/E2,0)</f>
        <v>54120</v>
      </c>
      <c r="H2" s="3161">
        <v>45676</v>
      </c>
      <c r="I2" s="1448">
        <v>21434914</v>
      </c>
      <c r="J2" s="1448">
        <f>ROUND(I2/E2,0)</f>
        <v>94286</v>
      </c>
      <c r="K2" s="3162" t="s">
        <v>3461</v>
      </c>
      <c r="L2" s="3160">
        <v>6</v>
      </c>
      <c r="M2" s="3159" t="s">
        <v>3460</v>
      </c>
    </row>
    <row r="3" spans="1:13">
      <c r="A3" s="3160">
        <v>2</v>
      </c>
      <c r="B3" s="1421" t="s">
        <v>3470</v>
      </c>
      <c r="C3" s="1448" t="s">
        <v>3468</v>
      </c>
      <c r="D3" s="3163" t="s">
        <v>3467</v>
      </c>
      <c r="E3" s="3160">
        <v>217.15</v>
      </c>
      <c r="F3" s="3164">
        <v>11750520</v>
      </c>
      <c r="G3" s="3160">
        <f t="shared" ref="G3:G7" si="0">ROUND(F3/E3,0)</f>
        <v>54112</v>
      </c>
      <c r="H3" s="3161">
        <v>45676</v>
      </c>
      <c r="I3" s="1448">
        <v>20474142</v>
      </c>
      <c r="J3" s="1448">
        <f t="shared" ref="J3:J7" si="1">ROUND(I3/E3,0)</f>
        <v>94286</v>
      </c>
      <c r="K3" s="1448" t="s">
        <v>3461</v>
      </c>
      <c r="L3" s="3160">
        <v>6</v>
      </c>
      <c r="M3" s="3159" t="s">
        <v>3469</v>
      </c>
    </row>
    <row r="4" spans="1:13">
      <c r="A4" s="3160">
        <v>3</v>
      </c>
      <c r="B4" s="1405" t="s">
        <v>3471</v>
      </c>
      <c r="C4" s="1448" t="s">
        <v>3464</v>
      </c>
      <c r="D4" s="3163" t="s">
        <v>3472</v>
      </c>
      <c r="E4" s="3160">
        <v>141.78</v>
      </c>
      <c r="F4" s="3164">
        <v>8299984</v>
      </c>
      <c r="G4" s="3160">
        <f t="shared" si="0"/>
        <v>58541</v>
      </c>
      <c r="H4" s="3161">
        <v>45676</v>
      </c>
      <c r="I4" s="1448">
        <v>13367828</v>
      </c>
      <c r="J4" s="1448">
        <f t="shared" si="1"/>
        <v>94286</v>
      </c>
      <c r="K4" s="1448" t="s">
        <v>3461</v>
      </c>
      <c r="L4" s="3160">
        <v>21</v>
      </c>
      <c r="M4" s="3159" t="s">
        <v>3473</v>
      </c>
    </row>
    <row r="5" spans="1:13">
      <c r="A5" s="3160">
        <v>4</v>
      </c>
      <c r="B5" s="1405" t="s">
        <v>3474</v>
      </c>
      <c r="C5" s="1448" t="s">
        <v>3464</v>
      </c>
      <c r="D5" s="3163" t="s">
        <v>3476</v>
      </c>
      <c r="E5" s="3160">
        <v>127.98</v>
      </c>
      <c r="F5" s="3164">
        <v>7813344</v>
      </c>
      <c r="G5" s="3160">
        <f t="shared" si="0"/>
        <v>61051</v>
      </c>
      <c r="H5" s="3161">
        <v>45676</v>
      </c>
      <c r="I5" s="1448">
        <v>12066685</v>
      </c>
      <c r="J5" s="1448">
        <f t="shared" si="1"/>
        <v>94286</v>
      </c>
      <c r="K5" s="1448" t="s">
        <v>3461</v>
      </c>
      <c r="L5" s="3160">
        <v>33</v>
      </c>
      <c r="M5" s="3159" t="s">
        <v>3475</v>
      </c>
    </row>
    <row r="6" spans="1:13">
      <c r="A6" s="3160">
        <v>5</v>
      </c>
      <c r="B6" s="1405" t="s">
        <v>3477</v>
      </c>
      <c r="C6" s="1448" t="s">
        <v>3480</v>
      </c>
      <c r="D6" s="3163" t="s">
        <v>3481</v>
      </c>
      <c r="E6" s="3160">
        <v>135.53</v>
      </c>
      <c r="F6" s="3164">
        <v>8190000</v>
      </c>
      <c r="G6" s="3160">
        <f t="shared" si="0"/>
        <v>60429</v>
      </c>
      <c r="H6" s="1448" t="s">
        <v>3478</v>
      </c>
      <c r="I6" s="1448">
        <v>11396700</v>
      </c>
      <c r="J6" s="1448">
        <f t="shared" si="1"/>
        <v>84090</v>
      </c>
      <c r="K6" s="1448" t="s">
        <v>3479</v>
      </c>
      <c r="L6" s="3160">
        <v>8</v>
      </c>
      <c r="M6" s="3159" t="s">
        <v>3482</v>
      </c>
    </row>
    <row r="7" spans="1:13">
      <c r="A7" s="3160">
        <v>6</v>
      </c>
      <c r="B7" s="1405" t="s">
        <v>3485</v>
      </c>
      <c r="C7" s="1448" t="s">
        <v>3486</v>
      </c>
      <c r="D7" s="3163" t="s">
        <v>3488</v>
      </c>
      <c r="E7" s="3160">
        <v>223.21</v>
      </c>
      <c r="F7" s="3164">
        <v>13786400</v>
      </c>
      <c r="G7" s="3160">
        <f t="shared" si="0"/>
        <v>61764</v>
      </c>
      <c r="H7" s="3161">
        <v>45531</v>
      </c>
      <c r="I7" s="3160">
        <v>24618300</v>
      </c>
      <c r="J7" s="1448">
        <f t="shared" si="1"/>
        <v>110292</v>
      </c>
      <c r="K7" s="1448" t="s">
        <v>3484</v>
      </c>
      <c r="L7" s="3160">
        <v>1</v>
      </c>
      <c r="M7" s="3159" t="s">
        <v>3487</v>
      </c>
    </row>
    <row r="8" spans="1:13">
      <c r="C8" s="3160"/>
      <c r="D8" s="3163"/>
      <c r="E8" s="3160"/>
      <c r="F8" s="3160"/>
      <c r="G8" s="3160"/>
      <c r="H8" s="3160"/>
      <c r="I8" s="3160"/>
      <c r="J8" s="3160"/>
      <c r="K8" s="3160"/>
      <c r="L8" s="3160"/>
    </row>
    <row r="9" spans="1:13">
      <c r="C9" s="3160"/>
      <c r="D9" s="3163"/>
      <c r="E9" s="3160"/>
      <c r="F9" s="3160"/>
      <c r="G9" s="3160"/>
      <c r="H9" s="3160"/>
      <c r="I9" s="3160"/>
      <c r="J9" s="3160"/>
      <c r="K9" s="3160"/>
      <c r="L9" s="3160"/>
    </row>
    <row r="10" spans="1:13">
      <c r="C10" s="3160"/>
      <c r="D10" s="3163"/>
      <c r="E10" s="3160"/>
      <c r="F10" s="3160"/>
      <c r="G10" s="3160"/>
      <c r="H10" s="3160"/>
      <c r="I10" s="3160"/>
      <c r="J10" s="3160"/>
      <c r="K10" s="3160"/>
      <c r="L10" s="3160"/>
    </row>
    <row r="11" spans="1:13">
      <c r="C11" s="3160"/>
      <c r="D11" s="3163"/>
      <c r="E11" s="3160"/>
      <c r="F11" s="3160"/>
      <c r="G11" s="3160"/>
      <c r="H11" s="3160"/>
      <c r="I11" s="3160"/>
      <c r="J11" s="3160"/>
      <c r="K11" s="3160"/>
      <c r="L11" s="3160"/>
    </row>
    <row r="12" spans="1:13">
      <c r="C12" s="3160"/>
      <c r="D12" s="3163"/>
      <c r="E12" s="3160"/>
      <c r="F12" s="3160"/>
      <c r="G12" s="3160"/>
      <c r="H12" s="3160"/>
      <c r="I12" s="3160"/>
      <c r="J12" s="3160"/>
      <c r="K12" s="3160"/>
      <c r="L12" s="3160"/>
    </row>
    <row r="13" spans="1:13">
      <c r="C13" s="3160"/>
      <c r="D13" s="3163"/>
      <c r="E13" s="3160"/>
      <c r="F13" s="3160"/>
      <c r="G13" s="3160"/>
      <c r="H13" s="3160"/>
      <c r="I13" s="3160"/>
      <c r="J13" s="3160"/>
      <c r="K13" s="3160"/>
      <c r="L13" s="3160"/>
    </row>
    <row r="14" spans="1:13">
      <c r="C14" s="3160"/>
      <c r="D14" s="3160"/>
      <c r="E14" s="3160"/>
      <c r="F14" s="3160"/>
      <c r="G14" s="3160"/>
      <c r="H14" s="3160"/>
      <c r="I14" s="3160"/>
      <c r="J14" s="3160"/>
      <c r="K14" s="3160"/>
      <c r="L14" s="3160"/>
    </row>
    <row r="15" spans="1:13">
      <c r="C15" s="3160"/>
      <c r="D15" s="3160"/>
      <c r="E15" s="3160"/>
      <c r="F15" s="3160"/>
      <c r="G15" s="3160"/>
      <c r="H15" s="3160"/>
      <c r="I15" s="3160"/>
      <c r="J15" s="3160"/>
      <c r="K15" s="3160"/>
      <c r="L15" s="3160"/>
    </row>
    <row r="16" spans="1:13">
      <c r="C16" s="3160"/>
      <c r="D16" s="3160"/>
      <c r="E16" s="3160"/>
      <c r="F16" s="3160"/>
      <c r="G16" s="3160"/>
      <c r="H16" s="3160"/>
      <c r="I16" s="3160"/>
      <c r="J16" s="3160"/>
      <c r="K16" s="3160"/>
      <c r="L16" s="3160"/>
    </row>
    <row r="17" spans="3:12">
      <c r="C17" s="3160"/>
      <c r="D17" s="3160"/>
      <c r="E17" s="3160"/>
      <c r="F17" s="3160"/>
      <c r="G17" s="3160"/>
      <c r="H17" s="3160"/>
      <c r="I17" s="3160"/>
      <c r="J17" s="3160"/>
      <c r="K17" s="3160"/>
      <c r="L17" s="3160"/>
    </row>
    <row r="18" spans="3:12">
      <c r="C18" s="3160"/>
      <c r="D18" s="3160"/>
      <c r="E18" s="3160"/>
      <c r="F18" s="3160"/>
      <c r="G18" s="3160"/>
      <c r="H18" s="3160"/>
      <c r="I18" s="3160"/>
      <c r="J18" s="3160"/>
      <c r="K18" s="3160"/>
      <c r="L18" s="3160"/>
    </row>
    <row r="19" spans="3:12">
      <c r="C19" s="3160"/>
      <c r="D19" s="3160"/>
      <c r="E19" s="3160"/>
      <c r="F19" s="3160"/>
      <c r="G19" s="3160"/>
      <c r="H19" s="3160"/>
      <c r="I19" s="3160"/>
      <c r="J19" s="3160"/>
      <c r="K19" s="3160"/>
      <c r="L19" s="3160"/>
    </row>
    <row r="20" spans="3:12">
      <c r="C20" s="3160"/>
      <c r="D20" s="3160"/>
      <c r="E20" s="3160"/>
      <c r="F20" s="3160"/>
      <c r="G20" s="3160"/>
      <c r="H20" s="3160"/>
      <c r="I20" s="3160"/>
      <c r="J20" s="3160"/>
      <c r="K20" s="3160"/>
      <c r="L20" s="3160"/>
    </row>
    <row r="21" spans="3:12">
      <c r="C21" s="3160"/>
      <c r="D21" s="3160"/>
      <c r="E21" s="3160"/>
      <c r="F21" s="3160"/>
      <c r="G21" s="3160"/>
      <c r="H21" s="3160"/>
      <c r="I21" s="3160"/>
      <c r="J21" s="3160"/>
      <c r="K21" s="3160"/>
      <c r="L21" s="3160"/>
    </row>
    <row r="22" spans="3:12">
      <c r="C22" s="3160"/>
      <c r="D22" s="3160"/>
      <c r="E22" s="3160"/>
      <c r="F22" s="3160"/>
      <c r="G22" s="3160"/>
      <c r="H22" s="3160"/>
      <c r="I22" s="3160"/>
      <c r="J22" s="3160"/>
      <c r="K22" s="3160"/>
      <c r="L22" s="3160"/>
    </row>
    <row r="23" spans="3:12">
      <c r="C23" s="3160"/>
      <c r="D23" s="3160"/>
      <c r="E23" s="3160"/>
      <c r="F23" s="3160"/>
      <c r="G23" s="3160"/>
      <c r="H23" s="3160"/>
      <c r="I23" s="3160"/>
      <c r="J23" s="3160"/>
      <c r="K23" s="3160"/>
      <c r="L23" s="3160"/>
    </row>
    <row r="24" spans="3:12">
      <c r="C24" s="3160"/>
      <c r="D24" s="3160"/>
      <c r="E24" s="3160"/>
      <c r="F24" s="3160"/>
      <c r="G24" s="3160"/>
      <c r="H24" s="3160"/>
      <c r="I24" s="3160"/>
      <c r="J24" s="3160"/>
      <c r="K24" s="3160"/>
      <c r="L24" s="3160"/>
    </row>
    <row r="25" spans="3:12">
      <c r="C25" s="3160"/>
      <c r="D25" s="3160"/>
      <c r="E25" s="3160"/>
      <c r="F25" s="3160"/>
      <c r="G25" s="3160"/>
      <c r="H25" s="3160"/>
      <c r="I25" s="3160"/>
      <c r="J25" s="3160"/>
      <c r="K25" s="3160"/>
      <c r="L25" s="3160"/>
    </row>
    <row r="26" spans="3:12">
      <c r="C26" s="3160"/>
      <c r="D26" s="3160"/>
      <c r="E26" s="3160"/>
      <c r="F26" s="3160"/>
      <c r="G26" s="3160"/>
      <c r="H26" s="3160"/>
      <c r="I26" s="3160"/>
      <c r="J26" s="3160"/>
      <c r="K26" s="3160"/>
      <c r="L26" s="3160"/>
    </row>
    <row r="27" spans="3:12">
      <c r="C27" s="3160"/>
      <c r="D27" s="3160"/>
      <c r="E27" s="3160"/>
      <c r="F27" s="3160"/>
      <c r="G27" s="3160"/>
      <c r="H27" s="3160"/>
      <c r="I27" s="3160"/>
      <c r="J27" s="3160"/>
      <c r="K27" s="3160"/>
      <c r="L27" s="3160"/>
    </row>
    <row r="28" spans="3:12">
      <c r="C28" s="3160"/>
      <c r="D28" s="3160"/>
      <c r="E28" s="3160"/>
      <c r="F28" s="3160"/>
      <c r="G28" s="3160"/>
      <c r="H28" s="3160"/>
      <c r="I28" s="3160"/>
      <c r="J28" s="3160"/>
      <c r="K28" s="3160"/>
      <c r="L28" s="3160"/>
    </row>
    <row r="29" spans="3:12">
      <c r="C29" s="3160"/>
      <c r="D29" s="3160"/>
      <c r="E29" s="3160"/>
      <c r="F29" s="3160"/>
      <c r="G29" s="3160"/>
      <c r="H29" s="3160"/>
      <c r="I29" s="3160"/>
      <c r="J29" s="3160"/>
      <c r="K29" s="3160"/>
      <c r="L29" s="3160"/>
    </row>
    <row r="30" spans="3:12">
      <c r="C30" s="3160"/>
      <c r="D30" s="3160"/>
      <c r="E30" s="3160"/>
      <c r="F30" s="3160"/>
      <c r="G30" s="3160"/>
      <c r="H30" s="3160"/>
      <c r="I30" s="3160"/>
      <c r="J30" s="3160"/>
      <c r="K30" s="3160"/>
      <c r="L30" s="3160"/>
    </row>
    <row r="31" spans="3:12">
      <c r="C31" s="3160"/>
      <c r="D31" s="3160"/>
      <c r="E31" s="3160"/>
      <c r="F31" s="3160"/>
      <c r="G31" s="3160"/>
      <c r="H31" s="3160"/>
      <c r="I31" s="3160"/>
      <c r="J31" s="3160"/>
      <c r="K31" s="3160"/>
      <c r="L31" s="3160"/>
    </row>
    <row r="32" spans="3:12">
      <c r="C32" s="3160"/>
      <c r="D32" s="3160"/>
      <c r="E32" s="3160"/>
      <c r="F32" s="3160"/>
      <c r="G32" s="3160"/>
      <c r="H32" s="3160"/>
      <c r="I32" s="3160"/>
      <c r="J32" s="3160"/>
      <c r="K32" s="3160"/>
      <c r="L32" s="3160"/>
    </row>
    <row r="33" spans="3:12">
      <c r="C33" s="3160"/>
      <c r="D33" s="3160"/>
      <c r="E33" s="3160"/>
      <c r="F33" s="3160"/>
      <c r="G33" s="3160"/>
      <c r="H33" s="3160"/>
      <c r="I33" s="3160"/>
      <c r="J33" s="3160"/>
      <c r="K33" s="3160"/>
      <c r="L33" s="3160"/>
    </row>
    <row r="34" spans="3:12">
      <c r="C34" s="3160"/>
      <c r="D34" s="3160"/>
      <c r="E34" s="3160"/>
      <c r="F34" s="3160"/>
      <c r="G34" s="3160"/>
      <c r="H34" s="3160"/>
      <c r="I34" s="3160"/>
      <c r="J34" s="3160"/>
      <c r="K34" s="3160"/>
      <c r="L34" s="3160"/>
    </row>
    <row r="35" spans="3:12">
      <c r="C35" s="3160"/>
      <c r="D35" s="3160"/>
      <c r="E35" s="3160"/>
      <c r="F35" s="3160"/>
      <c r="G35" s="3160"/>
      <c r="H35" s="3160"/>
      <c r="I35" s="3160"/>
      <c r="J35" s="3160"/>
      <c r="K35" s="3160"/>
      <c r="L35" s="3160"/>
    </row>
    <row r="36" spans="3:12">
      <c r="C36" s="3160"/>
      <c r="D36" s="3160"/>
      <c r="E36" s="3160"/>
      <c r="F36" s="3160"/>
      <c r="G36" s="3160"/>
      <c r="H36" s="3160"/>
      <c r="I36" s="3160"/>
      <c r="J36" s="3160"/>
      <c r="K36" s="3160"/>
      <c r="L36" s="3160"/>
    </row>
    <row r="37" spans="3:12">
      <c r="C37" s="3160"/>
      <c r="D37" s="3160"/>
      <c r="E37" s="3160"/>
      <c r="F37" s="3160"/>
      <c r="G37" s="3160"/>
      <c r="H37" s="3160"/>
      <c r="I37" s="3160"/>
      <c r="J37" s="3160"/>
      <c r="K37" s="3160"/>
      <c r="L37" s="3160"/>
    </row>
    <row r="38" spans="3:12">
      <c r="C38" s="3160"/>
      <c r="D38" s="3160"/>
      <c r="E38" s="3160"/>
      <c r="F38" s="3160"/>
      <c r="G38" s="3160"/>
      <c r="H38" s="3160"/>
      <c r="I38" s="3160"/>
      <c r="J38" s="3160"/>
      <c r="K38" s="3160"/>
      <c r="L38" s="3160"/>
    </row>
    <row r="39" spans="3:12">
      <c r="C39" s="3160"/>
      <c r="D39" s="3160"/>
      <c r="E39" s="3160"/>
      <c r="F39" s="3160"/>
      <c r="G39" s="3160"/>
      <c r="H39" s="3160"/>
      <c r="I39" s="3160"/>
      <c r="J39" s="3160"/>
      <c r="K39" s="3160"/>
      <c r="L39" s="3160"/>
    </row>
    <row r="40" spans="3:12">
      <c r="C40" s="3160"/>
      <c r="D40" s="3160"/>
      <c r="E40" s="3160"/>
      <c r="F40" s="3160"/>
      <c r="G40" s="3160"/>
      <c r="H40" s="3160"/>
      <c r="I40" s="3160"/>
      <c r="J40" s="3160"/>
      <c r="K40" s="3160"/>
      <c r="L40" s="3160"/>
    </row>
    <row r="41" spans="3:12">
      <c r="C41" s="3160"/>
      <c r="D41" s="3160"/>
      <c r="E41" s="3160"/>
      <c r="F41" s="3160"/>
      <c r="G41" s="3160"/>
      <c r="H41" s="3160"/>
      <c r="I41" s="3160"/>
      <c r="J41" s="3160"/>
      <c r="K41" s="3160"/>
      <c r="L41" s="3160"/>
    </row>
    <row r="42" spans="3:12">
      <c r="C42" s="3160"/>
      <c r="D42" s="3160"/>
      <c r="E42" s="3160"/>
      <c r="F42" s="3160"/>
      <c r="G42" s="3160"/>
      <c r="H42" s="3160"/>
      <c r="I42" s="3160"/>
      <c r="J42" s="3160"/>
      <c r="K42" s="3160"/>
      <c r="L42" s="3160"/>
    </row>
    <row r="43" spans="3:12">
      <c r="C43" s="3160"/>
      <c r="D43" s="3160"/>
      <c r="E43" s="3160"/>
      <c r="F43" s="3160"/>
      <c r="G43" s="3160"/>
      <c r="H43" s="3160"/>
      <c r="I43" s="3160"/>
      <c r="J43" s="3160"/>
      <c r="K43" s="3160"/>
      <c r="L43" s="3160"/>
    </row>
    <row r="51" spans="1:1">
      <c r="A51" s="1448" t="s">
        <v>3555</v>
      </c>
    </row>
    <row r="82" spans="1:1">
      <c r="A82" s="1448" t="s">
        <v>3556</v>
      </c>
    </row>
    <row r="108" spans="1:1">
      <c r="A108" s="1448" t="s">
        <v>3570</v>
      </c>
    </row>
  </sheetData>
  <phoneticPr fontId="134" type="noConversion"/>
  <hyperlinks>
    <hyperlink ref="M2" r:id="rId1"/>
    <hyperlink ref="M3" r:id="rId2"/>
    <hyperlink ref="M4" r:id="rId3"/>
    <hyperlink ref="M5" r:id="rId4"/>
    <hyperlink ref="M6" r:id="rId5"/>
    <hyperlink ref="M7" r:id="rId6"/>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3409</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541.60329999999999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25158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2820609.52</v>
      </c>
      <c r="D5" s="203" t="s">
        <v>1469</v>
      </c>
      <c r="E5" s="204" t="s">
        <v>1470</v>
      </c>
      <c r="F5" s="204" t="s">
        <v>1471</v>
      </c>
      <c r="G5" s="205"/>
    </row>
    <row r="6" spans="1:8" s="206" customFormat="1" ht="13.5" customHeight="1">
      <c r="A6" s="732" t="s">
        <v>1472</v>
      </c>
      <c r="B6" s="207" t="s">
        <v>1473</v>
      </c>
      <c r="C6" s="208">
        <f>基准地价修正!C33*基准地价修正!D33</f>
        <v>2703701.52</v>
      </c>
      <c r="D6" s="209"/>
      <c r="E6" s="210"/>
      <c r="F6" s="210"/>
      <c r="G6" s="211"/>
    </row>
    <row r="7" spans="1:8" s="206" customFormat="1" ht="13.5" customHeight="1">
      <c r="A7" s="732" t="s">
        <v>1474</v>
      </c>
      <c r="B7" s="207" t="s">
        <v>1475</v>
      </c>
      <c r="C7" s="212">
        <f>ROUND(C6*F7,0)</f>
        <v>82463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34445</v>
      </c>
      <c r="D8" s="214"/>
      <c r="E8" s="212"/>
      <c r="F8" s="213"/>
      <c r="G8" s="1714" t="s">
        <v>3447</v>
      </c>
    </row>
    <row r="9" spans="1:8" s="206" customFormat="1" ht="13.5" customHeight="1">
      <c r="A9" s="733" t="s">
        <v>355</v>
      </c>
      <c r="B9" s="216" t="s">
        <v>1478</v>
      </c>
      <c r="C9" s="217">
        <f ca="1">ROUND(D9*E9,0)</f>
        <v>34445</v>
      </c>
      <c r="D9" s="795">
        <f ca="1">IF(B1="",'数据-汇总表'!E5,IF(INDIRECT("'数据-取费表'!c"&amp;$G$1)="住宅",INDIRECT("'数据-取费表'!k"&amp;$G$1),0))</f>
        <v>215.28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215.28</v>
      </c>
      <c r="E19" s="203">
        <f>'数据-取费表'!B31</f>
        <v>200</v>
      </c>
      <c r="F19" s="223"/>
      <c r="G19" s="1714" t="s">
        <v>3448</v>
      </c>
    </row>
    <row r="20" spans="1:7" s="206" customFormat="1" ht="13.5" customHeight="1">
      <c r="A20" s="247" t="s">
        <v>1574</v>
      </c>
      <c r="B20" s="202" t="s">
        <v>1575</v>
      </c>
      <c r="C20" s="224">
        <f ca="1">ROUND((C5+C19)*F20,0)</f>
        <v>56412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179337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575404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575404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3938578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1356264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1076400</v>
      </c>
      <c r="D34" s="209"/>
      <c r="E34" s="212"/>
      <c r="F34" s="249"/>
      <c r="G34" s="211"/>
    </row>
    <row r="35" spans="1:7" ht="13.5" customHeight="1">
      <c r="A35" s="734" t="s">
        <v>351</v>
      </c>
      <c r="B35" s="207" t="s">
        <v>1527</v>
      </c>
      <c r="C35" s="212">
        <f ca="1">ROUND(C34*F35,0)</f>
        <v>107640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107640</v>
      </c>
      <c r="D36" s="212"/>
      <c r="E36" s="212"/>
      <c r="F36" s="251">
        <f>'数据-取费表'!B34</f>
        <v>0.1</v>
      </c>
      <c r="G36" s="252" t="s">
        <v>1530</v>
      </c>
    </row>
    <row r="37" spans="1:7" s="250" customFormat="1" ht="13.5" customHeight="1">
      <c r="A37" s="734" t="s">
        <v>353</v>
      </c>
      <c r="B37" s="207" t="s">
        <v>1531</v>
      </c>
      <c r="C37" s="241">
        <f ca="1">ROUND(E37*D37,0)</f>
        <v>43056</v>
      </c>
      <c r="D37" s="209">
        <f ca="1">D19</f>
        <v>215.28</v>
      </c>
      <c r="E37" s="241">
        <f>'数据-取费表'!B35</f>
        <v>200</v>
      </c>
      <c r="F37" s="251"/>
      <c r="G37" s="253"/>
    </row>
    <row r="38" spans="1:7" ht="13.5" customHeight="1">
      <c r="A38" s="734" t="s">
        <v>354</v>
      </c>
      <c r="B38" s="207" t="s">
        <v>1533</v>
      </c>
      <c r="C38" s="212">
        <f ca="1">ROUND(C34*F38,0)</f>
        <v>21528</v>
      </c>
      <c r="D38" s="212"/>
      <c r="E38" s="212"/>
      <c r="F38" s="251">
        <f>'数据-取费表'!B36</f>
        <v>0.02</v>
      </c>
      <c r="G38" s="211" t="s">
        <v>1528</v>
      </c>
    </row>
    <row r="39" spans="1:7" s="206" customFormat="1" ht="13.5" customHeight="1">
      <c r="A39" s="247" t="s">
        <v>1534</v>
      </c>
      <c r="B39" s="202" t="s">
        <v>1535</v>
      </c>
      <c r="C39" s="224">
        <f ca="1">ROUND(C33*F20,0)</f>
        <v>27125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42044</v>
      </c>
      <c r="D42" s="230"/>
      <c r="E42" s="230"/>
      <c r="F42" s="231"/>
      <c r="G42" s="3350" t="s">
        <v>1591</v>
      </c>
    </row>
    <row r="43" spans="1:7" ht="13.5" customHeight="1">
      <c r="A43" s="734" t="s">
        <v>347</v>
      </c>
      <c r="B43" s="207" t="s">
        <v>1545</v>
      </c>
      <c r="C43" s="230">
        <f ca="1">ROUND(IF('数据-取费表'!B22&lt;=1,C39*F22*'数据-取费表'!B20/2,C39*(POWER((1+F22),'数据-取费表'!B20/2)-1)),0)</f>
        <v>841</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276678</v>
      </c>
      <c r="D45" s="227">
        <f ca="1">C47</f>
        <v>4.0000000000000001E-3</v>
      </c>
      <c r="E45" s="228" t="s">
        <v>1539</v>
      </c>
      <c r="F45" s="238">
        <f ca="1">F27</f>
        <v>0.2</v>
      </c>
      <c r="G45" s="239" t="s">
        <v>1548</v>
      </c>
    </row>
    <row r="46" spans="1:7" s="206" customFormat="1" ht="13.5" customHeight="1">
      <c r="A46" s="734" t="s">
        <v>346</v>
      </c>
      <c r="B46" s="240" t="s">
        <v>1549</v>
      </c>
      <c r="C46" s="241">
        <f ca="1">ROUND((C33+C39)*F27,0)</f>
        <v>276678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1846819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1477455</v>
      </c>
      <c r="D51" s="224"/>
      <c r="E51" s="224"/>
      <c r="F51" s="256"/>
      <c r="G51" s="226" t="s">
        <v>1560</v>
      </c>
    </row>
    <row r="52" spans="1:7" s="200" customFormat="1" ht="16.8" thickBot="1">
      <c r="A52" s="257" t="s">
        <v>1561</v>
      </c>
      <c r="B52" s="258"/>
      <c r="C52" s="259">
        <f ca="1">C31+C51</f>
        <v>5416033</v>
      </c>
      <c r="D52" s="258"/>
      <c r="E52" s="258"/>
      <c r="F52" s="258"/>
      <c r="G52" s="260"/>
    </row>
    <row r="55" spans="1:7" ht="15">
      <c r="B55" s="262" t="s">
        <v>1562</v>
      </c>
      <c r="C55" s="263"/>
    </row>
    <row r="56" spans="1:7">
      <c r="B56" s="265" t="s">
        <v>802</v>
      </c>
      <c r="C56" s="267">
        <f ca="1">1-C57</f>
        <v>0.72699999999999998</v>
      </c>
    </row>
    <row r="57" spans="1:7">
      <c r="B57" s="265" t="s">
        <v>803</v>
      </c>
      <c r="C57" s="266">
        <f ca="1">ROUND(C51/C52,3)</f>
        <v>0.27300000000000002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-186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215.28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1" t="s">
        <v>694</v>
      </c>
      <c r="C6" s="1011">
        <f ca="1">ROUND(F6*F8*F7*(1-F9)/10000,0)</f>
        <v>0</v>
      </c>
      <c r="D6" s="147" t="s">
        <v>2109</v>
      </c>
      <c r="E6" s="294" t="s">
        <v>696</v>
      </c>
      <c r="F6" s="295">
        <f ca="1">INDIRECT("'数据-取费表'!u"&amp;$G$1)</f>
        <v>0</v>
      </c>
      <c r="G6" s="1292"/>
      <c r="H6" s="1006" t="s">
        <v>398</v>
      </c>
      <c r="I6" s="3421" t="s">
        <v>694</v>
      </c>
      <c r="J6" s="293">
        <f ca="1">ROUND(M6*M8*M7*(1-M9)/10000,0)</f>
        <v>0</v>
      </c>
      <c r="K6" s="147" t="s">
        <v>2108</v>
      </c>
      <c r="L6" s="294" t="s">
        <v>696</v>
      </c>
      <c r="M6" s="295">
        <f ca="1">INDIRECT("'数据-取费表'!z"&amp;$G$1)</f>
        <v>0</v>
      </c>
    </row>
    <row r="7" spans="1:37" ht="18" customHeight="1">
      <c r="A7" s="1010"/>
      <c r="B7" s="3422"/>
      <c r="C7" s="1012"/>
      <c r="D7" s="299"/>
      <c r="E7" s="1013" t="s">
        <v>697</v>
      </c>
      <c r="F7" s="295">
        <f ca="1">IF(INDIRECT("'数据-取费表'!ah"&amp;$G$1)="",INDIRECT("'数据-取费表'!k"&amp;$G$1),INDIRECT("'数据-取费表'!ah"&amp;$G$1))</f>
        <v>0</v>
      </c>
      <c r="G7" s="1292"/>
      <c r="H7" s="296"/>
      <c r="I7" s="3422"/>
      <c r="J7" s="298"/>
      <c r="K7" s="299"/>
      <c r="L7" s="294" t="s">
        <v>697</v>
      </c>
      <c r="M7" s="295">
        <f ca="1">F7</f>
        <v>0</v>
      </c>
    </row>
    <row r="8" spans="1:37" ht="18" customHeight="1">
      <c r="A8" s="296"/>
      <c r="B8" s="3422"/>
      <c r="C8" s="298"/>
      <c r="D8" s="299"/>
      <c r="E8" s="294" t="s">
        <v>698</v>
      </c>
      <c r="F8" s="295">
        <f ca="1">INDIRECT("'数据-取费表'!ai"&amp;$G$1)</f>
        <v>0</v>
      </c>
      <c r="G8" s="1292"/>
      <c r="H8" s="296"/>
      <c r="I8" s="3422"/>
      <c r="J8" s="298"/>
      <c r="K8" s="299"/>
      <c r="L8" s="294" t="s">
        <v>698</v>
      </c>
      <c r="M8" s="295">
        <f ca="1">INDIRECT("'数据-取费表'!ai"&amp;$G$1)</f>
        <v>0</v>
      </c>
    </row>
    <row r="9" spans="1:37" ht="18" customHeight="1">
      <c r="A9" s="296"/>
      <c r="B9" s="3423"/>
      <c r="C9" s="298"/>
      <c r="D9" s="299"/>
      <c r="E9" s="294" t="s">
        <v>699</v>
      </c>
      <c r="F9" s="304">
        <f ca="1">INDIRECT("'数据-取费表'!w"&amp;$G$1)</f>
        <v>0</v>
      </c>
      <c r="G9" s="1292"/>
      <c r="H9" s="296"/>
      <c r="I9" s="34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9" t="s">
        <v>837</v>
      </c>
      <c r="L53" s="342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3409</v>
      </c>
      <c r="D1" s="1271" t="s">
        <v>43</v>
      </c>
      <c r="E1" s="1272" t="s">
        <v>678</v>
      </c>
      <c r="F1" s="999">
        <f ca="1">J53</f>
        <v>44.14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979.32929999999999</v>
      </c>
      <c r="C2" s="1289" t="s">
        <v>879</v>
      </c>
      <c r="D2" s="1375">
        <f ca="1">C40+J29+L46</f>
        <v>9793293</v>
      </c>
      <c r="E2" s="1295" t="s">
        <v>880</v>
      </c>
      <c r="F2" s="1296"/>
      <c r="G2" s="2478"/>
      <c r="H2" s="2468"/>
      <c r="I2" s="2468"/>
      <c r="J2" s="2468"/>
      <c r="K2" s="2469"/>
      <c r="L2" s="2468"/>
      <c r="M2" s="2468"/>
    </row>
    <row r="3" spans="1:37" ht="18" customHeight="1" thickBot="1">
      <c r="A3" s="1297" t="s">
        <v>881</v>
      </c>
      <c r="B3" s="1298">
        <f ca="1">IF(ISERROR(D2/F43),0,ROUND(D2/F43,0))</f>
        <v>45491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349190</v>
      </c>
      <c r="D5" s="1273" t="s">
        <v>889</v>
      </c>
      <c r="E5" s="1008"/>
      <c r="F5" s="1009"/>
      <c r="G5" s="1292"/>
      <c r="H5" s="291">
        <v>1</v>
      </c>
      <c r="I5" s="292" t="s">
        <v>888</v>
      </c>
      <c r="J5" s="1007">
        <f ca="1">J6+J10+J12</f>
        <v>0</v>
      </c>
      <c r="K5" s="1273" t="s">
        <v>889</v>
      </c>
      <c r="L5" s="1008"/>
      <c r="M5" s="1009"/>
    </row>
    <row r="6" spans="1:37" ht="18" customHeight="1">
      <c r="A6" s="1006" t="s">
        <v>398</v>
      </c>
      <c r="B6" s="3421" t="s">
        <v>694</v>
      </c>
      <c r="C6" s="1011">
        <f ca="1">ROUND(F6*F8*F7*(1-F9),0)</f>
        <v>348754</v>
      </c>
      <c r="D6" s="147" t="s">
        <v>2106</v>
      </c>
      <c r="E6" s="294" t="s">
        <v>696</v>
      </c>
      <c r="F6" s="295">
        <f ca="1">INDIRECT("'数据-取费表'!u"&amp;$G$1)</f>
        <v>150</v>
      </c>
      <c r="G6" s="1292"/>
      <c r="H6" s="1006" t="s">
        <v>398</v>
      </c>
      <c r="I6" s="3421" t="s">
        <v>694</v>
      </c>
      <c r="J6" s="293">
        <f ca="1">ROUND(M6*M8*M7*(1-M9),0)</f>
        <v>0</v>
      </c>
      <c r="K6" s="1284" t="s">
        <v>2107</v>
      </c>
      <c r="L6" s="294" t="s">
        <v>696</v>
      </c>
      <c r="M6" s="295">
        <f ca="1">INDIRECT("'数据-取费表'!z"&amp;$G$1)</f>
        <v>0</v>
      </c>
    </row>
    <row r="7" spans="1:37" ht="18" customHeight="1">
      <c r="A7" s="1010"/>
      <c r="B7" s="3422"/>
      <c r="C7" s="1012"/>
      <c r="D7" s="299"/>
      <c r="E7" s="1013" t="s">
        <v>697</v>
      </c>
      <c r="F7" s="295">
        <f ca="1">IF(INDIRECT("'数据-取费表'!ah"&amp;$G$1)="",INDIRECT("'数据-取费表'!k"&amp;$G$1),INDIRECT("'数据-取费表'!ah"&amp;$G$1))</f>
        <v>215.28</v>
      </c>
      <c r="G7" s="1292"/>
      <c r="H7" s="296"/>
      <c r="I7" s="3422"/>
      <c r="J7" s="298"/>
      <c r="K7" s="299"/>
      <c r="L7" s="294" t="s">
        <v>697</v>
      </c>
      <c r="M7" s="295">
        <f ca="1">F7</f>
        <v>215.28</v>
      </c>
    </row>
    <row r="8" spans="1:37" ht="18" customHeight="1">
      <c r="A8" s="296"/>
      <c r="B8" s="3422"/>
      <c r="C8" s="298"/>
      <c r="D8" s="299"/>
      <c r="E8" s="294" t="s">
        <v>698</v>
      </c>
      <c r="F8" s="295">
        <f ca="1">INDIRECT("'数据-取费表'!ai"&amp;$G$1)</f>
        <v>12</v>
      </c>
      <c r="G8" s="1292"/>
      <c r="H8" s="296"/>
      <c r="I8" s="3422"/>
      <c r="J8" s="298"/>
      <c r="K8" s="299"/>
      <c r="L8" s="294" t="s">
        <v>698</v>
      </c>
      <c r="M8" s="295">
        <f ca="1">INDIRECT("'数据-取费表'!ai"&amp;$G$1)</f>
        <v>12</v>
      </c>
    </row>
    <row r="9" spans="1:37" ht="18" customHeight="1">
      <c r="A9" s="296"/>
      <c r="B9" s="3423"/>
      <c r="C9" s="298"/>
      <c r="D9" s="299"/>
      <c r="E9" s="294" t="s">
        <v>699</v>
      </c>
      <c r="F9" s="304">
        <f ca="1">INDIRECT("'数据-取费表'!w"&amp;$G$1)</f>
        <v>0.1</v>
      </c>
      <c r="G9" s="1292"/>
      <c r="H9" s="296"/>
      <c r="I9" s="3423"/>
      <c r="J9" s="298"/>
      <c r="K9" s="299"/>
      <c r="L9" s="305" t="s">
        <v>699</v>
      </c>
      <c r="M9" s="306">
        <f ca="1">INDIRECT("'数据-取费表'!ab"&amp;$G$1)</f>
        <v>0</v>
      </c>
    </row>
    <row r="10" spans="1:37" ht="18" customHeight="1">
      <c r="A10" s="1006" t="s">
        <v>402</v>
      </c>
      <c r="B10" s="1274" t="s">
        <v>700</v>
      </c>
      <c r="C10" s="308">
        <f ca="1">ROUND(IF(F10="押一",C6/12*F11,IF(F10="押二",C6/12*2*F11,IF(F10="押三",C6/12*3*F11,C11*F11))),0)</f>
        <v>436</v>
      </c>
      <c r="D10" s="150" t="s">
        <v>2116</v>
      </c>
      <c r="E10" s="305" t="s">
        <v>701</v>
      </c>
      <c r="F10" s="1053" t="s">
        <v>3439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1477455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1076400</v>
      </c>
      <c r="D14" s="1257" t="s">
        <v>708</v>
      </c>
      <c r="E14" s="1255"/>
      <c r="F14" s="311"/>
      <c r="G14" s="1292"/>
      <c r="H14" s="928" t="s">
        <v>398</v>
      </c>
      <c r="I14" s="294" t="s">
        <v>709</v>
      </c>
      <c r="J14" s="21">
        <f ca="1">C29</f>
        <v>1846819</v>
      </c>
      <c r="K14" s="12"/>
      <c r="L14" s="759"/>
      <c r="M14" s="760"/>
    </row>
    <row r="15" spans="1:37" s="1304" customFormat="1" ht="18" customHeight="1" thickBot="1">
      <c r="A15" s="928" t="s">
        <v>399</v>
      </c>
      <c r="B15" s="294" t="s">
        <v>710</v>
      </c>
      <c r="C15" s="21">
        <f ca="1">ROUND(C14*F15,0)</f>
        <v>107640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107640</v>
      </c>
      <c r="D16" s="294" t="s">
        <v>711</v>
      </c>
      <c r="E16" s="294" t="s">
        <v>712</v>
      </c>
      <c r="F16" s="314">
        <f ca="1">IF(INDIRECT("'数据-取费表'!c"&amp;$G$1)="住宅",'数据-取费表'!B34,0)</f>
        <v>0.1</v>
      </c>
      <c r="G16" s="1292"/>
      <c r="H16" s="1016" t="s">
        <v>393</v>
      </c>
      <c r="I16" s="1017" t="s">
        <v>714</v>
      </c>
      <c r="J16" s="302">
        <f ca="1">ROUND(J17+J22+J23+J24,0)</f>
        <v>3694</v>
      </c>
      <c r="K16" s="1024" t="s">
        <v>715</v>
      </c>
      <c r="L16" s="1025"/>
      <c r="M16" s="1009"/>
    </row>
    <row r="17" spans="1:37" s="1304" customFormat="1" ht="18" customHeight="1">
      <c r="A17" s="928" t="s">
        <v>681</v>
      </c>
      <c r="B17" s="294" t="s">
        <v>716</v>
      </c>
      <c r="C17" s="21">
        <f ca="1">ROUND(F17*(F43+INDIRECT("'数据-取费表'!S"&amp;$G$1)),0)</f>
        <v>43056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21528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1356264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27125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-3694</v>
      </c>
      <c r="K25" s="1032" t="s">
        <v>753</v>
      </c>
      <c r="L25" s="1033"/>
      <c r="M25" s="1034"/>
    </row>
    <row r="26" spans="1:37" ht="18" customHeight="1">
      <c r="A26" s="928" t="s">
        <v>397</v>
      </c>
      <c r="B26" s="294" t="s">
        <v>754</v>
      </c>
      <c r="C26" s="21">
        <f ca="1">ROUND((C19+C20)*F26,0)</f>
        <v>276678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1846819</v>
      </c>
      <c r="D29" s="1029"/>
      <c r="E29" s="1027"/>
      <c r="F29" s="1030"/>
      <c r="G29" s="1303"/>
      <c r="H29" s="325" t="s">
        <v>396</v>
      </c>
      <c r="I29" s="326" t="s">
        <v>768</v>
      </c>
      <c r="J29" s="327">
        <f ca="1">ROUND(J26/(1+F40)^F41,0)</f>
        <v>0</v>
      </c>
      <c r="K29" s="328" t="s">
        <v>769</v>
      </c>
      <c r="L29" s="329"/>
      <c r="M29" s="330">
        <f ca="1">INDIRECT("'数据-取费表'!k"&amp;$G$1)</f>
        <v>215.28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67121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58458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18600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39858</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3694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1477</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3492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282069</v>
      </c>
      <c r="D39" s="1032" t="s">
        <v>773</v>
      </c>
      <c r="E39" s="1033"/>
      <c r="F39" s="1034"/>
      <c r="G39" s="1292"/>
      <c r="H39" s="2473"/>
      <c r="I39" s="1305"/>
      <c r="J39" s="1306"/>
      <c r="K39" s="2471"/>
      <c r="L39" s="2473"/>
      <c r="M39" s="2473"/>
    </row>
    <row r="40" spans="1:18" ht="18" customHeight="1">
      <c r="A40" s="291" t="s">
        <v>395</v>
      </c>
      <c r="B40" s="292" t="s">
        <v>774</v>
      </c>
      <c r="C40" s="293">
        <f ca="1">ROUND(C39*(1-((1+F42)/(1+F40))^F41)/(F40-F42),0)</f>
        <v>9793293</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44.14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45491</v>
      </c>
      <c r="D43" s="328" t="s">
        <v>777</v>
      </c>
      <c r="E43" s="329" t="s">
        <v>778</v>
      </c>
      <c r="F43" s="330">
        <f ca="1">INDIRECT("'数据-取费表'!k"&amp;$G$1)</f>
        <v>215.28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-989.96770000000004</v>
      </c>
      <c r="D45" s="3130" t="s">
        <v>3352</v>
      </c>
      <c r="E45" s="1307"/>
      <c r="F45" s="1307"/>
      <c r="O45" s="1310" t="s">
        <v>808</v>
      </c>
      <c r="P45" s="1366"/>
      <c r="Q45" s="1366"/>
      <c r="R45" s="1366"/>
    </row>
    <row r="46" spans="1:18" s="1292" customFormat="1" ht="13.8" thickBot="1">
      <c r="A46" s="1311" t="s">
        <v>809</v>
      </c>
      <c r="C46" s="1312">
        <f ca="1">ROUND(C45,0)</f>
        <v>-990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9793293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44.14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1846819</v>
      </c>
      <c r="R49" s="1327" t="s">
        <v>818</v>
      </c>
    </row>
    <row r="50" spans="1:18" s="1292" customFormat="1" ht="13.8" thickBot="1">
      <c r="A50" s="922"/>
      <c r="B50" s="925"/>
      <c r="C50" s="926"/>
      <c r="D50" s="899"/>
      <c r="E50" s="993" t="s">
        <v>697</v>
      </c>
      <c r="F50" s="994">
        <f ca="1">F7</f>
        <v>215.28</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44.14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44.14</v>
      </c>
      <c r="K53" s="3419" t="s">
        <v>837</v>
      </c>
      <c r="L53" s="3420"/>
      <c r="O53" s="1325" t="s">
        <v>409</v>
      </c>
      <c r="P53" s="1326" t="s">
        <v>838</v>
      </c>
      <c r="Q53" s="1327">
        <f ca="1">Q47+Q48</f>
        <v>9793293</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1477455</v>
      </c>
      <c r="D56" s="1352"/>
      <c r="E56" s="1353"/>
      <c r="F56" s="1345"/>
      <c r="I56" s="1354" t="s">
        <v>842</v>
      </c>
      <c r="J56" s="1355"/>
      <c r="K56" s="1328" t="s">
        <v>843</v>
      </c>
      <c r="L56" s="1331">
        <f ca="1">IF(L48&lt;J51,"——",L48-J51)</f>
        <v>44.14</v>
      </c>
      <c r="O56" s="1325" t="s">
        <v>403</v>
      </c>
      <c r="P56" s="1326" t="s">
        <v>817</v>
      </c>
      <c r="Q56" s="1327">
        <f ca="1">C40+J29</f>
        <v>9793293</v>
      </c>
      <c r="R56" s="1327" t="s">
        <v>818</v>
      </c>
    </row>
    <row r="57" spans="1:18" s="1292" customFormat="1" ht="24.6" thickBot="1">
      <c r="A57" s="1356"/>
      <c r="B57" s="896" t="s">
        <v>767</v>
      </c>
      <c r="C57" s="230">
        <f ca="1">C29</f>
        <v>1846819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5171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9793293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3694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1477</v>
      </c>
      <c r="D65" s="910" t="s">
        <v>743</v>
      </c>
      <c r="E65" s="896" t="s">
        <v>744</v>
      </c>
      <c r="F65" s="321">
        <f t="shared" ca="1" si="0"/>
        <v>1E-3</v>
      </c>
      <c r="I65" s="1367" t="s">
        <v>867</v>
      </c>
      <c r="J65" s="610">
        <v>40</v>
      </c>
      <c r="K65" s="610">
        <v>30</v>
      </c>
      <c r="L65" s="610">
        <v>50</v>
      </c>
      <c r="M65" s="1369">
        <v>0.02</v>
      </c>
      <c r="O65" s="1325" t="s">
        <v>403</v>
      </c>
      <c r="P65" s="1326" t="s">
        <v>868</v>
      </c>
      <c r="Q65" s="1327">
        <f ca="1">C40+J29</f>
        <v>9793293</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-5171</v>
      </c>
      <c r="D67" s="909" t="s">
        <v>753</v>
      </c>
      <c r="E67" s="914"/>
      <c r="F67" s="915"/>
      <c r="O67" s="1334" t="s">
        <v>405</v>
      </c>
      <c r="P67" s="1326" t="s">
        <v>850</v>
      </c>
      <c r="Q67" s="1370">
        <f ca="1">L51</f>
        <v>0</v>
      </c>
      <c r="R67" s="1327" t="s">
        <v>870</v>
      </c>
    </row>
    <row r="68" spans="1:18" s="1292" customFormat="1" ht="16.2" thickBot="1">
      <c r="A68" s="893" t="s">
        <v>395</v>
      </c>
      <c r="B68" s="894" t="s">
        <v>774</v>
      </c>
      <c r="C68" s="293">
        <f ca="1">ROUND(C67*(1-((1+F70)/(1+F68))^F69)/(F68-F70),0)</f>
        <v>-106384</v>
      </c>
      <c r="D68" s="911" t="s">
        <v>758</v>
      </c>
      <c r="E68" s="896" t="s">
        <v>759</v>
      </c>
      <c r="F68" s="304">
        <f ca="1">F40</f>
        <v>0.04</v>
      </c>
      <c r="O68" s="1334" t="s">
        <v>406</v>
      </c>
      <c r="P68" s="1371" t="s">
        <v>871</v>
      </c>
      <c r="Q68" s="1327">
        <f ca="1">ROUND(Q69-Q70*Q71,0)</f>
        <v>282069</v>
      </c>
      <c r="R68" s="1327" t="s">
        <v>414</v>
      </c>
    </row>
    <row r="69" spans="1:18" s="1292" customFormat="1" ht="13.8" thickBot="1">
      <c r="A69" s="897"/>
      <c r="B69" s="898"/>
      <c r="C69" s="298"/>
      <c r="D69" s="916" t="s">
        <v>762</v>
      </c>
      <c r="E69" s="896" t="s">
        <v>763</v>
      </c>
      <c r="F69" s="324">
        <f ca="1">F41</f>
        <v>44.14</v>
      </c>
      <c r="O69" s="1334" t="s">
        <v>411</v>
      </c>
      <c r="P69" s="1371" t="s">
        <v>872</v>
      </c>
      <c r="Q69" s="1327">
        <f ca="1">C39</f>
        <v>282069</v>
      </c>
      <c r="R69" s="1327" t="s">
        <v>818</v>
      </c>
    </row>
    <row r="70" spans="1:18" s="1292" customFormat="1" ht="13.8" thickBot="1">
      <c r="A70" s="900"/>
      <c r="B70" s="901"/>
      <c r="C70" s="302"/>
      <c r="D70" s="912"/>
      <c r="E70" s="896" t="s">
        <v>766</v>
      </c>
      <c r="F70" s="991"/>
      <c r="O70" s="1334" t="s">
        <v>412</v>
      </c>
      <c r="P70" s="1371" t="s">
        <v>873</v>
      </c>
      <c r="Q70" s="1327">
        <f ca="1">C13</f>
        <v>1477455</v>
      </c>
      <c r="R70" s="1327" t="s">
        <v>818</v>
      </c>
    </row>
    <row r="71" spans="1:18" s="1292" customFormat="1" ht="13.8" thickBot="1">
      <c r="A71" s="917" t="s">
        <v>396</v>
      </c>
      <c r="B71" s="918" t="s">
        <v>776</v>
      </c>
      <c r="C71" s="327">
        <f ca="1">ROUND(C68/F71,0)</f>
        <v>-494</v>
      </c>
      <c r="D71" s="919" t="s">
        <v>777</v>
      </c>
      <c r="E71" s="920" t="s">
        <v>778</v>
      </c>
      <c r="F71" s="330">
        <f ca="1">F43</f>
        <v>215.28</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9793293</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0.84899999999999998</v>
      </c>
    </row>
    <row r="83" spans="2:3">
      <c r="B83" s="265" t="s">
        <v>803</v>
      </c>
      <c r="C83" s="266">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3358</v>
      </c>
      <c r="E2" s="3139"/>
      <c r="F2" s="2597"/>
      <c r="G2" s="2598"/>
      <c r="H2" s="2599"/>
      <c r="I2" s="2600"/>
      <c r="J2" s="3430" t="s">
        <v>2316</v>
      </c>
      <c r="K2" s="3431"/>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32" t="s">
        <v>2326</v>
      </c>
      <c r="K3" s="3433"/>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32" t="s">
        <v>2328</v>
      </c>
      <c r="K4" s="3433"/>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8" t="s">
        <v>2332</v>
      </c>
      <c r="B6" s="3439"/>
      <c r="C6" s="3440"/>
      <c r="D6" s="2621"/>
      <c r="E6" s="2622"/>
      <c r="F6" s="2623"/>
      <c r="G6" s="2624"/>
      <c r="H6" s="2599"/>
      <c r="I6" s="2600"/>
      <c r="J6" s="3424">
        <v>1</v>
      </c>
      <c r="K6" s="3425"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24"/>
      <c r="K7" s="3426"/>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41" t="s">
        <v>2346</v>
      </c>
      <c r="C8" s="3442"/>
      <c r="D8" s="2640" t="s">
        <v>2347</v>
      </c>
      <c r="E8" s="2641" t="s">
        <v>2348</v>
      </c>
      <c r="F8" s="2642" t="s">
        <v>2349</v>
      </c>
      <c r="G8" s="2643"/>
      <c r="H8" s="2599"/>
      <c r="I8" s="2600"/>
      <c r="J8" s="3424"/>
      <c r="K8" s="3426"/>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41" t="s">
        <v>2352</v>
      </c>
      <c r="C9" s="3442"/>
      <c r="D9" s="2640">
        <f>ROUND(D6*E9,0)</f>
        <v>0</v>
      </c>
      <c r="E9" s="2644"/>
      <c r="F9" s="2645" t="s">
        <v>2353</v>
      </c>
      <c r="G9" s="2624"/>
      <c r="H9" s="2599"/>
      <c r="I9" s="2600"/>
      <c r="J9" s="3424"/>
      <c r="K9" s="3426"/>
      <c r="L9" s="2634" t="s">
        <v>2354</v>
      </c>
      <c r="M9" s="2635"/>
      <c r="N9" s="2611"/>
      <c r="O9" s="2636"/>
      <c r="P9" s="2636"/>
      <c r="Q9" s="2637">
        <v>365</v>
      </c>
      <c r="R9" s="2638">
        <f t="shared" si="0"/>
        <v>0</v>
      </c>
      <c r="S9" s="2592"/>
      <c r="T9" s="2592"/>
      <c r="U9" s="2592"/>
      <c r="V9" s="2600"/>
    </row>
    <row r="10" spans="1:22" s="2604" customFormat="1" ht="13.2" customHeight="1">
      <c r="A10" s="2639">
        <v>2</v>
      </c>
      <c r="B10" s="3441" t="s">
        <v>2355</v>
      </c>
      <c r="C10" s="3442"/>
      <c r="D10" s="2640">
        <f>ROUND(D6*E10,0)</f>
        <v>0</v>
      </c>
      <c r="E10" s="2644"/>
      <c r="F10" s="2645" t="s">
        <v>2356</v>
      </c>
      <c r="G10" s="2624"/>
      <c r="H10" s="2599"/>
      <c r="I10" s="2600"/>
      <c r="J10" s="3424"/>
      <c r="K10" s="3426"/>
      <c r="L10" s="2634" t="s">
        <v>2357</v>
      </c>
      <c r="M10" s="2635"/>
      <c r="N10" s="2611"/>
      <c r="O10" s="2636"/>
      <c r="P10" s="2636"/>
      <c r="Q10" s="2637">
        <v>365</v>
      </c>
      <c r="R10" s="2638">
        <f t="shared" si="0"/>
        <v>0</v>
      </c>
      <c r="S10" s="2592"/>
      <c r="T10" s="2592"/>
      <c r="U10" s="2592"/>
      <c r="V10" s="2600"/>
    </row>
    <row r="11" spans="1:22" s="2604" customFormat="1" ht="13.2" customHeight="1">
      <c r="A11" s="2639">
        <v>3</v>
      </c>
      <c r="B11" s="3441" t="s">
        <v>2358</v>
      </c>
      <c r="C11" s="3442"/>
      <c r="D11" s="2640">
        <f>D12+D14+D15+D16</f>
        <v>0</v>
      </c>
      <c r="E11" s="2646" t="e">
        <f>D11/D6</f>
        <v>#DIV/0!</v>
      </c>
      <c r="F11" s="2642"/>
      <c r="G11" s="2643"/>
      <c r="H11" s="2599"/>
      <c r="I11" s="2600"/>
      <c r="J11" s="3424"/>
      <c r="K11" s="3426"/>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4" t="s">
        <v>2361</v>
      </c>
      <c r="C12" s="3435"/>
      <c r="D12" s="2648">
        <f>ROUND(D13*1.2%*(1-30%),0)</f>
        <v>0</v>
      </c>
      <c r="E12" s="2649">
        <v>1.2E-2</v>
      </c>
      <c r="F12" s="2642" t="s">
        <v>2362</v>
      </c>
      <c r="G12" s="2643"/>
      <c r="H12" s="2599"/>
      <c r="I12" s="2600"/>
      <c r="J12" s="3424"/>
      <c r="K12" s="3426"/>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24"/>
      <c r="K13" s="3426"/>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4" t="s">
        <v>2367</v>
      </c>
      <c r="C14" s="3435"/>
      <c r="D14" s="2648">
        <f>ROUND(E14*B5/10000,0)</f>
        <v>0</v>
      </c>
      <c r="E14" s="2637"/>
      <c r="F14" s="2642" t="s">
        <v>2368</v>
      </c>
      <c r="G14" s="2643"/>
      <c r="H14" s="2599"/>
      <c r="I14" s="2600"/>
      <c r="J14" s="3424"/>
      <c r="K14" s="3427"/>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4" t="s">
        <v>2371</v>
      </c>
      <c r="C15" s="3435"/>
      <c r="D15" s="2648">
        <f>ROUND(D6*E15,0)</f>
        <v>0</v>
      </c>
      <c r="E15" s="2649">
        <v>5.5E-2</v>
      </c>
      <c r="F15" s="2642" t="s">
        <v>2372</v>
      </c>
      <c r="G15" s="2624"/>
      <c r="H15" s="2599"/>
      <c r="I15" s="2600"/>
      <c r="J15" s="3424">
        <v>2</v>
      </c>
      <c r="K15" s="3425"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4" t="s">
        <v>2380</v>
      </c>
      <c r="C16" s="3435"/>
      <c r="D16" s="2659">
        <f>D6*E16</f>
        <v>0</v>
      </c>
      <c r="E16" s="2660"/>
      <c r="F16" s="2645" t="s">
        <v>2381</v>
      </c>
      <c r="G16" s="2624"/>
      <c r="H16" s="2599"/>
      <c r="I16" s="2600"/>
      <c r="J16" s="3424"/>
      <c r="K16" s="3426"/>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36" t="s">
        <v>2383</v>
      </c>
      <c r="C17" s="3437"/>
      <c r="D17" s="2662">
        <f>ROUND(D6*E17,0)</f>
        <v>0</v>
      </c>
      <c r="E17" s="2663"/>
      <c r="F17" s="2664" t="s">
        <v>2384</v>
      </c>
      <c r="G17" s="2624"/>
      <c r="H17" s="2599"/>
      <c r="I17" s="2600"/>
      <c r="J17" s="3424"/>
      <c r="K17" s="3426"/>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24"/>
      <c r="K18" s="3426"/>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24"/>
      <c r="K19" s="3427"/>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4">
        <v>3</v>
      </c>
      <c r="K20" s="3425"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24"/>
      <c r="K21" s="3426"/>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24"/>
      <c r="K22" s="3426"/>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24"/>
      <c r="K23" s="3426"/>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24"/>
      <c r="K24" s="3427"/>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28">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30" t="s">
        <v>2316</v>
      </c>
      <c r="K32" s="3431"/>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32" t="s">
        <v>2326</v>
      </c>
      <c r="K33" s="3433"/>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32" t="s">
        <v>2328</v>
      </c>
      <c r="K34" s="3433"/>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24">
        <v>1</v>
      </c>
      <c r="K36" s="3425"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24"/>
      <c r="K37" s="3426"/>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4"/>
      <c r="K38" s="3426"/>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24"/>
      <c r="K39" s="3426"/>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24"/>
      <c r="K40" s="3427"/>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28">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979.32929999999999</v>
      </c>
      <c r="C2" s="1729" t="s">
        <v>1651</v>
      </c>
      <c r="D2" s="1730" t="s">
        <v>1652</v>
      </c>
      <c r="E2" s="2392">
        <f>SUM(E6:E13)</f>
        <v>215.28</v>
      </c>
      <c r="F2" s="2479"/>
      <c r="G2" s="459"/>
      <c r="H2" s="459"/>
      <c r="I2" s="459"/>
      <c r="J2" s="459"/>
      <c r="K2" s="459"/>
      <c r="L2" s="459"/>
      <c r="M2" s="459"/>
      <c r="N2" s="459"/>
      <c r="O2" s="459"/>
      <c r="P2" s="459"/>
      <c r="Q2" s="459"/>
      <c r="R2" s="459"/>
      <c r="S2" s="459"/>
    </row>
    <row r="3" spans="1:22" ht="15.6">
      <c r="A3" s="1728" t="s">
        <v>686</v>
      </c>
      <c r="B3" s="2386">
        <f ca="1">ROUND(B2*10000/E2,0)</f>
        <v>45491</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3" t="s">
        <v>1654</v>
      </c>
      <c r="C5" s="3444"/>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979.32929999999999</v>
      </c>
      <c r="C6" s="1729" t="s">
        <v>1651</v>
      </c>
      <c r="D6" s="2479"/>
      <c r="E6" s="2391">
        <f>IF(OR(A6=0,F6="否"),0,'数据-取费表'!K6+'数据-取费表'!S6)</f>
        <v>215.28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13" t="s">
        <v>1673</v>
      </c>
      <c r="D5" s="3409"/>
      <c r="E5" s="3446" t="s">
        <v>1674</v>
      </c>
      <c r="F5" s="3418"/>
      <c r="G5" s="3413" t="s">
        <v>1675</v>
      </c>
      <c r="H5" s="3409"/>
      <c r="I5" s="3413" t="s">
        <v>1676</v>
      </c>
      <c r="J5" s="3409"/>
      <c r="K5" s="537"/>
      <c r="L5" s="2486"/>
      <c r="M5" s="2487"/>
      <c r="N5" s="2487"/>
      <c r="O5" s="2487"/>
      <c r="P5" s="3396"/>
      <c r="Q5" s="3397"/>
      <c r="R5" s="3402"/>
      <c r="S5" s="3403"/>
      <c r="T5" s="3402"/>
      <c r="U5" s="3403"/>
      <c r="V5" s="3376"/>
      <c r="W5" s="3376"/>
      <c r="X5" s="1265"/>
      <c r="Y5" s="3402"/>
      <c r="Z5" s="3403"/>
      <c r="AA5" s="3388"/>
      <c r="AB5" s="3376"/>
      <c r="AC5" s="3388"/>
    </row>
    <row r="6" spans="1:29" ht="15" thickBot="1">
      <c r="A6" s="350"/>
      <c r="B6" s="351"/>
      <c r="C6" s="3414" t="s">
        <v>1677</v>
      </c>
      <c r="D6" s="3407"/>
      <c r="E6" s="3445" t="s">
        <v>1677</v>
      </c>
      <c r="F6" s="3416"/>
      <c r="G6" s="3414" t="s">
        <v>1677</v>
      </c>
      <c r="H6" s="3407"/>
      <c r="I6" s="3414" t="s">
        <v>1677</v>
      </c>
      <c r="J6" s="3407"/>
      <c r="K6" s="537" t="s">
        <v>1678</v>
      </c>
      <c r="L6" s="2486"/>
      <c r="M6" s="2487"/>
      <c r="N6" s="2487"/>
      <c r="O6" s="2487"/>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45709</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6"/>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53" t="s">
        <v>1775</v>
      </c>
      <c r="Q4" s="3454"/>
      <c r="R4" s="3457" t="s">
        <v>1771</v>
      </c>
      <c r="S4" s="3458"/>
      <c r="T4" s="3457" t="s">
        <v>1772</v>
      </c>
      <c r="U4" s="3458"/>
      <c r="V4" s="3459" t="s">
        <v>1773</v>
      </c>
      <c r="W4" s="3459"/>
      <c r="X4" s="1809"/>
      <c r="Y4" s="3457" t="s">
        <v>1775</v>
      </c>
      <c r="Z4" s="3458"/>
      <c r="AA4" s="3461" t="s">
        <v>1771</v>
      </c>
      <c r="AB4" s="3461" t="s">
        <v>1772</v>
      </c>
      <c r="AC4" s="3450" t="s">
        <v>1773</v>
      </c>
    </row>
    <row r="5" spans="1:29">
      <c r="A5" s="348"/>
      <c r="B5" s="349"/>
      <c r="C5" s="3413" t="s">
        <v>1673</v>
      </c>
      <c r="D5" s="3409"/>
      <c r="E5" s="3446" t="s">
        <v>1674</v>
      </c>
      <c r="F5" s="3418"/>
      <c r="G5" s="3413" t="s">
        <v>1675</v>
      </c>
      <c r="H5" s="3409"/>
      <c r="I5" s="3413" t="s">
        <v>1676</v>
      </c>
      <c r="J5" s="3409"/>
      <c r="K5" s="537"/>
      <c r="L5" s="2486"/>
      <c r="M5" s="2487"/>
      <c r="N5" s="2487"/>
      <c r="O5" s="2487"/>
      <c r="P5" s="3455"/>
      <c r="Q5" s="3397"/>
      <c r="R5" s="3402"/>
      <c r="S5" s="3403"/>
      <c r="T5" s="3402"/>
      <c r="U5" s="3403"/>
      <c r="V5" s="3376"/>
      <c r="W5" s="3376"/>
      <c r="X5" s="1265"/>
      <c r="Y5" s="3402"/>
      <c r="Z5" s="3403"/>
      <c r="AA5" s="3388"/>
      <c r="AB5" s="3388"/>
      <c r="AC5" s="3451"/>
    </row>
    <row r="6" spans="1:29" ht="15" thickBot="1">
      <c r="A6" s="350"/>
      <c r="B6" s="351"/>
      <c r="C6" s="3414" t="s">
        <v>1677</v>
      </c>
      <c r="D6" s="3407"/>
      <c r="E6" s="3445" t="s">
        <v>1677</v>
      </c>
      <c r="F6" s="3416"/>
      <c r="G6" s="3414" t="s">
        <v>1677</v>
      </c>
      <c r="H6" s="3407"/>
      <c r="I6" s="3414" t="s">
        <v>1677</v>
      </c>
      <c r="J6" s="3407"/>
      <c r="K6" s="537" t="s">
        <v>1678</v>
      </c>
      <c r="L6" s="2486"/>
      <c r="M6" s="2487"/>
      <c r="N6" s="2487"/>
      <c r="O6" s="2487"/>
      <c r="P6" s="3456"/>
      <c r="Q6" s="3399"/>
      <c r="R6" s="3402"/>
      <c r="S6" s="3403"/>
      <c r="T6" s="3404"/>
      <c r="U6" s="3405"/>
      <c r="V6" s="3376"/>
      <c r="W6" s="3376"/>
      <c r="X6" s="1265"/>
      <c r="Y6" s="3404"/>
      <c r="Z6" s="3405"/>
      <c r="AA6" s="3389"/>
      <c r="AB6" s="3389"/>
      <c r="AC6" s="3452"/>
    </row>
    <row r="7" spans="1:29" s="102" customFormat="1" ht="15" thickBot="1">
      <c r="A7" s="352" t="s">
        <v>1679</v>
      </c>
      <c r="B7" s="353"/>
      <c r="C7" s="354">
        <f>'数据-取费表'!B2</f>
        <v>45709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0"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6"/>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13" t="s">
        <v>1673</v>
      </c>
      <c r="D5" s="3409"/>
      <c r="E5" s="3446" t="s">
        <v>1674</v>
      </c>
      <c r="F5" s="3418"/>
      <c r="G5" s="3413" t="s">
        <v>1675</v>
      </c>
      <c r="H5" s="3409"/>
      <c r="I5" s="3413"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14" t="s">
        <v>1677</v>
      </c>
      <c r="D6" s="3407"/>
      <c r="E6" s="3445" t="s">
        <v>1677</v>
      </c>
      <c r="F6" s="3416"/>
      <c r="G6" s="3414" t="s">
        <v>1677</v>
      </c>
      <c r="H6" s="3407"/>
      <c r="I6" s="3414"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13" t="s">
        <v>1673</v>
      </c>
      <c r="D5" s="3409"/>
      <c r="E5" s="3446" t="s">
        <v>1674</v>
      </c>
      <c r="F5" s="3418"/>
      <c r="G5" s="3413" t="s">
        <v>1675</v>
      </c>
      <c r="H5" s="3409"/>
      <c r="I5" s="3413"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14" t="s">
        <v>1677</v>
      </c>
      <c r="D6" s="3407"/>
      <c r="E6" s="3445" t="s">
        <v>1677</v>
      </c>
      <c r="F6" s="3416"/>
      <c r="G6" s="3414" t="s">
        <v>1677</v>
      </c>
      <c r="H6" s="3407"/>
      <c r="I6" s="3414"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5"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5"/>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5"/>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5"/>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2" t="str">
        <f>A39</f>
        <v>估价对象XX用房的比较价值（楼面单价，元/平方米）</v>
      </c>
      <c r="Q39" s="3373"/>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13" t="s">
        <v>1673</v>
      </c>
      <c r="D5" s="3409"/>
      <c r="E5" s="3446" t="s">
        <v>1674</v>
      </c>
      <c r="F5" s="3418"/>
      <c r="G5" s="3413" t="s">
        <v>1675</v>
      </c>
      <c r="H5" s="3409"/>
      <c r="I5" s="3413"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14" t="s">
        <v>1677</v>
      </c>
      <c r="D6" s="3407"/>
      <c r="E6" s="3445" t="s">
        <v>1677</v>
      </c>
      <c r="F6" s="3416"/>
      <c r="G6" s="3414" t="s">
        <v>1677</v>
      </c>
      <c r="H6" s="3407"/>
      <c r="I6" s="3414"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5"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5"/>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5"/>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2" t="str">
        <f>A37</f>
        <v>估价对象XX用房的比较价值（楼面单价，元/平方米）</v>
      </c>
      <c r="Q37" s="3373"/>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13" t="s">
        <v>1673</v>
      </c>
      <c r="D5" s="3409"/>
      <c r="E5" s="3446" t="s">
        <v>1674</v>
      </c>
      <c r="F5" s="3418"/>
      <c r="G5" s="3413" t="s">
        <v>1675</v>
      </c>
      <c r="H5" s="3409"/>
      <c r="I5" s="3413"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14" t="s">
        <v>1677</v>
      </c>
      <c r="D6" s="3407"/>
      <c r="E6" s="3445" t="s">
        <v>1677</v>
      </c>
      <c r="F6" s="3416"/>
      <c r="G6" s="3414" t="s">
        <v>1677</v>
      </c>
      <c r="H6" s="3407"/>
      <c r="I6" s="3414" t="s">
        <v>1677</v>
      </c>
      <c r="J6" s="3407"/>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75"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75"/>
      <c r="Q10" s="530" t="str">
        <f t="shared" si="6"/>
        <v>土地使用年限（年）</v>
      </c>
      <c r="R10" s="664" t="s">
        <v>14</v>
      </c>
      <c r="S10" s="665">
        <f t="shared" si="0"/>
        <v>114</v>
      </c>
      <c r="T10" s="664" t="s">
        <v>14</v>
      </c>
      <c r="U10" s="665">
        <f t="shared" si="1"/>
        <v>114</v>
      </c>
      <c r="V10" s="664" t="s">
        <v>14</v>
      </c>
      <c r="W10" s="665">
        <f t="shared" si="2"/>
        <v>114</v>
      </c>
      <c r="X10" s="666"/>
      <c r="Y10" s="3257"/>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5"/>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5"/>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5" t="str">
        <f>A47</f>
        <v>比较价值（元/平方米）</v>
      </c>
      <c r="Q47" s="3375"/>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2" t="str">
        <f>A48</f>
        <v>估价对象XX用房的比较价值（楼面单价，元/平方米）</v>
      </c>
      <c r="Q48" s="3373"/>
      <c r="R48" s="3465" t="e">
        <f>ROUND(IF(D47="简单平均",AVERAGE(R47:W47),R47*F47+T47*H47+V47*J47),0)</f>
        <v>#DIV/0!</v>
      </c>
      <c r="S48" s="3465"/>
      <c r="T48" s="3465"/>
      <c r="U48" s="3465"/>
      <c r="V48" s="3465"/>
      <c r="W48" s="346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0" t="s">
        <v>1887</v>
      </c>
      <c r="H55" s="346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215.28</v>
      </c>
      <c r="F56" s="833" t="e">
        <f t="shared" ref="F56:F64" si="15">ROUND(B56*E56/10000,0)</f>
        <v>#DIV/0!</v>
      </c>
      <c r="G56" s="3386"/>
      <c r="H56" s="337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215.28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13" t="s">
        <v>1673</v>
      </c>
      <c r="D5" s="3409"/>
      <c r="E5" s="3446" t="s">
        <v>1674</v>
      </c>
      <c r="F5" s="3418"/>
      <c r="G5" s="3413" t="s">
        <v>1675</v>
      </c>
      <c r="H5" s="3409"/>
      <c r="I5" s="3413" t="s">
        <v>1676</v>
      </c>
      <c r="J5" s="3409"/>
      <c r="K5" s="537"/>
      <c r="L5" s="2486"/>
      <c r="M5" s="2487"/>
      <c r="N5" s="2487"/>
      <c r="O5" s="2487"/>
      <c r="P5" s="3396"/>
      <c r="Q5" s="3397"/>
      <c r="R5" s="3402"/>
      <c r="S5" s="3403"/>
      <c r="T5" s="3402"/>
      <c r="U5" s="3403"/>
      <c r="V5" s="3376"/>
      <c r="W5" s="3376"/>
      <c r="X5" s="1265"/>
      <c r="Y5" s="3402"/>
      <c r="Z5" s="3403"/>
      <c r="AA5" s="3388"/>
      <c r="AB5" s="3388"/>
      <c r="AC5" s="3388"/>
    </row>
    <row r="6" spans="1:29" ht="15" thickBot="1">
      <c r="A6" s="350"/>
      <c r="B6" s="351"/>
      <c r="C6" s="3467" t="s">
        <v>1919</v>
      </c>
      <c r="D6" s="3468"/>
      <c r="E6" s="3469" t="s">
        <v>1919</v>
      </c>
      <c r="F6" s="3470"/>
      <c r="G6" s="3467" t="s">
        <v>1919</v>
      </c>
      <c r="H6" s="3468"/>
      <c r="I6" s="3467" t="s">
        <v>1919</v>
      </c>
      <c r="J6" s="3468"/>
      <c r="K6" s="537" t="s">
        <v>1678</v>
      </c>
      <c r="L6" s="2486"/>
      <c r="M6" s="2487"/>
      <c r="N6" s="2487"/>
      <c r="O6" s="248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45709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75"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75"/>
      <c r="Q10" s="530" t="str">
        <f t="shared" si="6"/>
        <v>土地使用年限（年）</v>
      </c>
      <c r="R10" s="664" t="s">
        <v>14</v>
      </c>
      <c r="S10" s="665">
        <f t="shared" si="0"/>
        <v>114</v>
      </c>
      <c r="T10" s="664" t="s">
        <v>14</v>
      </c>
      <c r="U10" s="665">
        <f t="shared" si="1"/>
        <v>114</v>
      </c>
      <c r="V10" s="664" t="s">
        <v>14</v>
      </c>
      <c r="W10" s="665">
        <f t="shared" si="2"/>
        <v>114</v>
      </c>
      <c r="X10" s="666"/>
      <c r="Y10" s="3257"/>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5"/>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5"/>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5"/>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5"/>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5" t="str">
        <f>A42</f>
        <v>比较价值（元/平方米）</v>
      </c>
      <c r="Q42" s="3375"/>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2" t="str">
        <f>A43</f>
        <v>估价对象XX用房的比较价值（楼面单价，元/平方米）</v>
      </c>
      <c r="Q43" s="3373"/>
      <c r="R43" s="3465" t="e">
        <f>ROUND(IF(D42="简单平均",AVERAGE(R42:W42),R42*F42+T42*H42+V42*J42),0)</f>
        <v>#DIV/0!</v>
      </c>
      <c r="S43" s="3465"/>
      <c r="T43" s="3465"/>
      <c r="U43" s="3465"/>
      <c r="V43" s="3465"/>
      <c r="W43" s="346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0" t="s">
        <v>1887</v>
      </c>
      <c r="H50" s="346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215.28</v>
      </c>
      <c r="F51" s="611" t="e">
        <f t="shared" ref="F51:F60" si="15">ROUND(B51*E51/10000,0)</f>
        <v>#DIV/0!</v>
      </c>
      <c r="G51" s="3386"/>
      <c r="H51" s="337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f ca="1">SUMIF(B6:B13,"&lt;&gt;#ref!",B6:B13)</f>
        <v>270</v>
      </c>
      <c r="C2" s="1984" t="s">
        <v>2074</v>
      </c>
      <c r="D2" s="1984" t="s">
        <v>2075</v>
      </c>
      <c r="E2" s="2397">
        <f ca="1">SUMIF(E6:E13,"&lt;&gt;#ref!",E6:E13)</f>
        <v>215.28</v>
      </c>
      <c r="F2" s="2544"/>
      <c r="G2" s="2544"/>
      <c r="H2" s="2544"/>
      <c r="I2" s="2544"/>
      <c r="J2" s="2544"/>
      <c r="K2" s="2544"/>
      <c r="L2" s="2544"/>
      <c r="M2" s="2544"/>
      <c r="N2" s="2544"/>
      <c r="O2" s="2544"/>
      <c r="P2" s="2544"/>
    </row>
    <row r="3" spans="1:16" ht="15.6">
      <c r="A3" s="1984" t="s">
        <v>2076</v>
      </c>
      <c r="B3" s="2387">
        <f ca="1">ROUND(B2*10000/E2,0)</f>
        <v>12542</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270</v>
      </c>
      <c r="C6" s="1984" t="s">
        <v>2074</v>
      </c>
      <c r="D6" s="2544"/>
      <c r="E6" s="2397">
        <f ca="1">SUMIF(INDIRECT("'"&amp;A6&amp;"'"&amp;"!C:C"),"建筑面积",INDIRECT("'"&amp;A6&amp;"'"&amp;"!D:D"))</f>
        <v>215.28</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9" sqref="A9:D9"/>
    </sheetView>
  </sheetViews>
  <sheetFormatPr defaultColWidth="13.44140625" defaultRowHeight="15.6"/>
  <cols>
    <col min="1" max="16384" width="13.44140625" style="3165"/>
  </cols>
  <sheetData>
    <row r="1" spans="1:15">
      <c r="A1" s="3477" t="s">
        <v>3572</v>
      </c>
      <c r="C1" s="3166">
        <v>45689.333831018521</v>
      </c>
      <c r="D1" s="3166">
        <v>45658.333831018521</v>
      </c>
      <c r="E1" s="3166">
        <v>45627.333831018521</v>
      </c>
      <c r="F1" s="3166">
        <v>45597.333831018521</v>
      </c>
      <c r="G1" s="3166">
        <v>45566.333831018521</v>
      </c>
      <c r="H1" s="3166">
        <v>45536.333831018521</v>
      </c>
      <c r="I1" s="3166">
        <v>45505.333831018521</v>
      </c>
      <c r="J1" s="3166">
        <v>45474.333831018521</v>
      </c>
      <c r="K1" s="3166">
        <v>45444.333831018521</v>
      </c>
      <c r="L1" s="3166">
        <v>45413.333831018521</v>
      </c>
      <c r="M1" s="3166">
        <v>45383.333831018521</v>
      </c>
      <c r="N1" s="3166">
        <v>45352.333831018521</v>
      </c>
      <c r="O1" s="3166">
        <v>45323.333831018521</v>
      </c>
    </row>
    <row r="2" spans="1:15">
      <c r="A2" s="3477"/>
      <c r="C2" s="3165" t="s">
        <v>3573</v>
      </c>
      <c r="D2" s="3165" t="s">
        <v>3573</v>
      </c>
      <c r="E2" s="3165" t="s">
        <v>3573</v>
      </c>
      <c r="F2" s="3165" t="s">
        <v>3573</v>
      </c>
      <c r="G2" s="3165" t="s">
        <v>3573</v>
      </c>
      <c r="H2" s="3165" t="s">
        <v>3573</v>
      </c>
      <c r="I2" s="3165" t="s">
        <v>3573</v>
      </c>
      <c r="J2" s="3165" t="s">
        <v>3573</v>
      </c>
      <c r="K2" s="3165" t="s">
        <v>3573</v>
      </c>
      <c r="L2" s="3165" t="s">
        <v>3573</v>
      </c>
      <c r="M2" s="3165" t="s">
        <v>3573</v>
      </c>
      <c r="N2" s="3165" t="s">
        <v>3573</v>
      </c>
      <c r="O2" s="3165" t="s">
        <v>3573</v>
      </c>
    </row>
    <row r="3" spans="1:15">
      <c r="A3" s="3165" t="s">
        <v>3574</v>
      </c>
      <c r="B3" s="3165">
        <f>ROUND(AVERAGE(C3:O3),1)</f>
        <v>175.1</v>
      </c>
      <c r="C3" s="3165">
        <v>173.25</v>
      </c>
      <c r="D3" s="3165">
        <v>173.95</v>
      </c>
      <c r="E3" s="3165">
        <v>178.49</v>
      </c>
      <c r="F3" s="3165">
        <v>167.17</v>
      </c>
      <c r="G3" s="3165">
        <v>175.99</v>
      </c>
      <c r="H3" s="3165">
        <v>175.31</v>
      </c>
      <c r="I3" s="3165">
        <v>168.97</v>
      </c>
      <c r="J3" s="3165">
        <v>171.03</v>
      </c>
      <c r="K3" s="3165">
        <v>175.34</v>
      </c>
      <c r="L3" s="3165">
        <v>182.96</v>
      </c>
      <c r="M3" s="3165">
        <v>184.67</v>
      </c>
      <c r="N3" s="3165">
        <v>178.57</v>
      </c>
      <c r="O3" s="3165">
        <v>170.9</v>
      </c>
    </row>
    <row r="6" spans="1:15">
      <c r="A6" s="3508" t="s">
        <v>3576</v>
      </c>
      <c r="B6" s="3508" t="s">
        <v>3577</v>
      </c>
      <c r="C6" s="3508" t="s">
        <v>3578</v>
      </c>
      <c r="D6" s="3508" t="s">
        <v>3579</v>
      </c>
    </row>
    <row r="7" spans="1:15">
      <c r="A7" s="3509">
        <v>45702</v>
      </c>
      <c r="B7" s="3508">
        <v>229</v>
      </c>
      <c r="C7" s="3508">
        <v>29000</v>
      </c>
      <c r="D7" s="3508">
        <f>ROUND(C7/B7,1)</f>
        <v>126.6</v>
      </c>
    </row>
    <row r="8" spans="1:15">
      <c r="A8" s="3509">
        <v>45547</v>
      </c>
      <c r="B8" s="3508">
        <v>187.86</v>
      </c>
      <c r="C8" s="3508">
        <v>28000</v>
      </c>
      <c r="D8" s="3508">
        <f t="shared" ref="D8:D13" si="0">ROUND(C8/B8,1)</f>
        <v>149</v>
      </c>
    </row>
    <row r="9" spans="1:15">
      <c r="A9" s="3509">
        <v>45448</v>
      </c>
      <c r="B9" s="3508">
        <v>215.28</v>
      </c>
      <c r="C9" s="3508">
        <v>31000</v>
      </c>
      <c r="D9" s="3508">
        <f t="shared" si="0"/>
        <v>144</v>
      </c>
    </row>
    <row r="10" spans="1:15">
      <c r="A10" s="3509">
        <v>45443</v>
      </c>
      <c r="B10" s="3508">
        <v>227</v>
      </c>
      <c r="C10" s="3508">
        <v>31000</v>
      </c>
      <c r="D10" s="3508">
        <f t="shared" si="0"/>
        <v>136.6</v>
      </c>
    </row>
    <row r="11" spans="1:15">
      <c r="A11" s="3509">
        <v>45398</v>
      </c>
      <c r="B11" s="3508">
        <v>81</v>
      </c>
      <c r="C11" s="3508">
        <v>15000</v>
      </c>
      <c r="D11" s="3508">
        <f t="shared" si="0"/>
        <v>185.2</v>
      </c>
    </row>
    <row r="12" spans="1:15">
      <c r="A12" s="3509">
        <v>44956</v>
      </c>
      <c r="B12" s="3508">
        <v>217</v>
      </c>
      <c r="C12" s="3508">
        <v>30000</v>
      </c>
      <c r="D12" s="3508">
        <f t="shared" si="0"/>
        <v>138.19999999999999</v>
      </c>
    </row>
    <row r="13" spans="1:15">
      <c r="A13" s="3509">
        <v>44879</v>
      </c>
      <c r="B13" s="3508">
        <v>227</v>
      </c>
      <c r="C13" s="3508">
        <v>35000</v>
      </c>
      <c r="D13" s="3508">
        <f t="shared" si="0"/>
        <v>154.19999999999999</v>
      </c>
    </row>
    <row r="14" spans="1:15">
      <c r="A14" s="3508"/>
      <c r="B14" s="3508"/>
      <c r="C14" s="3508"/>
      <c r="D14" s="3508"/>
    </row>
    <row r="15" spans="1:15">
      <c r="A15" s="3508"/>
      <c r="B15" s="3508"/>
      <c r="C15" s="3508"/>
      <c r="D15" s="3508"/>
    </row>
    <row r="16" spans="1:15">
      <c r="A16" s="3508"/>
      <c r="B16" s="3508"/>
      <c r="C16" s="3508"/>
      <c r="D16" s="3508"/>
    </row>
    <row r="17" spans="1:4">
      <c r="A17" s="3508"/>
      <c r="B17" s="3508"/>
      <c r="C17" s="3508"/>
      <c r="D17" s="3508"/>
    </row>
    <row r="18" spans="1:4">
      <c r="A18" s="3508"/>
      <c r="B18" s="3508"/>
      <c r="C18" s="3508"/>
      <c r="D18" s="3508"/>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activeCell="F19" sqref="F19"/>
    </sheetView>
  </sheetViews>
  <sheetFormatPr defaultColWidth="8.88671875" defaultRowHeight="15.6"/>
  <cols>
    <col min="1" max="415" width="22.21875" style="3165" customWidth="1"/>
    <col min="416" max="16384" width="8.88671875" style="3165"/>
  </cols>
  <sheetData>
    <row r="1" spans="1:7">
      <c r="A1" s="3477" t="s">
        <v>3554</v>
      </c>
      <c r="B1" s="3477" t="s">
        <v>3553</v>
      </c>
      <c r="C1" s="3477" t="s">
        <v>3552</v>
      </c>
      <c r="D1" s="3477" t="s">
        <v>3551</v>
      </c>
      <c r="E1" s="3477" t="s">
        <v>3550</v>
      </c>
      <c r="F1" s="3477" t="s">
        <v>3549</v>
      </c>
      <c r="G1" s="3477" t="s">
        <v>3548</v>
      </c>
    </row>
    <row r="2" spans="1:7">
      <c r="A2" s="3165" t="s">
        <v>3547</v>
      </c>
      <c r="B2" s="3165">
        <v>154</v>
      </c>
      <c r="C2" s="3165">
        <v>30119</v>
      </c>
      <c r="D2" s="3165">
        <v>86280</v>
      </c>
      <c r="E2" s="3165">
        <v>259869.68</v>
      </c>
      <c r="F2" s="3165">
        <v>69</v>
      </c>
      <c r="G2" s="3165">
        <v>10440</v>
      </c>
    </row>
    <row r="3" spans="1:7">
      <c r="A3" s="3165" t="s">
        <v>3546</v>
      </c>
      <c r="B3" s="3165" t="s">
        <v>3489</v>
      </c>
      <c r="C3" s="3165" t="s">
        <v>3489</v>
      </c>
      <c r="D3" s="3165" t="s">
        <v>3489</v>
      </c>
      <c r="E3" s="3165" t="s">
        <v>3489</v>
      </c>
      <c r="F3" s="3165">
        <v>69</v>
      </c>
      <c r="G3" s="3165">
        <v>10440</v>
      </c>
    </row>
    <row r="4" spans="1:7">
      <c r="A4" s="3165" t="s">
        <v>3545</v>
      </c>
      <c r="B4" s="3165" t="s">
        <v>3489</v>
      </c>
      <c r="C4" s="3165" t="s">
        <v>3489</v>
      </c>
      <c r="D4" s="3165" t="s">
        <v>3489</v>
      </c>
      <c r="E4" s="3165" t="s">
        <v>3489</v>
      </c>
      <c r="F4" s="3165">
        <v>77</v>
      </c>
      <c r="G4" s="3165">
        <v>11949</v>
      </c>
    </row>
    <row r="5" spans="1:7">
      <c r="A5" s="3165" t="s">
        <v>3544</v>
      </c>
      <c r="B5" s="3165" t="s">
        <v>3489</v>
      </c>
      <c r="C5" s="3165" t="s">
        <v>3489</v>
      </c>
      <c r="D5" s="3165" t="s">
        <v>3489</v>
      </c>
      <c r="E5" s="3165" t="s">
        <v>3489</v>
      </c>
      <c r="F5" s="3165">
        <v>78</v>
      </c>
      <c r="G5" s="3165">
        <v>12172</v>
      </c>
    </row>
    <row r="6" spans="1:7">
      <c r="A6" s="3165" t="s">
        <v>3543</v>
      </c>
      <c r="B6" s="3165" t="s">
        <v>3489</v>
      </c>
      <c r="C6" s="3165" t="s">
        <v>3489</v>
      </c>
      <c r="D6" s="3165" t="s">
        <v>3489</v>
      </c>
      <c r="E6" s="3165" t="s">
        <v>3489</v>
      </c>
      <c r="F6" s="3165">
        <v>79</v>
      </c>
      <c r="G6" s="3165">
        <v>12337</v>
      </c>
    </row>
    <row r="7" spans="1:7">
      <c r="A7" s="3165" t="s">
        <v>3542</v>
      </c>
      <c r="B7" s="3165" t="s">
        <v>3489</v>
      </c>
      <c r="C7" s="3165" t="s">
        <v>3489</v>
      </c>
      <c r="D7" s="3165" t="s">
        <v>3489</v>
      </c>
      <c r="E7" s="3165" t="s">
        <v>3489</v>
      </c>
      <c r="F7" s="3165">
        <v>79</v>
      </c>
      <c r="G7" s="3165">
        <v>12337</v>
      </c>
    </row>
    <row r="8" spans="1:7">
      <c r="A8" s="3165" t="s">
        <v>3541</v>
      </c>
      <c r="B8" s="3165" t="s">
        <v>3489</v>
      </c>
      <c r="C8" s="3165" t="s">
        <v>3489</v>
      </c>
      <c r="D8" s="3165" t="s">
        <v>3489</v>
      </c>
      <c r="E8" s="3165" t="s">
        <v>3489</v>
      </c>
      <c r="F8" s="3165">
        <v>79</v>
      </c>
      <c r="G8" s="3165">
        <v>12337</v>
      </c>
    </row>
    <row r="9" spans="1:7">
      <c r="A9" s="3165" t="s">
        <v>3540</v>
      </c>
      <c r="B9" s="3165" t="s">
        <v>3489</v>
      </c>
      <c r="C9" s="3165" t="s">
        <v>3489</v>
      </c>
      <c r="D9" s="3165" t="s">
        <v>3489</v>
      </c>
      <c r="E9" s="3165" t="s">
        <v>3489</v>
      </c>
      <c r="F9" s="3165">
        <v>79</v>
      </c>
      <c r="G9" s="3165">
        <v>12337</v>
      </c>
    </row>
    <row r="10" spans="1:7">
      <c r="A10" s="3165" t="s">
        <v>3539</v>
      </c>
      <c r="B10" s="3165" t="s">
        <v>3489</v>
      </c>
      <c r="C10" s="3165" t="s">
        <v>3489</v>
      </c>
      <c r="D10" s="3165" t="s">
        <v>3489</v>
      </c>
      <c r="E10" s="3165" t="s">
        <v>3489</v>
      </c>
      <c r="F10" s="3165">
        <v>79</v>
      </c>
      <c r="G10" s="3165">
        <v>12337</v>
      </c>
    </row>
    <row r="11" spans="1:7">
      <c r="A11" s="3165" t="s">
        <v>3538</v>
      </c>
      <c r="B11" s="3165" t="s">
        <v>3489</v>
      </c>
      <c r="C11" s="3165" t="s">
        <v>3489</v>
      </c>
      <c r="D11" s="3165" t="s">
        <v>3489</v>
      </c>
      <c r="E11" s="3165" t="s">
        <v>3489</v>
      </c>
      <c r="F11" s="3165">
        <v>79</v>
      </c>
      <c r="G11" s="3165">
        <v>12337</v>
      </c>
    </row>
    <row r="12" spans="1:7">
      <c r="A12" s="3165" t="s">
        <v>3537</v>
      </c>
      <c r="B12" s="3165" t="s">
        <v>3489</v>
      </c>
      <c r="C12" s="3165" t="s">
        <v>3489</v>
      </c>
      <c r="D12" s="3165" t="s">
        <v>3489</v>
      </c>
      <c r="E12" s="3165" t="s">
        <v>3489</v>
      </c>
      <c r="F12" s="3165">
        <v>79</v>
      </c>
      <c r="G12" s="3165">
        <v>12337</v>
      </c>
    </row>
    <row r="13" spans="1:7">
      <c r="A13" s="3165" t="s">
        <v>3536</v>
      </c>
      <c r="B13" s="3165" t="s">
        <v>3489</v>
      </c>
      <c r="C13" s="3165" t="s">
        <v>3489</v>
      </c>
      <c r="D13" s="3165" t="s">
        <v>3489</v>
      </c>
      <c r="E13" s="3165" t="s">
        <v>3489</v>
      </c>
      <c r="F13" s="3165">
        <v>79</v>
      </c>
      <c r="G13" s="3165">
        <v>12337</v>
      </c>
    </row>
    <row r="14" spans="1:7">
      <c r="A14" s="3165" t="s">
        <v>3535</v>
      </c>
      <c r="B14" s="3165" t="s">
        <v>3489</v>
      </c>
      <c r="C14" s="3165" t="s">
        <v>3489</v>
      </c>
      <c r="D14" s="3165" t="s">
        <v>3489</v>
      </c>
      <c r="E14" s="3165" t="s">
        <v>3489</v>
      </c>
      <c r="F14" s="3165">
        <v>79</v>
      </c>
      <c r="G14" s="3165">
        <v>12337</v>
      </c>
    </row>
    <row r="15" spans="1:7">
      <c r="A15" s="3165" t="s">
        <v>3534</v>
      </c>
      <c r="B15" s="3165">
        <v>2</v>
      </c>
      <c r="C15" s="3165">
        <v>368</v>
      </c>
      <c r="D15" s="3165">
        <v>83088</v>
      </c>
      <c r="E15" s="3165">
        <v>3055.14</v>
      </c>
      <c r="F15" s="3165">
        <v>79</v>
      </c>
      <c r="G15" s="3165">
        <v>12337</v>
      </c>
    </row>
    <row r="16" spans="1:7">
      <c r="A16" s="3165" t="s">
        <v>3533</v>
      </c>
      <c r="B16" s="3165" t="s">
        <v>3489</v>
      </c>
      <c r="C16" s="3165" t="s">
        <v>3489</v>
      </c>
      <c r="D16" s="3165" t="s">
        <v>3489</v>
      </c>
      <c r="E16" s="3165" t="s">
        <v>3489</v>
      </c>
      <c r="F16" s="3165">
        <v>81</v>
      </c>
      <c r="G16" s="3165">
        <v>12705</v>
      </c>
    </row>
    <row r="17" spans="1:7">
      <c r="A17" s="3165" t="s">
        <v>3532</v>
      </c>
      <c r="B17" s="3165">
        <v>4</v>
      </c>
      <c r="C17" s="3165">
        <v>621</v>
      </c>
      <c r="D17" s="3165">
        <v>82603</v>
      </c>
      <c r="E17" s="3165">
        <v>5125.8500000000004</v>
      </c>
      <c r="F17" s="3165">
        <v>81</v>
      </c>
      <c r="G17" s="3165">
        <v>12705</v>
      </c>
    </row>
    <row r="18" spans="1:7">
      <c r="A18" s="3165" t="s">
        <v>3531</v>
      </c>
      <c r="B18" s="3165">
        <v>2</v>
      </c>
      <c r="C18" s="3165">
        <v>518</v>
      </c>
      <c r="D18" s="3165">
        <v>78950</v>
      </c>
      <c r="E18" s="3165">
        <v>4086.38</v>
      </c>
      <c r="F18" s="3165">
        <v>83</v>
      </c>
      <c r="G18" s="3165">
        <v>12974</v>
      </c>
    </row>
    <row r="19" spans="1:7">
      <c r="A19" s="3165" t="s">
        <v>3530</v>
      </c>
      <c r="B19" s="3165" t="s">
        <v>3489</v>
      </c>
      <c r="C19" s="3165" t="s">
        <v>3489</v>
      </c>
      <c r="D19" s="3165" t="s">
        <v>3489</v>
      </c>
      <c r="E19" s="3165" t="s">
        <v>3489</v>
      </c>
      <c r="F19" s="3165">
        <v>84</v>
      </c>
      <c r="G19" s="3165">
        <v>13162</v>
      </c>
    </row>
    <row r="20" spans="1:7">
      <c r="A20" s="3165" t="s">
        <v>3529</v>
      </c>
      <c r="B20" s="3165" t="s">
        <v>3489</v>
      </c>
      <c r="C20" s="3165" t="s">
        <v>3489</v>
      </c>
      <c r="D20" s="3165" t="s">
        <v>3489</v>
      </c>
      <c r="E20" s="3165" t="s">
        <v>3489</v>
      </c>
      <c r="F20" s="3165">
        <v>84</v>
      </c>
      <c r="G20" s="3165">
        <v>13162</v>
      </c>
    </row>
    <row r="21" spans="1:7">
      <c r="A21" s="3165" t="s">
        <v>3528</v>
      </c>
      <c r="B21" s="3165" t="s">
        <v>3489</v>
      </c>
      <c r="C21" s="3165" t="s">
        <v>3489</v>
      </c>
      <c r="D21" s="3165" t="s">
        <v>3489</v>
      </c>
      <c r="E21" s="3165" t="s">
        <v>3489</v>
      </c>
      <c r="F21" s="3165">
        <v>84</v>
      </c>
      <c r="G21" s="3165">
        <v>13162</v>
      </c>
    </row>
    <row r="22" spans="1:7">
      <c r="A22" s="3165" t="s">
        <v>3527</v>
      </c>
      <c r="B22" s="3165" t="s">
        <v>3489</v>
      </c>
      <c r="C22" s="3165" t="s">
        <v>3489</v>
      </c>
      <c r="D22" s="3165" t="s">
        <v>3489</v>
      </c>
      <c r="E22" s="3165" t="s">
        <v>3489</v>
      </c>
      <c r="F22" s="3165">
        <v>84</v>
      </c>
      <c r="G22" s="3165">
        <v>13162</v>
      </c>
    </row>
    <row r="23" spans="1:7">
      <c r="A23" s="3165" t="s">
        <v>3526</v>
      </c>
      <c r="B23" s="3165">
        <v>2</v>
      </c>
      <c r="C23" s="3165">
        <v>317</v>
      </c>
      <c r="D23" s="3165">
        <v>81223</v>
      </c>
      <c r="E23" s="3165">
        <v>2573.38</v>
      </c>
      <c r="F23" s="3165">
        <v>112</v>
      </c>
      <c r="G23" s="3165">
        <v>19389</v>
      </c>
    </row>
    <row r="24" spans="1:7">
      <c r="A24" s="3165" t="s">
        <v>3525</v>
      </c>
      <c r="B24" s="3165">
        <v>2</v>
      </c>
      <c r="C24" s="3165">
        <v>360</v>
      </c>
      <c r="D24" s="3165">
        <v>89226</v>
      </c>
      <c r="E24" s="3165">
        <v>3215</v>
      </c>
      <c r="F24" s="3165">
        <v>129</v>
      </c>
      <c r="G24" s="3165">
        <v>22211</v>
      </c>
    </row>
    <row r="25" spans="1:7">
      <c r="A25" s="3165" t="s">
        <v>3524</v>
      </c>
      <c r="B25" s="3165">
        <v>12</v>
      </c>
      <c r="C25" s="3165">
        <v>1968</v>
      </c>
      <c r="D25" s="3165">
        <v>88104</v>
      </c>
      <c r="E25" s="3165">
        <v>17342.490000000002</v>
      </c>
      <c r="F25" s="3165">
        <v>129</v>
      </c>
      <c r="G25" s="3165">
        <v>22211</v>
      </c>
    </row>
    <row r="26" spans="1:7">
      <c r="A26" s="3165" t="s">
        <v>3523</v>
      </c>
      <c r="B26" s="3165">
        <v>2</v>
      </c>
      <c r="C26" s="3165">
        <v>360</v>
      </c>
      <c r="D26" s="3165">
        <v>84107</v>
      </c>
      <c r="E26" s="3165">
        <v>3030.53</v>
      </c>
      <c r="F26" s="3165">
        <v>129</v>
      </c>
      <c r="G26" s="3165">
        <v>22211</v>
      </c>
    </row>
    <row r="27" spans="1:7">
      <c r="A27" s="3165" t="s">
        <v>3522</v>
      </c>
      <c r="B27" s="3165">
        <v>1</v>
      </c>
      <c r="C27" s="3165">
        <v>227</v>
      </c>
      <c r="D27" s="3165">
        <v>86566</v>
      </c>
      <c r="E27" s="3165">
        <v>1968</v>
      </c>
      <c r="F27" s="3165">
        <v>129</v>
      </c>
      <c r="G27" s="3165">
        <v>22211</v>
      </c>
    </row>
    <row r="28" spans="1:7">
      <c r="A28" s="3165" t="s">
        <v>3521</v>
      </c>
      <c r="B28" s="3165">
        <v>2</v>
      </c>
      <c r="C28" s="3165">
        <v>298</v>
      </c>
      <c r="D28" s="3165">
        <v>91919</v>
      </c>
      <c r="E28" s="3165">
        <v>2738.44</v>
      </c>
      <c r="F28" s="3165">
        <v>129</v>
      </c>
      <c r="G28" s="3165">
        <v>22211</v>
      </c>
    </row>
    <row r="29" spans="1:7">
      <c r="A29" s="3165" t="s">
        <v>3520</v>
      </c>
      <c r="B29" s="3165">
        <v>8</v>
      </c>
      <c r="C29" s="3165">
        <v>1243</v>
      </c>
      <c r="D29" s="3165">
        <v>84553</v>
      </c>
      <c r="E29" s="3165">
        <v>10506.05</v>
      </c>
      <c r="F29" s="3165">
        <v>131</v>
      </c>
      <c r="G29" s="3165">
        <v>22509</v>
      </c>
    </row>
    <row r="30" spans="1:7">
      <c r="A30" s="3165" t="s">
        <v>3519</v>
      </c>
      <c r="B30" s="3165" t="s">
        <v>3489</v>
      </c>
      <c r="C30" s="3165" t="s">
        <v>3489</v>
      </c>
      <c r="D30" s="3165" t="s">
        <v>3489</v>
      </c>
      <c r="E30" s="3165" t="s">
        <v>3489</v>
      </c>
      <c r="F30" s="3165">
        <v>139</v>
      </c>
      <c r="G30" s="3165">
        <v>23751</v>
      </c>
    </row>
    <row r="31" spans="1:7">
      <c r="A31" s="3165" t="s">
        <v>3518</v>
      </c>
      <c r="B31" s="3165">
        <v>3</v>
      </c>
      <c r="C31" s="3165">
        <v>430</v>
      </c>
      <c r="D31" s="3165">
        <v>90757</v>
      </c>
      <c r="E31" s="3165">
        <v>3899.55</v>
      </c>
      <c r="F31" s="3165">
        <v>139</v>
      </c>
      <c r="G31" s="3165">
        <v>23751</v>
      </c>
    </row>
    <row r="32" spans="1:7">
      <c r="A32" s="3165" t="s">
        <v>3517</v>
      </c>
      <c r="B32" s="3165" t="s">
        <v>3489</v>
      </c>
      <c r="C32" s="3165" t="s">
        <v>3489</v>
      </c>
      <c r="D32" s="3165" t="s">
        <v>3489</v>
      </c>
      <c r="E32" s="3165" t="s">
        <v>3489</v>
      </c>
      <c r="F32" s="3165">
        <v>142</v>
      </c>
      <c r="G32" s="3165">
        <v>24181</v>
      </c>
    </row>
    <row r="33" spans="1:7">
      <c r="A33" s="3165" t="s">
        <v>3516</v>
      </c>
      <c r="B33" s="3165">
        <v>4</v>
      </c>
      <c r="C33" s="3165">
        <v>826</v>
      </c>
      <c r="D33" s="3165">
        <v>88061</v>
      </c>
      <c r="E33" s="3165">
        <v>7274.37</v>
      </c>
      <c r="F33" s="3165">
        <v>142</v>
      </c>
      <c r="G33" s="3165">
        <v>24181</v>
      </c>
    </row>
    <row r="34" spans="1:7">
      <c r="A34" s="3165" t="s">
        <v>3515</v>
      </c>
      <c r="B34" s="3165">
        <v>2</v>
      </c>
      <c r="C34" s="3165">
        <v>290</v>
      </c>
      <c r="D34" s="3165">
        <v>87100</v>
      </c>
      <c r="E34" s="3165">
        <v>2527.65</v>
      </c>
      <c r="F34" s="3165">
        <v>146</v>
      </c>
      <c r="G34" s="3165">
        <v>25007</v>
      </c>
    </row>
    <row r="35" spans="1:7">
      <c r="A35" s="3165" t="s">
        <v>3514</v>
      </c>
      <c r="B35" s="3165">
        <v>2</v>
      </c>
      <c r="C35" s="3165">
        <v>357</v>
      </c>
      <c r="D35" s="3165">
        <v>88081</v>
      </c>
      <c r="E35" s="3165">
        <v>3145.03</v>
      </c>
      <c r="F35" s="3165">
        <v>148</v>
      </c>
      <c r="G35" s="3165">
        <v>25297</v>
      </c>
    </row>
    <row r="36" spans="1:7">
      <c r="A36" s="3165" t="s">
        <v>3513</v>
      </c>
      <c r="B36" s="3165">
        <v>4</v>
      </c>
      <c r="C36" s="3165">
        <v>732</v>
      </c>
      <c r="D36" s="3165">
        <v>89896</v>
      </c>
      <c r="E36" s="3165">
        <v>6582.12</v>
      </c>
      <c r="F36" s="3165">
        <v>150</v>
      </c>
      <c r="G36" s="3165">
        <v>25573</v>
      </c>
    </row>
    <row r="37" spans="1:7">
      <c r="A37" s="3165" t="s">
        <v>3512</v>
      </c>
      <c r="B37" s="3165">
        <v>6</v>
      </c>
      <c r="C37" s="3165">
        <v>955</v>
      </c>
      <c r="D37" s="3165">
        <v>88294</v>
      </c>
      <c r="E37" s="3165">
        <v>8430.92</v>
      </c>
      <c r="F37" s="3165">
        <v>154</v>
      </c>
      <c r="G37" s="3165">
        <v>26305</v>
      </c>
    </row>
    <row r="38" spans="1:7">
      <c r="A38" s="3165" t="s">
        <v>3511</v>
      </c>
      <c r="B38" s="3165">
        <v>12</v>
      </c>
      <c r="C38" s="3165">
        <v>2213</v>
      </c>
      <c r="D38" s="3165">
        <v>86723</v>
      </c>
      <c r="E38" s="3165">
        <v>19187.93</v>
      </c>
      <c r="F38" s="3165">
        <v>160</v>
      </c>
      <c r="G38" s="3165">
        <v>27260</v>
      </c>
    </row>
    <row r="39" spans="1:7">
      <c r="A39" s="3165" t="s">
        <v>3510</v>
      </c>
      <c r="B39" s="3165">
        <v>9</v>
      </c>
      <c r="C39" s="3165">
        <v>1673</v>
      </c>
      <c r="D39" s="3165">
        <v>86578</v>
      </c>
      <c r="E39" s="3165">
        <v>14480.36</v>
      </c>
      <c r="F39" s="3165">
        <v>49</v>
      </c>
      <c r="G39" s="3165">
        <v>10452</v>
      </c>
    </row>
    <row r="40" spans="1:7">
      <c r="A40" s="3165" t="s">
        <v>3509</v>
      </c>
      <c r="B40" s="3165" t="s">
        <v>3489</v>
      </c>
      <c r="C40" s="3165" t="s">
        <v>3489</v>
      </c>
      <c r="D40" s="3165" t="s">
        <v>3489</v>
      </c>
      <c r="E40" s="3165" t="s">
        <v>3489</v>
      </c>
      <c r="F40" s="3165">
        <v>35</v>
      </c>
      <c r="G40" s="3165">
        <v>8069</v>
      </c>
    </row>
    <row r="41" spans="1:7">
      <c r="A41" s="3165" t="s">
        <v>3508</v>
      </c>
      <c r="B41" s="3165">
        <v>1</v>
      </c>
      <c r="C41" s="3165">
        <v>260</v>
      </c>
      <c r="D41" s="3165">
        <v>91921</v>
      </c>
      <c r="E41" s="3165">
        <v>2388.75</v>
      </c>
      <c r="F41" s="3165">
        <v>35</v>
      </c>
      <c r="G41" s="3165">
        <v>8069</v>
      </c>
    </row>
    <row r="42" spans="1:7">
      <c r="A42" s="3165" t="s">
        <v>3507</v>
      </c>
      <c r="B42" s="3165" t="s">
        <v>3489</v>
      </c>
      <c r="C42" s="3165" t="s">
        <v>3489</v>
      </c>
      <c r="D42" s="3165" t="s">
        <v>3489</v>
      </c>
      <c r="E42" s="3165" t="s">
        <v>3489</v>
      </c>
      <c r="F42" s="3165">
        <v>36</v>
      </c>
      <c r="G42" s="3165">
        <v>8329</v>
      </c>
    </row>
    <row r="43" spans="1:7">
      <c r="A43" s="3165" t="s">
        <v>3506</v>
      </c>
      <c r="B43" s="3165">
        <v>1</v>
      </c>
      <c r="C43" s="3165">
        <v>290</v>
      </c>
      <c r="D43" s="3165">
        <v>90998</v>
      </c>
      <c r="E43" s="3165">
        <v>2637.4</v>
      </c>
      <c r="F43" s="3165">
        <v>36</v>
      </c>
      <c r="G43" s="3165">
        <v>8329</v>
      </c>
    </row>
    <row r="44" spans="1:7">
      <c r="A44" s="3165" t="s">
        <v>3505</v>
      </c>
      <c r="B44" s="3165">
        <v>6</v>
      </c>
      <c r="C44" s="3165">
        <v>1514</v>
      </c>
      <c r="D44" s="3165">
        <v>90693</v>
      </c>
      <c r="E44" s="3165">
        <v>13728.8</v>
      </c>
      <c r="F44" s="3165">
        <v>37</v>
      </c>
      <c r="G44" s="3165">
        <v>8619</v>
      </c>
    </row>
    <row r="45" spans="1:7">
      <c r="A45" s="3165" t="s">
        <v>3504</v>
      </c>
      <c r="B45" s="3165">
        <v>5</v>
      </c>
      <c r="C45" s="3165">
        <v>1132</v>
      </c>
      <c r="D45" s="3165">
        <v>83621</v>
      </c>
      <c r="E45" s="3165">
        <v>9463.7000000000007</v>
      </c>
      <c r="F45" s="3165">
        <v>43</v>
      </c>
      <c r="G45" s="3165">
        <v>10133</v>
      </c>
    </row>
    <row r="46" spans="1:7">
      <c r="A46" s="3165" t="s">
        <v>3503</v>
      </c>
      <c r="B46" s="3165">
        <v>1</v>
      </c>
      <c r="C46" s="3165">
        <v>215</v>
      </c>
      <c r="D46" s="3165">
        <v>85622</v>
      </c>
      <c r="E46" s="3165">
        <v>1843.27</v>
      </c>
      <c r="F46" s="3165">
        <v>48</v>
      </c>
      <c r="G46" s="3165">
        <v>11264</v>
      </c>
    </row>
    <row r="47" spans="1:7">
      <c r="A47" s="3165" t="s">
        <v>3502</v>
      </c>
      <c r="B47" s="3165">
        <v>10</v>
      </c>
      <c r="C47" s="3165">
        <v>2191</v>
      </c>
      <c r="D47" s="3165">
        <v>88276</v>
      </c>
      <c r="E47" s="3165">
        <v>19343.560000000001</v>
      </c>
      <c r="F47" s="3165">
        <v>49</v>
      </c>
      <c r="G47" s="3165">
        <v>11480</v>
      </c>
    </row>
    <row r="48" spans="1:7">
      <c r="A48" s="3165" t="s">
        <v>3501</v>
      </c>
      <c r="B48" s="3165">
        <v>4</v>
      </c>
      <c r="C48" s="3165">
        <v>1011</v>
      </c>
      <c r="D48" s="3165">
        <v>86242</v>
      </c>
      <c r="E48" s="3165">
        <v>8723.11</v>
      </c>
      <c r="F48" s="3165">
        <v>59</v>
      </c>
      <c r="G48" s="3165">
        <v>13671</v>
      </c>
    </row>
    <row r="49" spans="1:7">
      <c r="A49" s="3165" t="s">
        <v>3500</v>
      </c>
      <c r="B49" s="3165">
        <v>1</v>
      </c>
      <c r="C49" s="3165">
        <v>369</v>
      </c>
      <c r="D49" s="3165">
        <v>91356</v>
      </c>
      <c r="E49" s="3165">
        <v>3374.77</v>
      </c>
      <c r="F49" s="3165">
        <v>63</v>
      </c>
      <c r="G49" s="3165">
        <v>14682</v>
      </c>
    </row>
    <row r="50" spans="1:7">
      <c r="A50" s="3165" t="s">
        <v>3499</v>
      </c>
      <c r="B50" s="3165">
        <v>9</v>
      </c>
      <c r="C50" s="3165">
        <v>2122</v>
      </c>
      <c r="D50" s="3165">
        <v>87662</v>
      </c>
      <c r="E50" s="3165">
        <v>18602.63</v>
      </c>
      <c r="F50" s="3165">
        <v>64</v>
      </c>
      <c r="G50" s="3165">
        <v>15052</v>
      </c>
    </row>
    <row r="51" spans="1:7">
      <c r="A51" s="3165" t="s">
        <v>3498</v>
      </c>
      <c r="B51" s="3165">
        <v>4</v>
      </c>
      <c r="C51" s="3165">
        <v>847</v>
      </c>
      <c r="D51" s="3165">
        <v>87815</v>
      </c>
      <c r="E51" s="3165">
        <v>7439.55</v>
      </c>
      <c r="F51" s="3165">
        <v>73</v>
      </c>
      <c r="G51" s="3165">
        <v>17174</v>
      </c>
    </row>
    <row r="52" spans="1:7">
      <c r="A52" s="3165" t="s">
        <v>3497</v>
      </c>
      <c r="B52" s="3165">
        <v>2</v>
      </c>
      <c r="C52" s="3165">
        <v>395</v>
      </c>
      <c r="D52" s="3165">
        <v>85271</v>
      </c>
      <c r="E52" s="3165">
        <v>3371.36</v>
      </c>
      <c r="F52" s="3165">
        <v>77</v>
      </c>
      <c r="G52" s="3165">
        <v>18021</v>
      </c>
    </row>
    <row r="53" spans="1:7">
      <c r="A53" s="3165" t="s">
        <v>3496</v>
      </c>
      <c r="B53" s="3165">
        <v>2</v>
      </c>
      <c r="C53" s="3165">
        <v>349</v>
      </c>
      <c r="D53" s="3165">
        <v>83805</v>
      </c>
      <c r="E53" s="3165">
        <v>2922.37</v>
      </c>
      <c r="F53" s="3165">
        <v>79</v>
      </c>
      <c r="G53" s="3165">
        <v>18417</v>
      </c>
    </row>
    <row r="54" spans="1:7">
      <c r="A54" s="3165" t="s">
        <v>3495</v>
      </c>
      <c r="B54" s="3165">
        <v>8</v>
      </c>
      <c r="C54" s="3165">
        <v>1730</v>
      </c>
      <c r="D54" s="3165">
        <v>81979</v>
      </c>
      <c r="E54" s="3165">
        <v>14182.12</v>
      </c>
      <c r="F54" s="3165">
        <v>79</v>
      </c>
      <c r="G54" s="3165">
        <v>18386</v>
      </c>
    </row>
    <row r="55" spans="1:7">
      <c r="A55" s="3165" t="s">
        <v>3494</v>
      </c>
      <c r="B55" s="3165">
        <v>11</v>
      </c>
      <c r="C55" s="3165">
        <v>2036</v>
      </c>
      <c r="D55" s="3165">
        <v>82469</v>
      </c>
      <c r="E55" s="3165">
        <v>16787.400000000001</v>
      </c>
      <c r="F55" s="3165">
        <v>87</v>
      </c>
      <c r="G55" s="3165">
        <v>20116</v>
      </c>
    </row>
    <row r="56" spans="1:7">
      <c r="A56" s="3165" t="s">
        <v>3493</v>
      </c>
      <c r="B56" s="3165">
        <v>10</v>
      </c>
      <c r="C56" s="3165">
        <v>1903</v>
      </c>
      <c r="D56" s="3165">
        <v>83502</v>
      </c>
      <c r="E56" s="3165">
        <v>15891.7</v>
      </c>
      <c r="F56" s="3165">
        <v>98</v>
      </c>
      <c r="G56" s="3165">
        <v>22151</v>
      </c>
    </row>
    <row r="57" spans="1:7">
      <c r="A57" s="3165" t="s">
        <v>3492</v>
      </c>
      <c r="B57" s="3165" t="s">
        <v>3489</v>
      </c>
      <c r="C57" s="3165" t="s">
        <v>3489</v>
      </c>
      <c r="D57" s="3165" t="s">
        <v>3489</v>
      </c>
      <c r="E57" s="3165" t="s">
        <v>3489</v>
      </c>
      <c r="F57" s="3165">
        <v>108</v>
      </c>
      <c r="G57" s="3165">
        <v>24054</v>
      </c>
    </row>
    <row r="58" spans="1:7">
      <c r="A58" s="3165" t="s">
        <v>3491</v>
      </c>
      <c r="B58" s="3165" t="s">
        <v>3489</v>
      </c>
      <c r="C58" s="3165" t="s">
        <v>3489</v>
      </c>
      <c r="D58" s="3165" t="s">
        <v>3489</v>
      </c>
      <c r="E58" s="3165" t="s">
        <v>3489</v>
      </c>
      <c r="F58" s="3165">
        <v>108</v>
      </c>
      <c r="G58" s="3165">
        <v>24054</v>
      </c>
    </row>
    <row r="59" spans="1:7">
      <c r="A59" s="3165" t="s">
        <v>3490</v>
      </c>
      <c r="B59" s="3165" t="s">
        <v>3489</v>
      </c>
      <c r="C59" s="3165" t="s">
        <v>3489</v>
      </c>
      <c r="D59" s="3165" t="s">
        <v>3489</v>
      </c>
      <c r="E59" s="3165" t="s">
        <v>3489</v>
      </c>
      <c r="F59" s="3165">
        <v>108</v>
      </c>
      <c r="G59" s="3165">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3"/>
      <c r="C2" s="3173"/>
      <c r="D2" s="3173"/>
      <c r="E2" s="3173"/>
    </row>
    <row r="3" spans="1:5" ht="17.399999999999999">
      <c r="A3" s="3174" t="str">
        <f>IF(项目基本情况!B9="房地产市场价值","估价结果一览表（市场价值不需“结果表-1”）","估价结果一览表")</f>
        <v>估价结果一览表（市场价值不需“结果表-1”）</v>
      </c>
      <c r="B3" s="3174"/>
      <c r="C3" s="3174"/>
      <c r="D3" s="3174"/>
      <c r="E3" s="3174"/>
    </row>
    <row r="4" spans="1:5" ht="18" thickBot="1">
      <c r="A4" s="1391"/>
      <c r="B4" s="3172" t="s">
        <v>917</v>
      </c>
      <c r="C4" s="3172"/>
      <c r="D4" s="3172"/>
      <c r="E4" s="1391"/>
    </row>
    <row r="5" spans="1:5" ht="16.2" thickTop="1">
      <c r="B5" s="3170" t="s">
        <v>909</v>
      </c>
      <c r="C5" s="1392" t="s">
        <v>910</v>
      </c>
      <c r="D5" s="797" t="e">
        <f ca="1">结果表!H101</f>
        <v>#REF!</v>
      </c>
    </row>
    <row r="6" spans="1:5" ht="15.6">
      <c r="B6" s="3170"/>
      <c r="C6" s="1392" t="s">
        <v>911</v>
      </c>
      <c r="D6" s="797" t="e">
        <f ca="1">NUMBERSTRING(INT(D5*10000),2)&amp;"元整"</f>
        <v>#REF!</v>
      </c>
    </row>
    <row r="7" spans="1:5" ht="15.6">
      <c r="B7" s="3175"/>
      <c r="C7" s="1393" t="s">
        <v>912</v>
      </c>
      <c r="D7" s="798" t="e">
        <f ca="1">结果表!H102</f>
        <v>#REF!</v>
      </c>
    </row>
    <row r="8" spans="1:5" ht="15.6">
      <c r="B8" s="3176" t="str">
        <f>结果表!E103</f>
        <v>2.估价师知悉的法定优先受偿款</v>
      </c>
      <c r="C8" s="1394" t="s">
        <v>913</v>
      </c>
      <c r="D8" s="798">
        <f>结果表!H103</f>
        <v>0</v>
      </c>
    </row>
    <row r="9" spans="1:5" ht="15.6">
      <c r="B9" s="317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9" t="str">
        <f>结果表!E107</f>
        <v>3.房地产抵押价值</v>
      </c>
      <c r="C13" s="1397" t="s">
        <v>910</v>
      </c>
      <c r="D13" s="800" t="e">
        <f ca="1">结果表!H107</f>
        <v>#REF!</v>
      </c>
    </row>
    <row r="14" spans="1:5" ht="15.6">
      <c r="B14" s="3170"/>
      <c r="C14" s="1392" t="s">
        <v>911</v>
      </c>
      <c r="D14" s="797" t="e">
        <f ca="1">NUMBERSTRING(INT(D13*10000),2)&amp;"元整"</f>
        <v>#REF!</v>
      </c>
    </row>
    <row r="15" spans="1:5" ht="15.6">
      <c r="B15" s="3175"/>
      <c r="C15" s="1393" t="s">
        <v>921</v>
      </c>
      <c r="D15" s="806" t="e">
        <f ca="1">结果表!H108</f>
        <v>#REF!</v>
      </c>
    </row>
    <row r="16" spans="1:5" ht="15.6">
      <c r="B16" s="3176" t="str">
        <f>结果表!E109</f>
        <v>——</v>
      </c>
      <c r="C16" s="1397" t="s">
        <v>922</v>
      </c>
      <c r="D16" s="1398" t="str">
        <f>结果表!H109</f>
        <v>——</v>
      </c>
    </row>
    <row r="17" spans="1:5" ht="15.6">
      <c r="B17" s="3177"/>
      <c r="C17" s="1392" t="s">
        <v>923</v>
      </c>
      <c r="D17" s="797" t="e">
        <f>NUMBERSTRING(INT(D16*10000),2)&amp;"元整"</f>
        <v>#VALUE!</v>
      </c>
    </row>
    <row r="18" spans="1:5" ht="15.6">
      <c r="B18" s="3178"/>
      <c r="C18" s="1393" t="s">
        <v>912</v>
      </c>
      <c r="D18" s="806" t="str">
        <f>结果表!H110</f>
        <v>——</v>
      </c>
    </row>
    <row r="19" spans="1:5" ht="15.6">
      <c r="B19" s="3169" t="str">
        <f>结果表!E111</f>
        <v>——</v>
      </c>
      <c r="C19" s="1397" t="s">
        <v>910</v>
      </c>
      <c r="D19" s="798" t="str">
        <f>结果表!H111</f>
        <v>——</v>
      </c>
    </row>
    <row r="20" spans="1:5" ht="15.6">
      <c r="B20" s="3170"/>
      <c r="C20" s="1392" t="s">
        <v>923</v>
      </c>
      <c r="D20" s="797" t="e">
        <f>NUMBERSTRING(INT(D19*10000),2)&amp;"元整"</f>
        <v>#VALUE!</v>
      </c>
    </row>
    <row r="21" spans="1:5" ht="16.2" thickBot="1">
      <c r="B21" s="317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2"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3"/>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4" t="s">
        <v>2630</v>
      </c>
      <c r="B27" s="3482" t="s">
        <v>2611</v>
      </c>
      <c r="C27" s="2842" t="s">
        <v>2451</v>
      </c>
      <c r="D27" s="2843"/>
      <c r="E27" s="2844">
        <v>1</v>
      </c>
      <c r="F27" s="2845" t="s">
        <v>2452</v>
      </c>
      <c r="G27" s="2845"/>
    </row>
    <row r="28" spans="1:13" ht="19.5" customHeight="1">
      <c r="A28" s="3485"/>
      <c r="B28" s="3481"/>
      <c r="C28" s="2846" t="s">
        <v>2453</v>
      </c>
      <c r="D28" s="2847"/>
      <c r="E28" s="2848">
        <v>1</v>
      </c>
      <c r="F28" s="2845" t="s">
        <v>2454</v>
      </c>
      <c r="G28" s="2845"/>
    </row>
    <row r="29" spans="1:13" ht="19.5" customHeight="1">
      <c r="A29" s="3485"/>
      <c r="B29" s="3481"/>
      <c r="C29" s="2846" t="s">
        <v>2455</v>
      </c>
      <c r="D29" s="2847"/>
      <c r="E29" s="2848">
        <v>0.8</v>
      </c>
      <c r="F29" s="2845" t="s">
        <v>2456</v>
      </c>
      <c r="G29" s="2845"/>
    </row>
    <row r="30" spans="1:13" ht="19.5" customHeight="1">
      <c r="A30" s="3485"/>
      <c r="B30" s="3481"/>
      <c r="C30" s="2846" t="s">
        <v>2457</v>
      </c>
      <c r="D30" s="2847"/>
      <c r="E30" s="2848">
        <v>0.8</v>
      </c>
      <c r="F30" s="2845" t="s">
        <v>2458</v>
      </c>
      <c r="G30" s="2845"/>
    </row>
    <row r="31" spans="1:13" ht="19.5" customHeight="1">
      <c r="A31" s="3485"/>
      <c r="B31" s="3481"/>
      <c r="C31" s="2846" t="s">
        <v>2459</v>
      </c>
      <c r="D31" s="2847"/>
      <c r="E31" s="2848">
        <v>0.8</v>
      </c>
      <c r="F31" s="2845" t="s">
        <v>2460</v>
      </c>
      <c r="G31" s="2845"/>
    </row>
    <row r="32" spans="1:13" ht="19.5" customHeight="1">
      <c r="A32" s="3485"/>
      <c r="B32" s="3481"/>
      <c r="C32" s="2846" t="s">
        <v>2461</v>
      </c>
      <c r="D32" s="2847"/>
      <c r="E32" s="2848">
        <v>0.7</v>
      </c>
      <c r="F32" s="2845" t="s">
        <v>2462</v>
      </c>
      <c r="G32" s="2845"/>
    </row>
    <row r="33" spans="1:7" ht="19.5" customHeight="1">
      <c r="A33" s="3485"/>
      <c r="B33" s="3481"/>
      <c r="C33" s="2846" t="s">
        <v>2463</v>
      </c>
      <c r="D33" s="2847"/>
      <c r="E33" s="2848">
        <v>0.8</v>
      </c>
      <c r="F33" s="2845" t="s">
        <v>2464</v>
      </c>
      <c r="G33" s="2845"/>
    </row>
    <row r="34" spans="1:7" ht="19.5" customHeight="1">
      <c r="A34" s="3485"/>
      <c r="B34" s="3481"/>
      <c r="C34" s="2846" t="s">
        <v>2465</v>
      </c>
      <c r="D34" s="2847"/>
      <c r="E34" s="2848">
        <v>0.6</v>
      </c>
      <c r="F34" s="2845" t="s">
        <v>2466</v>
      </c>
      <c r="G34" s="2845"/>
    </row>
    <row r="35" spans="1:7" ht="19.5" customHeight="1">
      <c r="A35" s="3485"/>
      <c r="B35" s="3481"/>
      <c r="C35" s="2846" t="s">
        <v>2467</v>
      </c>
      <c r="D35" s="2847"/>
      <c r="E35" s="2848">
        <v>0.2</v>
      </c>
      <c r="F35" s="2845" t="s">
        <v>2468</v>
      </c>
      <c r="G35" s="2845"/>
    </row>
    <row r="36" spans="1:7" ht="19.5" customHeight="1">
      <c r="A36" s="3485"/>
      <c r="B36" s="3481"/>
      <c r="C36" s="2846" t="s">
        <v>2469</v>
      </c>
      <c r="D36" s="2847"/>
      <c r="E36" s="2848">
        <v>0.2</v>
      </c>
      <c r="F36" s="2845" t="s">
        <v>2470</v>
      </c>
      <c r="G36" s="2845"/>
    </row>
    <row r="37" spans="1:7" ht="19.5" customHeight="1">
      <c r="A37" s="3485"/>
      <c r="B37" s="3479" t="s">
        <v>2631</v>
      </c>
      <c r="C37" s="2846" t="s">
        <v>2471</v>
      </c>
      <c r="D37" s="2847"/>
      <c r="E37" s="2848">
        <v>0.6</v>
      </c>
      <c r="F37" s="2845" t="s">
        <v>2472</v>
      </c>
      <c r="G37" s="2845"/>
    </row>
    <row r="38" spans="1:7" ht="19.5" customHeight="1">
      <c r="A38" s="3485"/>
      <c r="B38" s="3481"/>
      <c r="C38" s="2846" t="s">
        <v>2473</v>
      </c>
      <c r="D38" s="2847"/>
      <c r="E38" s="2848">
        <v>0.6</v>
      </c>
      <c r="F38" s="2845" t="s">
        <v>2474</v>
      </c>
      <c r="G38" s="2845"/>
    </row>
    <row r="39" spans="1:7" ht="19.5" customHeight="1" thickBot="1">
      <c r="A39" s="3486"/>
      <c r="B39" s="3483"/>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2"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8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79"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3"/>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79"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80"/>
      <c r="C89" s="2831" t="s">
        <v>2683</v>
      </c>
      <c r="D89" s="2831" t="s">
        <v>2684</v>
      </c>
      <c r="E89" s="2857">
        <v>0.1</v>
      </c>
      <c r="F89" s="2857">
        <v>15</v>
      </c>
    </row>
    <row r="90" spans="1:6" ht="14.4">
      <c r="A90" s="2857">
        <v>18</v>
      </c>
      <c r="B90" s="3479"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80"/>
      <c r="C106" s="2831" t="s">
        <v>2718</v>
      </c>
      <c r="D106" s="2831" t="s">
        <v>2719</v>
      </c>
      <c r="E106" s="2857">
        <v>0.1</v>
      </c>
      <c r="F106" s="2857">
        <v>15</v>
      </c>
    </row>
    <row r="107" spans="1:6" ht="36">
      <c r="A107" s="2857">
        <v>35</v>
      </c>
      <c r="B107" s="3479"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80"/>
      <c r="C112" s="2857" t="s">
        <v>2731</v>
      </c>
      <c r="D112" s="2831" t="s">
        <v>2732</v>
      </c>
      <c r="E112" s="2857">
        <v>0.1</v>
      </c>
      <c r="F112" s="2857">
        <v>15</v>
      </c>
    </row>
    <row r="113" spans="1:6" ht="24">
      <c r="A113" s="2857">
        <v>41</v>
      </c>
      <c r="B113" s="3478" t="s">
        <v>2733</v>
      </c>
      <c r="C113" s="2857" t="s">
        <v>2734</v>
      </c>
      <c r="D113" s="2831" t="s">
        <v>2735</v>
      </c>
      <c r="E113" s="2857">
        <v>0.1</v>
      </c>
      <c r="F113" s="2857">
        <v>15</v>
      </c>
    </row>
    <row r="114" spans="1:6" ht="24">
      <c r="A114" s="2857">
        <v>42</v>
      </c>
      <c r="B114" s="3478"/>
      <c r="C114" s="2857" t="s">
        <v>2736</v>
      </c>
      <c r="D114" s="2831" t="s">
        <v>2737</v>
      </c>
      <c r="E114" s="2857">
        <v>0.1</v>
      </c>
      <c r="F114" s="2857">
        <v>15</v>
      </c>
    </row>
    <row r="115" spans="1:6" ht="24">
      <c r="A115" s="2857">
        <v>43</v>
      </c>
      <c r="B115" s="3478"/>
      <c r="C115" s="2857" t="s">
        <v>2738</v>
      </c>
      <c r="D115" s="2831" t="s">
        <v>2739</v>
      </c>
      <c r="E115" s="2857">
        <v>0.1</v>
      </c>
      <c r="F115" s="2857">
        <v>15</v>
      </c>
    </row>
    <row r="116" spans="1:6" ht="24">
      <c r="A116" s="2857">
        <v>44</v>
      </c>
      <c r="B116" s="3479" t="s">
        <v>2740</v>
      </c>
      <c r="C116" s="2857" t="s">
        <v>2741</v>
      </c>
      <c r="D116" s="2831" t="s">
        <v>2742</v>
      </c>
      <c r="E116" s="2857">
        <v>0.1</v>
      </c>
      <c r="F116" s="2857">
        <v>15</v>
      </c>
    </row>
    <row r="117" spans="1:6" ht="24">
      <c r="A117" s="2857">
        <v>45</v>
      </c>
      <c r="B117" s="3480"/>
      <c r="C117" s="2831" t="s">
        <v>2743</v>
      </c>
      <c r="D117" s="2831" t="s">
        <v>2744</v>
      </c>
      <c r="E117" s="2857">
        <v>0.1</v>
      </c>
      <c r="F117" s="2857">
        <v>15</v>
      </c>
    </row>
    <row r="118" spans="1:6" ht="24">
      <c r="A118" s="2857">
        <v>46</v>
      </c>
      <c r="B118" s="3479" t="s">
        <v>2745</v>
      </c>
      <c r="C118" s="2857" t="s">
        <v>2746</v>
      </c>
      <c r="D118" s="2831" t="s">
        <v>2747</v>
      </c>
      <c r="E118" s="2857">
        <v>0.1</v>
      </c>
      <c r="F118" s="2857">
        <v>15</v>
      </c>
    </row>
    <row r="119" spans="1:6" ht="24">
      <c r="A119" s="2857">
        <v>47</v>
      </c>
      <c r="B119" s="3480"/>
      <c r="C119" s="2857" t="s">
        <v>2748</v>
      </c>
      <c r="D119" s="2831" t="s">
        <v>2749</v>
      </c>
      <c r="E119" s="2857">
        <v>0.1</v>
      </c>
      <c r="F119" s="2857">
        <v>15</v>
      </c>
    </row>
    <row r="120" spans="1:6" ht="24">
      <c r="A120" s="2857">
        <v>48</v>
      </c>
      <c r="B120" s="3479" t="s">
        <v>2750</v>
      </c>
      <c r="C120" s="2857" t="s">
        <v>2751</v>
      </c>
      <c r="D120" s="2831" t="s">
        <v>2752</v>
      </c>
      <c r="E120" s="2857">
        <v>0.1</v>
      </c>
      <c r="F120" s="2857">
        <v>15</v>
      </c>
    </row>
    <row r="121" spans="1:6" ht="24">
      <c r="A121" s="2857">
        <v>49</v>
      </c>
      <c r="B121" s="3480"/>
      <c r="C121" s="2857" t="s">
        <v>2753</v>
      </c>
      <c r="D121" s="2831" t="s">
        <v>2754</v>
      </c>
      <c r="E121" s="2857">
        <v>0.1</v>
      </c>
      <c r="F121" s="2857">
        <v>15</v>
      </c>
    </row>
    <row r="122" spans="1:6" ht="24">
      <c r="A122" s="2857">
        <v>50</v>
      </c>
      <c r="B122" s="3478" t="s">
        <v>2755</v>
      </c>
      <c r="C122" s="2857" t="s">
        <v>2756</v>
      </c>
      <c r="D122" s="2831" t="s">
        <v>2757</v>
      </c>
      <c r="E122" s="2857">
        <v>0.1</v>
      </c>
      <c r="F122" s="2857">
        <v>15</v>
      </c>
    </row>
    <row r="123" spans="1:6" ht="24">
      <c r="A123" s="2857">
        <v>51</v>
      </c>
      <c r="B123" s="3478"/>
      <c r="C123" s="2857" t="s">
        <v>2758</v>
      </c>
      <c r="D123" s="2831" t="s">
        <v>2759</v>
      </c>
      <c r="E123" s="2857">
        <v>0.1</v>
      </c>
      <c r="F123" s="2857">
        <v>15</v>
      </c>
    </row>
    <row r="124" spans="1:6" ht="24">
      <c r="A124" s="2857">
        <v>52</v>
      </c>
      <c r="B124" s="3478" t="s">
        <v>2760</v>
      </c>
      <c r="C124" s="2857" t="s">
        <v>2761</v>
      </c>
      <c r="D124" s="2831" t="s">
        <v>2762</v>
      </c>
      <c r="E124" s="2857">
        <v>0.1</v>
      </c>
      <c r="F124" s="2857">
        <v>15</v>
      </c>
    </row>
    <row r="125" spans="1:6" ht="24">
      <c r="A125" s="2857">
        <v>53</v>
      </c>
      <c r="B125" s="3478"/>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78" t="s">
        <v>2768</v>
      </c>
      <c r="C127" s="2857" t="s">
        <v>2769</v>
      </c>
      <c r="D127" s="2831" t="s">
        <v>2770</v>
      </c>
      <c r="E127" s="2857">
        <v>0.1</v>
      </c>
      <c r="F127" s="2857">
        <v>15</v>
      </c>
    </row>
    <row r="128" spans="1:6" ht="24">
      <c r="A128" s="2857">
        <v>56</v>
      </c>
      <c r="B128" s="3478"/>
      <c r="C128" s="2857" t="s">
        <v>2771</v>
      </c>
      <c r="D128" s="2831" t="s">
        <v>2772</v>
      </c>
      <c r="E128" s="2857">
        <v>0.1</v>
      </c>
      <c r="F128" s="2857">
        <v>15</v>
      </c>
    </row>
    <row r="129" spans="1:6" ht="24">
      <c r="A129" s="2857">
        <v>57</v>
      </c>
      <c r="B129" s="3478"/>
      <c r="C129" s="2857" t="s">
        <v>2773</v>
      </c>
      <c r="D129" s="2831" t="s">
        <v>2774</v>
      </c>
      <c r="E129" s="2857">
        <v>0.1</v>
      </c>
      <c r="F129" s="2857">
        <v>15</v>
      </c>
    </row>
    <row r="130" spans="1:6" ht="24">
      <c r="A130" s="2857">
        <v>58</v>
      </c>
      <c r="B130" s="3478" t="s">
        <v>2775</v>
      </c>
      <c r="C130" s="2857" t="s">
        <v>2776</v>
      </c>
      <c r="D130" s="2831" t="s">
        <v>2777</v>
      </c>
      <c r="E130" s="2857">
        <v>0.1</v>
      </c>
      <c r="F130" s="2857">
        <v>15</v>
      </c>
    </row>
    <row r="131" spans="1:6" ht="24">
      <c r="A131" s="2857">
        <v>59</v>
      </c>
      <c r="B131" s="3478"/>
      <c r="C131" s="2857" t="s">
        <v>2778</v>
      </c>
      <c r="D131" s="2831" t="s">
        <v>2779</v>
      </c>
      <c r="E131" s="2857">
        <v>0.1</v>
      </c>
      <c r="F131" s="2857">
        <v>15</v>
      </c>
    </row>
    <row r="132" spans="1:6" ht="24">
      <c r="A132" s="2857">
        <v>60</v>
      </c>
      <c r="B132" s="3479" t="s">
        <v>2780</v>
      </c>
      <c r="C132" s="2857" t="s">
        <v>2781</v>
      </c>
      <c r="D132" s="2831" t="s">
        <v>2782</v>
      </c>
      <c r="E132" s="2857">
        <v>0.1</v>
      </c>
      <c r="F132" s="2857">
        <v>15</v>
      </c>
    </row>
    <row r="133" spans="1:6" ht="24">
      <c r="A133" s="2857">
        <v>61</v>
      </c>
      <c r="B133" s="348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78" t="s">
        <v>2788</v>
      </c>
      <c r="C135" s="2857" t="s">
        <v>2789</v>
      </c>
      <c r="D135" s="2831" t="s">
        <v>2790</v>
      </c>
      <c r="E135" s="2857">
        <v>0.1</v>
      </c>
      <c r="F135" s="2857">
        <v>15</v>
      </c>
    </row>
    <row r="136" spans="1:6" ht="24">
      <c r="A136" s="2857">
        <v>64</v>
      </c>
      <c r="B136" s="3478"/>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28933</v>
      </c>
      <c r="C2" s="2" t="s">
        <v>106</v>
      </c>
      <c r="D2" s="191"/>
      <c r="E2" s="191"/>
      <c r="F2" s="191"/>
      <c r="G2" s="191"/>
    </row>
    <row r="3" spans="1:7" s="192" customFormat="1" ht="18" customHeight="1" thickBot="1">
      <c r="A3" s="195" t="s">
        <v>58</v>
      </c>
      <c r="B3" s="196">
        <f ca="1">ROUND(B2*10000/'数据-汇总表'!E3,0)</f>
        <v>1343971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215.28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215.28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215.28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148</v>
      </c>
      <c r="D51" s="224"/>
      <c r="E51" s="224"/>
      <c r="F51" s="256"/>
      <c r="G51" s="226" t="s">
        <v>37</v>
      </c>
    </row>
    <row r="52" spans="1:7" s="200" customFormat="1" ht="16.8" thickBot="1">
      <c r="A52" s="257" t="s">
        <v>38</v>
      </c>
      <c r="B52" s="258"/>
      <c r="C52" s="259">
        <f ca="1">C31+C51</f>
        <v>28933</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2" t="s">
        <v>2838</v>
      </c>
      <c r="B1" s="3492"/>
      <c r="C1" s="3492"/>
      <c r="D1" s="3492"/>
      <c r="E1" s="3492"/>
      <c r="F1" s="3492"/>
      <c r="G1" s="3493"/>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0"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1"/>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4" t="s">
        <v>3180</v>
      </c>
      <c r="B1" s="3494"/>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5" t="s">
        <v>3231</v>
      </c>
      <c r="B1" s="3495"/>
      <c r="C1" s="3495"/>
      <c r="D1" s="3495"/>
      <c r="E1" s="3495"/>
      <c r="F1" s="3496"/>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45709</v>
      </c>
      <c r="B1" s="2929" t="s">
        <v>3379</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3382</v>
      </c>
    </row>
    <row r="24" spans="1:30">
      <c r="I24" s="1405" t="s">
        <v>2824</v>
      </c>
    </row>
    <row r="26" spans="1:30" s="2009" customFormat="1" ht="13.2">
      <c r="B26" s="2929" t="s">
        <v>3380</v>
      </c>
      <c r="C26" s="2930"/>
      <c r="D26" s="2930"/>
      <c r="E26" s="2930"/>
      <c r="F26" s="2930"/>
      <c r="G26" s="2930"/>
      <c r="H26" s="2930"/>
      <c r="I26" s="2930"/>
      <c r="J26" s="2896"/>
      <c r="K26" s="2930" t="s">
        <v>2825</v>
      </c>
      <c r="L26" s="2930"/>
      <c r="M26" s="2930"/>
      <c r="N26" s="2930"/>
      <c r="O26" s="2930"/>
      <c r="P26" s="2930"/>
      <c r="Q26" s="2896"/>
      <c r="R26" s="3497" t="s">
        <v>2826</v>
      </c>
      <c r="S26" s="3498"/>
      <c r="T26" s="3498"/>
      <c r="U26" s="3498"/>
      <c r="V26" s="3498"/>
      <c r="W26" s="3498"/>
      <c r="X26" s="2896"/>
      <c r="Y26" s="3497" t="s">
        <v>2827</v>
      </c>
      <c r="Z26" s="3498"/>
      <c r="AA26" s="3498"/>
      <c r="AB26" s="3498"/>
      <c r="AC26" s="3498"/>
      <c r="AD26" s="3498"/>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6" t="str">
        <f>IF(项目基本情况!B9="房地产市场价值","估价结果一览表","结果表-2")</f>
        <v>估价结果一览表</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房地产市场价值</v>
      </c>
      <c r="I2" s="3187"/>
    </row>
    <row r="3" spans="1:9" ht="15.6">
      <c r="A3" s="3182"/>
      <c r="B3" s="3182"/>
      <c r="C3" s="3182"/>
      <c r="D3" s="801" t="s">
        <v>925</v>
      </c>
      <c r="E3" s="801" t="s">
        <v>931</v>
      </c>
      <c r="F3" s="801" t="s">
        <v>925</v>
      </c>
      <c r="G3" s="801" t="s">
        <v>926</v>
      </c>
      <c r="H3" s="801" t="s">
        <v>925</v>
      </c>
      <c r="I3" s="801" t="s">
        <v>926</v>
      </c>
    </row>
    <row r="4" spans="1:9" ht="15">
      <c r="A4" s="1403" t="str">
        <f>项目基本情况!S2</f>
        <v>北京市房地产</v>
      </c>
      <c r="B4" s="801">
        <f>项目基本情况!C17</f>
        <v>215.28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6">
      <c r="A6" s="3181" t="str">
        <f>结果表!A120</f>
        <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6">
      <c r="A8" s="3181" t="str">
        <f>结果表!A122</f>
        <v/>
      </c>
      <c r="B8" s="3181"/>
      <c r="C8" s="3181"/>
      <c r="D8" s="3181" t="e">
        <f ca="1">结果表!D122</f>
        <v>#REF!</v>
      </c>
      <c r="E8" s="3181"/>
      <c r="F8" s="3181"/>
      <c r="G8" s="3181"/>
      <c r="H8" s="3181"/>
      <c r="I8" s="3181"/>
    </row>
    <row r="9" spans="1:9" ht="15">
      <c r="A9" s="3182" t="s">
        <v>927</v>
      </c>
      <c r="B9" s="3182"/>
      <c r="C9" s="3182"/>
      <c r="D9" s="3182" t="e">
        <f ca="1">结果表!D123</f>
        <v>#REF!</v>
      </c>
      <c r="E9" s="3182"/>
      <c r="F9" s="3182"/>
      <c r="G9" s="3182"/>
      <c r="H9" s="3182"/>
      <c r="I9" s="3182"/>
    </row>
    <row r="10" spans="1:9" ht="15.6">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6">
      <c r="A12" s="3181" t="str">
        <f>结果表!A126</f>
        <v/>
      </c>
      <c r="B12" s="3181"/>
      <c r="C12" s="3181"/>
      <c r="D12" s="3181" t="str">
        <f>结果表!D126</f>
        <v>——</v>
      </c>
      <c r="E12" s="3181"/>
      <c r="F12" s="3181"/>
      <c r="G12" s="3181"/>
      <c r="H12" s="3181"/>
      <c r="I12" s="3181"/>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4" t="s">
        <v>949</v>
      </c>
      <c r="B1" s="3194"/>
      <c r="C1" s="3194"/>
      <c r="D1" s="3194"/>
    </row>
    <row r="2" spans="1:4" ht="17.399999999999999">
      <c r="A2" s="3195" t="s">
        <v>933</v>
      </c>
      <c r="B2" s="3195"/>
      <c r="C2" s="3195"/>
      <c r="D2" s="319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5" t="s">
        <v>939</v>
      </c>
      <c r="B6" s="3195"/>
      <c r="C6" s="3195"/>
      <c r="D6" s="319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6"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88" t="str">
        <f>IF(项目基本情况!B8="抵押","3.抵押双方在办理抵押登记手续时，应使用本公司出具的正式《房地产评估报告》，特提醒报告使用者注意。","——")</f>
        <v>——</v>
      </c>
      <c r="B13" s="3193"/>
      <c r="C13" s="3193"/>
      <c r="D13" s="3193"/>
    </row>
    <row r="14" spans="1:4" ht="15.75" customHeight="1">
      <c r="A14" s="3188" t="str">
        <f>IF(项目基本情况!B8="抵押","4.本次评估估价师所知悉的法定优先受偿款情况说明如下：","——")</f>
        <v>——</v>
      </c>
      <c r="B14" s="3193"/>
      <c r="C14" s="3193"/>
      <c r="D14" s="3193"/>
    </row>
    <row r="15" spans="1:4" ht="42" customHeight="1">
      <c r="A15" s="3188" t="str">
        <f>IF(项目基本情况!B8="抵押","（1）"&amp;CONCATENATE(项目基本情况!L20,项目基本情况!L21,项目基本情况!L22),"——")</f>
        <v>——</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2" t="s">
        <v>956</v>
      </c>
      <c r="B15" s="3197" t="s">
        <v>109</v>
      </c>
      <c r="C15" s="3198"/>
    </row>
    <row r="16" spans="1:7" ht="14.4">
      <c r="A16" s="3203"/>
      <c r="B16" s="3197" t="s">
        <v>42</v>
      </c>
      <c r="C16" s="3198"/>
    </row>
    <row r="17" spans="1:3" ht="14.4">
      <c r="A17" s="3203"/>
      <c r="B17" s="3200" t="s">
        <v>957</v>
      </c>
      <c r="C17" s="1429" t="s">
        <v>956</v>
      </c>
    </row>
    <row r="18" spans="1:3" ht="14.4">
      <c r="A18" s="3203"/>
      <c r="B18" s="3200"/>
      <c r="C18" s="1429" t="s">
        <v>958</v>
      </c>
    </row>
    <row r="19" spans="1:3" ht="14.4">
      <c r="A19" s="3203"/>
      <c r="B19" s="3200"/>
      <c r="C19" s="1429" t="s">
        <v>959</v>
      </c>
    </row>
    <row r="20" spans="1:3" ht="14.4">
      <c r="A20" s="3204"/>
      <c r="B20" s="3199" t="s">
        <v>960</v>
      </c>
      <c r="C20" s="3198"/>
    </row>
    <row r="21" spans="1:3" ht="14.4">
      <c r="A21" s="1430" t="s">
        <v>961</v>
      </c>
      <c r="B21" s="1431"/>
      <c r="C21" s="1432"/>
    </row>
    <row r="22" spans="1:3" ht="14.4">
      <c r="A22" s="3201" t="s">
        <v>962</v>
      </c>
      <c r="B22" s="3199" t="s">
        <v>963</v>
      </c>
      <c r="C22" s="3198"/>
    </row>
    <row r="23" spans="1:3" ht="14.4">
      <c r="A23" s="3201"/>
      <c r="B23" s="3199" t="s">
        <v>964</v>
      </c>
      <c r="C23" s="3198"/>
    </row>
    <row r="24" spans="1:3" ht="14.4">
      <c r="A24" s="3201"/>
      <c r="B24" s="3199" t="s">
        <v>965</v>
      </c>
      <c r="C24" s="3198"/>
    </row>
    <row r="25" spans="1:3" ht="14.4">
      <c r="A25" s="3201"/>
      <c r="B25" s="3200" t="s">
        <v>966</v>
      </c>
      <c r="C25" s="1429" t="s">
        <v>967</v>
      </c>
    </row>
    <row r="26" spans="1:3" ht="14.4">
      <c r="A26" s="3201"/>
      <c r="B26" s="3200"/>
      <c r="C26" s="1429" t="s">
        <v>968</v>
      </c>
    </row>
    <row r="27" spans="1:3" ht="14.4">
      <c r="A27" s="3201"/>
      <c r="B27" s="3200"/>
      <c r="C27" s="1429" t="s">
        <v>969</v>
      </c>
    </row>
    <row r="28" spans="1:3" ht="14.4">
      <c r="A28" s="3201"/>
      <c r="B28" s="3200"/>
      <c r="C28" s="1429" t="s">
        <v>970</v>
      </c>
    </row>
    <row r="29" spans="1:3" ht="14.4">
      <c r="A29" s="3201"/>
      <c r="B29" s="3200"/>
      <c r="C29" s="1429" t="s">
        <v>971</v>
      </c>
    </row>
    <row r="30" spans="1:3" ht="14.4">
      <c r="A30" s="3201"/>
      <c r="B30" s="3200"/>
      <c r="C30" s="1429" t="s">
        <v>972</v>
      </c>
    </row>
    <row r="31" spans="1:3" ht="14.4">
      <c r="A31" s="3201"/>
      <c r="B31" s="3200"/>
      <c r="C31" s="1429" t="s">
        <v>973</v>
      </c>
    </row>
    <row r="32" spans="1:3" ht="14.4">
      <c r="A32" s="3201"/>
      <c r="B32" s="3200"/>
      <c r="C32" s="1429" t="s">
        <v>974</v>
      </c>
    </row>
    <row r="33" spans="1:3" ht="14.4">
      <c r="A33" s="3201"/>
      <c r="B33" s="320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2025-03-04T10:36:31Z</dcterms:modified>
</cp:coreProperties>
</file>