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1" l="1"/>
  <c r="I5" i="40"/>
  <c r="G5" i="40"/>
  <c r="E5" i="40"/>
  <c r="AC92" i="82"/>
  <c r="AE161" i="82"/>
  <c r="AE160" i="82"/>
  <c r="AC22" i="82"/>
  <c r="AF157" i="82"/>
  <c r="Z22" i="82"/>
  <c r="V23" i="1"/>
  <c r="V22" i="1"/>
  <c r="C34" i="40" l="1"/>
  <c r="J49" i="15"/>
  <c r="V21" i="1"/>
  <c r="V20" i="1"/>
  <c r="N6" i="1"/>
  <c r="P23" i="1"/>
  <c r="Q23" i="1" s="1"/>
  <c r="X22" i="1" l="1"/>
  <c r="X23" i="1" l="1"/>
  <c r="X24" i="1" s="1"/>
  <c r="D3" i="4" l="1"/>
  <c r="G34" i="40"/>
  <c r="E34" i="40"/>
  <c r="I7" i="40"/>
  <c r="G7" i="40"/>
  <c r="E7" i="40"/>
  <c r="E5" i="78" l="1"/>
  <c r="E7" i="78" s="1"/>
  <c r="L21" i="9"/>
  <c r="E6" i="78" l="1"/>
  <c r="I34" i="40"/>
  <c r="AD155" i="82"/>
  <c r="AF156" i="82" s="1"/>
  <c r="AF155" i="82" l="1"/>
  <c r="Z37" i="82" l="1"/>
  <c r="Z42" i="82"/>
  <c r="AC42" i="82" s="1"/>
  <c r="G41" i="40" s="1"/>
  <c r="Z92" i="82"/>
  <c r="I41" i="40" s="1"/>
  <c r="Y22" i="82"/>
  <c r="Z25" i="82"/>
  <c r="Y25" i="82"/>
  <c r="E41" i="40"/>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B5" i="3" s="1"/>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S34"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B9" i="76"/>
  <c r="AO13" i="1"/>
  <c r="B8" i="76"/>
  <c r="M23" i="15"/>
  <c r="D4" i="73"/>
  <c r="F7" i="15"/>
  <c r="F38" i="15"/>
  <c r="L47" i="15"/>
  <c r="M23" i="67"/>
  <c r="M8" i="67"/>
  <c r="F38" i="67"/>
  <c r="B11" i="76"/>
  <c r="F7" i="73"/>
  <c r="F9" i="67"/>
  <c r="M26" i="15"/>
  <c r="E8" i="76"/>
  <c r="F8" i="67"/>
  <c r="J15" i="67"/>
  <c r="M29" i="15"/>
  <c r="B10" i="76"/>
  <c r="M22" i="67"/>
  <c r="M6" i="67"/>
  <c r="M22" i="15"/>
  <c r="F16" i="67"/>
  <c r="F37" i="15"/>
  <c r="M28" i="15"/>
  <c r="M24" i="15"/>
  <c r="D5" i="73"/>
  <c r="F40" i="15"/>
  <c r="F13" i="67"/>
  <c r="E9" i="76"/>
  <c r="B12" i="76"/>
  <c r="F40" i="67"/>
  <c r="F6" i="15"/>
  <c r="F4" i="73"/>
  <c r="F42" i="15"/>
  <c r="J15" i="15"/>
  <c r="F37" i="67"/>
  <c r="C76" i="15"/>
  <c r="F36" i="15"/>
  <c r="F9" i="15"/>
  <c r="M9" i="67"/>
  <c r="M28" i="67"/>
  <c r="D3" i="73"/>
  <c r="C76" i="67"/>
  <c r="F43" i="15"/>
  <c r="E11" i="76"/>
  <c r="D7" i="73"/>
  <c r="M26" i="67"/>
  <c r="E13" i="76"/>
  <c r="M9" i="15"/>
  <c r="M24" i="67"/>
  <c r="D6" i="73"/>
  <c r="L48" i="67"/>
  <c r="F26" i="15"/>
  <c r="F16" i="15"/>
  <c r="M8" i="15"/>
  <c r="E2" i="69"/>
  <c r="E12" i="76"/>
  <c r="F13" i="15"/>
  <c r="E2" i="68"/>
  <c r="F6" i="67"/>
  <c r="F26" i="67"/>
  <c r="F43" i="67"/>
  <c r="L47" i="67"/>
  <c r="F20" i="31"/>
  <c r="F8" i="15"/>
  <c r="M6" i="15"/>
  <c r="F6" i="73"/>
  <c r="B7" i="76"/>
  <c r="L48" i="15"/>
  <c r="F7" i="67"/>
  <c r="F36" i="67"/>
  <c r="F3" i="73"/>
  <c r="F5" i="73"/>
  <c r="B13" i="76"/>
  <c r="E10" i="76"/>
  <c r="F42" i="67"/>
  <c r="M29" i="67"/>
  <c r="E7" i="76"/>
  <c r="K13" i="1" l="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BM5" i="3"/>
  <c r="F29" i="6" s="1"/>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E253" i="3" l="1"/>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AC6" i="3" s="1"/>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AE6" i="1"/>
  <c r="F41" i="67"/>
  <c r="AY6" i="3" l="1"/>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H25" i="6" l="1"/>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B6" i="76"/>
  <c r="M21" i="67"/>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7" i="1"/>
  <c r="AO12" i="1"/>
  <c r="AO11"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G21" i="9" s="1"/>
  <c r="B3" i="68"/>
  <c r="C20" i="9"/>
  <c r="D35" i="9"/>
  <c r="C32" i="9" l="1"/>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<sst xmlns="http://schemas.openxmlformats.org/spreadsheetml/2006/main" count="10117" uniqueCount="4137">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</sst>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2024年5月28日（评估专业人员实地查勘之日）</v>
      </c>
    </row>
    <row r="13" spans="1:2">
      <c r="A13" s="1093" t="s">
        <v>529</v>
      </c>
      <c r="B13" s="1094"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2923</v>
      </c>
    </row>
    <row r="21" spans="1:2">
      <c r="A21" s="1093" t="s">
        <v>537</v>
      </c>
      <c r="B21" s="1094">
        <f ca="1">'预评函-2'!D7</f>
        <v>13616</v>
      </c>
    </row>
    <row r="22" spans="1:2">
      <c r="A22" s="1093" t="s">
        <v>538</v>
      </c>
      <c r="B22" s="1094" t="str">
        <f ca="1">'预评函-2'!D6</f>
        <v>贰仟玖佰贰拾叁万元整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2923</v>
      </c>
    </row>
    <row r="31" spans="1:2">
      <c r="A31" s="1093" t="s">
        <v>576</v>
      </c>
      <c r="B31" s="1094">
        <f ca="1">'预评函-2'!D15</f>
        <v>13616</v>
      </c>
    </row>
    <row r="32" spans="1:2">
      <c r="A32" s="1093" t="s">
        <v>543</v>
      </c>
      <c r="B32" s="1094" t="str">
        <f ca="1">'预评函-2'!D14</f>
        <v>贰仟玖佰贰拾叁万元整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2146.6800000000003</v>
      </c>
    </row>
    <row r="44" spans="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2639</v>
      </c>
    </row>
    <row r="48" spans="1:2">
      <c r="A48" s="1093" t="s">
        <v>549</v>
      </c>
      <c r="B48" s="1094">
        <f ca="1">'预评函-3'!E4</f>
        <v>12293</v>
      </c>
    </row>
    <row r="49" spans="1:2">
      <c r="A49" s="1093" t="s">
        <v>550</v>
      </c>
      <c r="B49" s="1094" t="str">
        <f ca="1">'预评函-3'!D5</f>
        <v>贰仟陆佰叁拾玖万元整</v>
      </c>
    </row>
    <row r="50" spans="1:2">
      <c r="A50" s="1093" t="s">
        <v>574</v>
      </c>
      <c r="B50" s="1094" t="str">
        <f>'预评函-3'!F2</f>
        <v>建筑物价值</v>
      </c>
    </row>
    <row r="51" spans="1:2">
      <c r="A51" s="1093" t="s">
        <v>551</v>
      </c>
      <c r="B51" s="1094">
        <f ca="1">'预评函-3'!F4</f>
        <v>284</v>
      </c>
    </row>
    <row r="52" spans="1:2">
      <c r="A52" s="1093" t="s">
        <v>552</v>
      </c>
      <c r="B52" s="1094">
        <f ca="1">'预评函-3'!G4</f>
        <v>1323</v>
      </c>
    </row>
    <row r="53" spans="1:2">
      <c r="A53" s="1093" t="s">
        <v>580</v>
      </c>
      <c r="B53" s="1094" t="str">
        <f ca="1">'预评函-3'!F5</f>
        <v>贰佰捌拾肆万元整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1">
        <f>'预评函-4'!A5</f>
        <v>0</v>
      </c>
    </row>
    <row r="73" spans="1:2" s="1089" customFormat="1" ht="15" thickBot="1">
      <c r="A73" s="1096" t="s">
        <v>565</v>
      </c>
      <c r="B73" s="1097">
        <f>'预评函-4'!B5</f>
        <v>0</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0"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17" t="s">
        <v>385</v>
      </c>
      <c r="C54" s="1415" t="s">
        <v>583</v>
      </c>
    </row>
    <row r="55" spans="1:4">
      <c r="A55" s="3190"/>
      <c r="B55" s="1417" t="s">
        <v>386</v>
      </c>
      <c r="C55" s="1415" t="s">
        <v>584</v>
      </c>
    </row>
    <row r="56" spans="1:4">
      <c r="A56" s="3190"/>
      <c r="B56" s="1417" t="s">
        <v>387</v>
      </c>
      <c r="C56" s="1415" t="s">
        <v>588</v>
      </c>
    </row>
    <row r="57" spans="1:4">
      <c r="A57" s="3190"/>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1" t="s">
        <v>2580</v>
      </c>
      <c r="J2" s="3191"/>
      <c r="K2" s="3191"/>
      <c r="L2" s="3191"/>
      <c r="M2" s="3191"/>
      <c r="N2" s="3191"/>
      <c r="O2" s="3191"/>
      <c r="P2" s="3191"/>
      <c r="Q2" s="3191"/>
      <c r="R2" s="3191"/>
    </row>
    <row r="3" spans="1:18">
      <c r="A3" s="2679" t="s">
        <v>2501</v>
      </c>
      <c r="B3" s="2680">
        <f>项目基本情况!D3</f>
        <v>45440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2.56</v>
      </c>
      <c r="D5" s="2684">
        <f>IF(ISERROR(ROUND(POWER(1+E5,A5-C5)*(POWER(1+E5,C5)-1)/(POWER(1+E5,A5)-1),3)),0,ROUND(POWER(1+E5,A5-C5)*(POWER(1+E5,C5)-1)/(POWER(1+E5,A5)-1),4))</f>
        <v>0.12870000000000001</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12.56</v>
      </c>
      <c r="D6" s="2684">
        <f>IF(ISERROR(ROUND(POWER(1+E6,A6-C6)*(POWER(1+E6,C6)-1)/(POWER(1+E6,A6)-1),3)),0,ROUND(POWER(1+E6,A6-C6)*(POWER(1+E6,C6)-1)/(POWER(1+E6,A6)-1),4))</f>
        <v>0.47760000000000002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32.58</v>
      </c>
      <c r="D7" s="2684">
        <f>IF(ISERROR(ROUND(POWER(1+E7,A7-C7)*(POWER(1+E7,C7)-1)/(POWER(1+E7,A7)-1),3)),0,ROUND(POWER(1+E7,A7-C7)*(POWER(1+E7,C7)-1)/(POWER(1+E7,A7)-1),4))</f>
        <v>0.79830000000000001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2"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3"/>
      <c r="D1" s="3193"/>
      <c r="E1" s="3193"/>
      <c r="F1" s="3193"/>
      <c r="G1" s="3193"/>
      <c r="H1" s="3193"/>
      <c r="I1" s="3194"/>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f>B3</f>
        <v>45440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c r="C4" s="2105">
        <f>SUMIF(注册房地产估价师,B4,估价师及机构信息!B3:B24)</f>
        <v>0</v>
      </c>
      <c r="D4" s="2104"/>
      <c r="E4" s="2105">
        <f>SUMIF(注册房地产估价师,D4,估价师及机构信息!B3:B24)</f>
        <v>0</v>
      </c>
      <c r="F4" s="2104"/>
      <c r="G4" s="2105">
        <f>SUMIF(注册房地产估价师,F4,估价师及机构信息!B3:B24)</f>
        <v>0</v>
      </c>
      <c r="H4" s="2104"/>
      <c r="I4" s="2105">
        <f>SUMIF(注册房地产估价师,H4,估价师及机构信息!B3:B24)</f>
        <v>0</v>
      </c>
      <c r="J4" s="2162"/>
      <c r="K4" s="2106" t="str">
        <f>CONCATENATE(B4,"（注册号：",C4,")、",D4,"（注册号：",E4,")")</f>
        <v>（注册号：0)、（注册号：0)</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5"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196"/>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32.96</v>
      </c>
      <c r="I15" s="2138" t="str">
        <f>IF(A13="出让",IF(I13="","",ROUNDDOWN(MIN((I13-$D$3)/365,I14),2)),I14)</f>
        <v/>
      </c>
      <c r="J15" s="2721"/>
      <c r="K15" s="1586"/>
      <c r="L15" s="1586"/>
      <c r="M15" s="2162"/>
      <c r="N15" s="1586"/>
      <c r="O15" s="2162"/>
      <c r="P15" s="2162"/>
      <c r="Q15" s="2162"/>
      <c r="AD15" s="1533"/>
    </row>
    <row r="16" spans="1:30">
      <c r="A16" s="2128" t="s">
        <v>2189</v>
      </c>
      <c r="B16" s="3202"/>
      <c r="C16" s="3203"/>
      <c r="D16" s="3204"/>
      <c r="E16" s="2139" t="s">
        <v>2190</v>
      </c>
      <c r="F16" s="3205"/>
      <c r="G16" s="3206"/>
      <c r="H16" s="3206"/>
      <c r="I16" s="3207"/>
      <c r="J16" s="2162"/>
      <c r="K16" s="2320"/>
      <c r="L16" s="1586"/>
      <c r="M16" s="1586"/>
      <c r="N16" s="2162"/>
      <c r="O16" s="1586"/>
      <c r="P16" s="2162"/>
      <c r="Q16" s="2162"/>
      <c r="R16" s="2162"/>
    </row>
    <row r="17" spans="1:28">
      <c r="A17" s="280" t="s">
        <v>2191</v>
      </c>
      <c r="B17" s="269" t="s">
        <v>2192</v>
      </c>
      <c r="C17" s="6">
        <f>'数据-汇总表'!E3</f>
        <v>2146.6800000000003</v>
      </c>
      <c r="D17" s="1230" t="s">
        <v>2193</v>
      </c>
      <c r="E17" s="3208" t="s">
        <v>2194</v>
      </c>
      <c r="F17" s="3209"/>
      <c r="G17" s="3209"/>
      <c r="H17" s="3209"/>
      <c r="I17" s="3210"/>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13334.3</v>
      </c>
      <c r="D18" s="1004" t="s">
        <v>2197</v>
      </c>
      <c r="E18" s="3211" t="s">
        <v>2198</v>
      </c>
      <c r="F18" s="3212"/>
      <c r="G18" s="3212"/>
      <c r="H18" s="3212"/>
      <c r="I18" s="3213"/>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198" t="s">
        <v>2202</v>
      </c>
      <c r="C20" s="3199"/>
      <c r="D20" s="3200" t="s">
        <v>2203</v>
      </c>
      <c r="E20" s="3201"/>
      <c r="F20" s="2347" t="s">
        <v>1056</v>
      </c>
      <c r="G20" s="2359"/>
      <c r="H20" s="2359"/>
      <c r="I20" s="2359"/>
      <c r="J20" s="2162"/>
      <c r="K20" s="3197"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197"/>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197"/>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215"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5"/>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5"/>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6"/>
      <c r="B30" s="269" t="s">
        <v>2214</v>
      </c>
      <c r="C30" s="3217"/>
      <c r="D30" s="3218"/>
      <c r="E30" s="2359"/>
      <c r="F30" s="2359"/>
      <c r="G30" s="2359"/>
      <c r="H30" s="2359"/>
      <c r="I30" s="2359"/>
      <c r="J30" s="2162"/>
      <c r="K30" s="2319"/>
      <c r="L30" s="2316"/>
      <c r="M30" s="2316"/>
      <c r="N30" s="2162"/>
      <c r="O30" s="1586"/>
      <c r="P30" s="2162"/>
      <c r="Q30" s="2162"/>
      <c r="R30" s="2162"/>
      <c r="S30" s="2162"/>
      <c r="T30" s="2162"/>
      <c r="U30" s="2162"/>
      <c r="V30" s="2162"/>
    </row>
    <row r="31" spans="1:28">
      <c r="A31" s="3219"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20"/>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20"/>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4" t="s">
        <v>2224</v>
      </c>
      <c r="T34" s="290" t="str">
        <f>NUMBERSTRING(7-K34,1)&amp;"通"</f>
        <v>七通</v>
      </c>
      <c r="U34" s="2162"/>
      <c r="V34" s="2162"/>
    </row>
    <row r="35" spans="1:30">
      <c r="A35" s="2153"/>
      <c r="B35" s="3214" t="s">
        <v>2225</v>
      </c>
      <c r="C35" s="3214"/>
      <c r="D35" s="3214"/>
      <c r="E35" s="3214"/>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4"/>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30" t="s">
        <v>1131</v>
      </c>
      <c r="B2" s="3230"/>
      <c r="C2" s="3230"/>
      <c r="D2" s="727" t="s">
        <v>1107</v>
      </c>
      <c r="E2" s="1438" t="s">
        <v>1108</v>
      </c>
      <c r="F2" s="2356"/>
      <c r="G2" s="2349"/>
      <c r="H2" s="2350"/>
      <c r="I2" s="2063" t="s">
        <v>1132</v>
      </c>
      <c r="J2" s="2356"/>
      <c r="K2" s="2356"/>
      <c r="L2" s="2356"/>
      <c r="M2" s="2356"/>
      <c r="N2" s="2357"/>
      <c r="O2" s="2356"/>
      <c r="P2" s="2356"/>
    </row>
    <row r="3" spans="1:16" ht="15.75" thickBot="1">
      <c r="A3" s="3231" t="s">
        <v>1105</v>
      </c>
      <c r="B3" s="3231"/>
      <c r="C3" s="3231"/>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5">
      <c r="A4" s="3232"/>
      <c r="B4" s="3233"/>
      <c r="C4" s="3234"/>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c r="A5" s="17" t="s">
        <v>1109</v>
      </c>
      <c r="B5" s="3235" t="s">
        <v>1110</v>
      </c>
      <c r="C5" s="3235"/>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5" t="s">
        <v>1111</v>
      </c>
      <c r="C6" s="3235"/>
      <c r="D6" s="18">
        <f>ROUND($D$3*E6/$E$3,2)</f>
        <v>13334.3</v>
      </c>
      <c r="E6" s="19">
        <f>E3-E5</f>
        <v>2146.6800000000003</v>
      </c>
      <c r="F6" s="2356"/>
      <c r="G6" s="1444" t="s">
        <v>1112</v>
      </c>
      <c r="H6" s="20" t="s">
        <v>1113</v>
      </c>
      <c r="I6" s="2352">
        <f>ROUND(F31/D31,2)</f>
        <v>0.16</v>
      </c>
      <c r="J6" s="2356"/>
      <c r="K6" s="2356"/>
      <c r="L6" s="2356"/>
      <c r="M6" s="2356"/>
      <c r="N6" s="2356"/>
      <c r="O6" s="2356"/>
      <c r="P6" s="2356"/>
    </row>
    <row r="7" spans="1:16" ht="15.75" thickBot="1">
      <c r="A7" s="3227"/>
      <c r="B7" s="3228"/>
      <c r="C7" s="3229"/>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13334.3</v>
      </c>
      <c r="E16" s="23">
        <f>SUM(E8:E15)</f>
        <v>2146.6800000000003</v>
      </c>
      <c r="F16" s="2356"/>
      <c r="G16" s="2356"/>
      <c r="H16" s="1446" t="s">
        <v>1135</v>
      </c>
      <c r="I16" s="1447"/>
      <c r="J16" s="1046"/>
      <c r="K16" s="3224" t="s">
        <v>1135</v>
      </c>
      <c r="L16" s="3225"/>
      <c r="M16" s="3225"/>
      <c r="N16" s="3225"/>
      <c r="O16" s="3225"/>
      <c r="P16" s="3226"/>
    </row>
    <row r="17" spans="1:19" ht="15">
      <c r="A17" s="1448" t="s">
        <v>1136</v>
      </c>
      <c r="B17" s="1449" t="s">
        <v>1137</v>
      </c>
      <c r="C17" s="1450" t="s">
        <v>1138</v>
      </c>
      <c r="D17" s="1451" t="s">
        <v>1126</v>
      </c>
      <c r="E17" s="1452" t="s">
        <v>1127</v>
      </c>
      <c r="F17" s="1453"/>
      <c r="G17" s="1454"/>
      <c r="H17" s="1455" t="s">
        <v>1139</v>
      </c>
      <c r="I17" s="1456" t="s">
        <v>1124</v>
      </c>
      <c r="J17" s="1046"/>
      <c r="K17" s="3221" t="s">
        <v>1140</v>
      </c>
      <c r="L17" s="3222"/>
      <c r="M17" s="3223"/>
      <c r="N17" s="3221" t="s">
        <v>1141</v>
      </c>
      <c r="O17" s="3222"/>
      <c r="P17" s="3223"/>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45440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32.96</v>
      </c>
      <c r="G6" s="37">
        <f>IF(ISERROR(ROUND(POWER(1+H6,D6-F6)*(POWER(1+H6,F6)-1)/(POWER(1+H6,D6)-1),3)),0,ROUND(POWER(1+H6,D6-F6)*(POWER(1+H6,F6)-1)/(POWER(1+H6,D6)-1),3))</f>
        <v>0.86099999999999999</v>
      </c>
      <c r="H6" s="670">
        <v>4.4999999999999998E-2</v>
      </c>
      <c r="I6" s="670">
        <v>0.05</v>
      </c>
      <c r="J6" s="38">
        <v>7.0000000000000007E-2</v>
      </c>
      <c r="K6" s="949">
        <f>SUMIF('数据-汇总表'!C$19:C$33,A6,'数据-汇总表'!E$19:E$33)</f>
        <v>2146.6800000000003</v>
      </c>
      <c r="L6" s="3149">
        <v>1800</v>
      </c>
      <c r="M6" s="39">
        <f t="shared" ref="M6:M14" si="0">ROUND(K6*L6/10000,0)</f>
        <v>386</v>
      </c>
      <c r="N6" s="669">
        <f>L22</f>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1.4</v>
      </c>
      <c r="V6" s="42">
        <v>0.02</v>
      </c>
      <c r="W6" s="42">
        <v>0.1</v>
      </c>
      <c r="X6" s="958"/>
      <c r="Y6" s="43">
        <f>N6</f>
        <v>0.7</v>
      </c>
      <c r="Z6" s="44"/>
      <c r="AA6" s="38"/>
      <c r="AB6" s="38"/>
      <c r="AC6" s="958"/>
      <c r="AD6" s="45"/>
      <c r="AE6" s="959">
        <f ca="1">IF(AN6="",0,SUMIF(INDIRECT("'"&amp;AN6&amp;"'"&amp;"!E:E"),$AE$5,INDIRECT("'"&amp;AN6&amp;"'"&amp;"!F:F")))</f>
        <v>32.96</v>
      </c>
      <c r="AF6" s="49"/>
      <c r="AG6" s="105">
        <f>IF(AF6="",0,AE6-AF6)</f>
        <v>0</v>
      </c>
      <c r="AH6" s="46"/>
      <c r="AI6" s="48">
        <v>365</v>
      </c>
      <c r="AJ6" s="49"/>
      <c r="AK6" s="50">
        <v>5.0000000000000001E-3</v>
      </c>
      <c r="AL6" s="51">
        <v>1E-3</v>
      </c>
      <c r="AM6" s="52">
        <v>5.0000000000000001E-3</v>
      </c>
      <c r="AN6" s="1504" t="s">
        <v>3391</v>
      </c>
      <c r="AO6" s="25">
        <f ca="1">SUMIF(INDIRECT("'"&amp;AN6&amp;"'"&amp;"!A:A"),"总价",INDIRECT("'"&amp;AN6&amp;"'"&amp;"!B:B"))</f>
        <v>1598</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0.86099999999999999</v>
      </c>
      <c r="H16" s="59">
        <f>ROUND(SUMPRODUCT(H6:H13,K6:K13)/SUMPRODUCT((H6:H13&gt;0)*(K6:K13)),3)</f>
        <v>4.4999999999999998E-2</v>
      </c>
      <c r="I16" s="60"/>
      <c r="J16" s="60"/>
      <c r="K16" s="61">
        <f>SUM(K6:K15)</f>
        <v>2146.6800000000003</v>
      </c>
      <c r="L16" s="62">
        <f>ROUND(M16*10000/SUM(K6:K14),0)</f>
        <v>1798</v>
      </c>
      <c r="M16" s="62">
        <f>SUM(M6:M14)</f>
        <v>386</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f>P22</f>
        <v>1383.74</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ROUND(1-(2024-L21)/60,2)</f>
        <v>0.7</v>
      </c>
      <c r="M22" s="3147"/>
      <c r="N22" s="3147"/>
      <c r="O22" s="3147" t="s">
        <v>4132</v>
      </c>
      <c r="P22" s="3147">
        <v>1383.74</v>
      </c>
      <c r="Q22" s="3147">
        <v>2200</v>
      </c>
      <c r="R22" s="2365"/>
      <c r="S22" s="2365"/>
      <c r="T22" s="2365"/>
      <c r="U22" s="97"/>
      <c r="V22" s="97">
        <f>V20+V21</f>
        <v>2146.6800000000003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147"/>
      <c r="M23" s="3147"/>
      <c r="N23" s="3147"/>
      <c r="O23" s="3147"/>
      <c r="P23" s="3147">
        <f>P21+P22</f>
        <v>2146.6800000000003</v>
      </c>
      <c r="Q23" s="3141">
        <f>(Q21*P21+Q22*P22)/P23</f>
        <v>2057.8381500736018</v>
      </c>
      <c r="R23" s="2365"/>
      <c r="S23" s="2365"/>
      <c r="T23" s="2365"/>
      <c r="U23" s="3144" t="s">
        <v>4133</v>
      </c>
      <c r="V23" s="2365">
        <f>'数据-基础表'!A3-'数据-取费表'!V20/2-'数据-取费表'!V21</f>
        <v>11569.09</v>
      </c>
      <c r="W23" s="97">
        <v>0.08</v>
      </c>
      <c r="X23" s="3140">
        <f>V23*W23/V22</f>
        <v>0.43114353326997962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1.4311435332699796</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81">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5.5000000000000007E-2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5.000000000000001E-3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0.05</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6" t="s">
        <v>2282</v>
      </c>
      <c r="B1" s="3237"/>
      <c r="C1" s="3237"/>
      <c r="D1" s="3237"/>
      <c r="E1" s="3237"/>
      <c r="F1" s="3237"/>
      <c r="G1" s="3237"/>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L15" sqref="L15"/>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2146.6800000000003</v>
      </c>
      <c r="C1" s="2378"/>
      <c r="D1" s="2378"/>
      <c r="E1" s="2378"/>
      <c r="F1" s="2378"/>
      <c r="G1" s="2379"/>
      <c r="H1" s="2379"/>
      <c r="I1" s="2379"/>
      <c r="J1" s="2379"/>
      <c r="K1" s="2379"/>
    </row>
    <row r="2" spans="1:11" ht="16.5">
      <c r="A2" s="2217" t="s">
        <v>653</v>
      </c>
      <c r="B2" s="2217">
        <f>SUM(C14:C23)</f>
        <v>13334.3</v>
      </c>
      <c r="C2" s="2378"/>
      <c r="D2" s="2378"/>
      <c r="E2" s="2378"/>
      <c r="F2" s="2378"/>
      <c r="G2" s="2379"/>
      <c r="H2" s="2379"/>
      <c r="I2" s="2379"/>
      <c r="J2" s="2379"/>
      <c r="K2" s="2379"/>
    </row>
    <row r="3" spans="1:11" ht="16.5">
      <c r="A3" s="2217" t="s">
        <v>662</v>
      </c>
      <c r="B3" s="2219">
        <f>项目基本情况!D3</f>
        <v>45440</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2923</v>
      </c>
      <c r="C5" s="2217">
        <f ca="1">IF(B5=D14,结果表!H102,ROUND(B5*10000/$B$1,0))</f>
        <v>13616</v>
      </c>
      <c r="D5" s="2217">
        <f ca="1">ROUND(B5*10000/$B$2,0)</f>
        <v>2192</v>
      </c>
      <c r="E5" s="2378"/>
      <c r="F5" s="2379"/>
      <c r="G5" s="2379"/>
      <c r="H5" s="2379"/>
      <c r="I5" s="2379"/>
      <c r="J5" s="2379"/>
      <c r="K5" s="2379"/>
    </row>
    <row r="6" spans="1:11" ht="16.5">
      <c r="A6" s="2217" t="s">
        <v>656</v>
      </c>
      <c r="B6" s="2217">
        <f ca="1">SUM(G14:G23)</f>
        <v>2923</v>
      </c>
      <c r="C6" s="2217">
        <f ca="1">IF(B6=G14,结果表!H108,ROUND(B6*10000/$B$1,0))</f>
        <v>13616</v>
      </c>
      <c r="D6" s="2217">
        <f ca="1">ROUND(B6*10000/$B$2,0)</f>
        <v>2192</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2146.6800000000003</v>
      </c>
      <c r="C14" s="2223">
        <f>'数据-汇总表'!D3</f>
        <v>13334.3</v>
      </c>
      <c r="D14" s="2223">
        <f ca="1">结果表!H101</f>
        <v>2923</v>
      </c>
      <c r="E14" s="2223">
        <f ca="1">ROUND(D14*10000/B14,0)</f>
        <v>13616</v>
      </c>
      <c r="F14" s="2223">
        <f ca="1">ROUND(D14*10000/C14,0)</f>
        <v>2192</v>
      </c>
      <c r="G14" s="2223">
        <f ca="1">结果表!H107</f>
        <v>2923</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G40" sqref="G40"/>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5" t="str">
        <f>项目基本情况!S2</f>
        <v>北京市燕山东流水17号1幢等2幢工业（办公、厂房）用房房地产</v>
      </c>
      <c r="B2" s="3306"/>
      <c r="C2" s="3306"/>
      <c r="D2" s="3306"/>
      <c r="E2" s="3306"/>
      <c r="F2" s="3306"/>
      <c r="G2" s="3306"/>
      <c r="H2" s="3306"/>
      <c r="I2" s="3307"/>
    </row>
    <row r="3" spans="1:12" ht="12.75">
      <c r="A3" s="3309" t="s">
        <v>1264</v>
      </c>
      <c r="B3" s="3310"/>
      <c r="C3" s="3310"/>
      <c r="D3" s="3310"/>
      <c r="E3" s="3310"/>
      <c r="F3" s="3310"/>
      <c r="G3" s="3310"/>
      <c r="H3" s="3310"/>
      <c r="I3" s="3310"/>
    </row>
    <row r="4" spans="1:12" ht="14.25">
      <c r="A4" s="1539" t="s">
        <v>1265</v>
      </c>
      <c r="B4" s="1540" t="s">
        <v>1266</v>
      </c>
      <c r="C4" s="1541" t="s">
        <v>3407</v>
      </c>
      <c r="D4" s="1541" t="s">
        <v>3391</v>
      </c>
      <c r="E4" s="3314" t="s">
        <v>1267</v>
      </c>
      <c r="F4" s="3315"/>
      <c r="G4" s="3315"/>
      <c r="H4" s="3315"/>
      <c r="I4" s="3316"/>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3" t="s">
        <v>1268</v>
      </c>
      <c r="B5" s="3308">
        <v>25</v>
      </c>
      <c r="C5" s="3311"/>
      <c r="D5" s="3299"/>
      <c r="E5" s="98" t="s">
        <v>1269</v>
      </c>
      <c r="F5" s="1542"/>
      <c r="G5" s="1542"/>
      <c r="H5" s="1542"/>
      <c r="I5" s="1251"/>
    </row>
    <row r="6" spans="1:12" ht="12.75">
      <c r="A6" s="3253"/>
      <c r="B6" s="3308"/>
      <c r="C6" s="3313"/>
      <c r="D6" s="3299"/>
      <c r="E6" s="98" t="s">
        <v>1270</v>
      </c>
      <c r="F6" s="1542"/>
      <c r="G6" s="1542"/>
      <c r="H6" s="1542"/>
      <c r="I6" s="1251"/>
    </row>
    <row r="7" spans="1:12" ht="12.75">
      <c r="A7" s="3253"/>
      <c r="B7" s="3308"/>
      <c r="C7" s="3312"/>
      <c r="D7" s="3299"/>
      <c r="E7" s="98" t="s">
        <v>1271</v>
      </c>
      <c r="F7" s="1542"/>
      <c r="G7" s="1542"/>
      <c r="H7" s="1542"/>
      <c r="I7" s="1251"/>
    </row>
    <row r="8" spans="1:12" ht="12.75">
      <c r="A8" s="3253" t="s">
        <v>1272</v>
      </c>
      <c r="B8" s="3308">
        <v>15</v>
      </c>
      <c r="C8" s="3311"/>
      <c r="D8" s="3299"/>
      <c r="E8" s="98" t="s">
        <v>1273</v>
      </c>
      <c r="F8" s="1542"/>
      <c r="G8" s="1542"/>
      <c r="H8" s="1542"/>
      <c r="I8" s="1251"/>
    </row>
    <row r="9" spans="1:12" ht="12.75">
      <c r="A9" s="3253"/>
      <c r="B9" s="3308"/>
      <c r="C9" s="3312"/>
      <c r="D9" s="3299"/>
      <c r="E9" s="98" t="s">
        <v>1274</v>
      </c>
      <c r="F9" s="1542"/>
      <c r="G9" s="1542"/>
      <c r="H9" s="1542"/>
      <c r="I9" s="1251"/>
    </row>
    <row r="10" spans="1:12" ht="12.75">
      <c r="A10" s="3253" t="s">
        <v>1275</v>
      </c>
      <c r="B10" s="3308">
        <v>15</v>
      </c>
      <c r="C10" s="3311"/>
      <c r="D10" s="3299"/>
      <c r="E10" s="98" t="s">
        <v>1276</v>
      </c>
      <c r="F10" s="1542"/>
      <c r="G10" s="1542"/>
      <c r="H10" s="1542"/>
      <c r="I10" s="1251"/>
    </row>
    <row r="11" spans="1:12" ht="12.75">
      <c r="A11" s="3253"/>
      <c r="B11" s="3308"/>
      <c r="C11" s="3312"/>
      <c r="D11" s="3299"/>
      <c r="E11" s="98" t="s">
        <v>1277</v>
      </c>
      <c r="F11" s="1542"/>
      <c r="G11" s="1542"/>
      <c r="H11" s="1542"/>
      <c r="I11" s="1251"/>
    </row>
    <row r="12" spans="1:12" ht="12.75">
      <c r="A12" s="3253" t="s">
        <v>1278</v>
      </c>
      <c r="B12" s="3308">
        <v>15</v>
      </c>
      <c r="C12" s="3311"/>
      <c r="D12" s="3299"/>
      <c r="E12" s="98" t="s">
        <v>1279</v>
      </c>
      <c r="F12" s="1542"/>
      <c r="G12" s="1542"/>
      <c r="H12" s="1542"/>
      <c r="I12" s="1251"/>
    </row>
    <row r="13" spans="1:12" ht="12.75">
      <c r="A13" s="3253"/>
      <c r="B13" s="3308"/>
      <c r="C13" s="3312"/>
      <c r="D13" s="3299"/>
      <c r="E13" s="98" t="s">
        <v>1280</v>
      </c>
      <c r="F13" s="1542"/>
      <c r="G13" s="1542"/>
      <c r="H13" s="1542"/>
      <c r="I13" s="1251"/>
    </row>
    <row r="14" spans="1:12" ht="12.75">
      <c r="A14" s="3253" t="s">
        <v>1281</v>
      </c>
      <c r="B14" s="3308">
        <v>30</v>
      </c>
      <c r="C14" s="3311">
        <v>6</v>
      </c>
      <c r="D14" s="3299">
        <v>4</v>
      </c>
      <c r="E14" s="98" t="s">
        <v>1282</v>
      </c>
      <c r="F14" s="1542"/>
      <c r="G14" s="1542"/>
      <c r="H14" s="1542"/>
      <c r="I14" s="1251"/>
    </row>
    <row r="15" spans="1:12" ht="12.75">
      <c r="A15" s="3253"/>
      <c r="B15" s="3308"/>
      <c r="C15" s="3313"/>
      <c r="D15" s="3299"/>
      <c r="E15" s="98" t="s">
        <v>1283</v>
      </c>
      <c r="F15" s="1542"/>
      <c r="G15" s="1542"/>
      <c r="H15" s="1542"/>
      <c r="I15" s="1251"/>
    </row>
    <row r="16" spans="1:12" ht="12.75">
      <c r="A16" s="3253"/>
      <c r="B16" s="3308"/>
      <c r="C16" s="3312"/>
      <c r="D16" s="3299"/>
      <c r="E16" s="98" t="s">
        <v>1284</v>
      </c>
      <c r="F16" s="1542"/>
      <c r="G16" s="1542"/>
      <c r="H16" s="1542"/>
      <c r="I16" s="1251"/>
    </row>
    <row r="17" spans="1:36" ht="15">
      <c r="A17" s="1543" t="s">
        <v>1285</v>
      </c>
      <c r="B17" s="29"/>
      <c r="C17" s="99">
        <f>SUM(C5:C16)</f>
        <v>6</v>
      </c>
      <c r="D17" s="99">
        <f>SUM(D5:D16)</f>
        <v>4</v>
      </c>
      <c r="E17" s="96"/>
      <c r="F17" s="96"/>
      <c r="G17" s="96"/>
      <c r="H17" s="96"/>
      <c r="I17" s="96"/>
      <c r="K17" s="269"/>
      <c r="L17" s="269" t="s">
        <v>1286</v>
      </c>
      <c r="M17" s="269" t="s">
        <v>1287</v>
      </c>
    </row>
    <row r="18" spans="1:36" ht="31.9" customHeight="1" thickBot="1">
      <c r="A18" s="1544" t="s">
        <v>1288</v>
      </c>
      <c r="B18" s="1457"/>
      <c r="C18" s="100">
        <f>ROUND(C17/SUM(C17:D17),2)</f>
        <v>0.6</v>
      </c>
      <c r="D18" s="100">
        <f>1-C18</f>
        <v>0.4</v>
      </c>
      <c r="E18" s="3330" t="s">
        <v>2127</v>
      </c>
      <c r="F18" s="3331"/>
      <c r="G18" s="3331"/>
      <c r="H18" s="3331"/>
      <c r="I18" s="3331"/>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5">
      <c r="A19" s="1545" t="s">
        <v>1290</v>
      </c>
      <c r="B19" s="1546" t="s">
        <v>1291</v>
      </c>
      <c r="C19" s="101">
        <f ca="1">SUMIF(INDIRECT("'"&amp;C4&amp;"'"&amp;"!A:A"),结果表!B19,INDIRECT("'"&amp;C4&amp;"'"&amp;"!B:B"))</f>
        <v>3807</v>
      </c>
      <c r="D19" s="102">
        <f ca="1">SUMIF(INDIRECT("'"&amp;D4&amp;"'"&amp;"!A:A"),结果表!B19,INDIRECT("'"&amp;D4&amp;"'"&amp;"!B:B"))</f>
        <v>1598</v>
      </c>
      <c r="E19" s="1545" t="s">
        <v>1292</v>
      </c>
      <c r="F19" s="1546" t="s">
        <v>1291</v>
      </c>
      <c r="G19" s="103">
        <f ca="1">ROUND(C19*$C$18+D19*$D$18,0)</f>
        <v>2923</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5">
      <c r="A20" s="1548"/>
      <c r="B20" s="18" t="s">
        <v>1295</v>
      </c>
      <c r="C20" s="104">
        <f ca="1">SUMIF(INDIRECT("'"&amp;C4&amp;"'"&amp;"!A:A"),结果表!B20,INDIRECT("'"&amp;C4&amp;"'"&amp;"!B:B"))</f>
        <v>17734</v>
      </c>
      <c r="D20" s="105">
        <f ca="1">SUMIF(INDIRECT("'"&amp;D4&amp;"'"&amp;"!A:A"),结果表!B20,INDIRECT("'"&amp;D4&amp;"'"&amp;"!B:B"))</f>
        <v>7444</v>
      </c>
      <c r="E20" s="1548"/>
      <c r="F20" s="18" t="s">
        <v>1295</v>
      </c>
      <c r="G20" s="106">
        <f ca="1">ROUND(C20*$C$18+D20*$D$18,0)</f>
        <v>13618</v>
      </c>
      <c r="H20" s="739" t="s">
        <v>1296</v>
      </c>
      <c r="I20" s="96"/>
    </row>
    <row r="21" spans="1:36" ht="15" customHeight="1" thickBot="1">
      <c r="A21" s="424"/>
      <c r="B21" s="68" t="s">
        <v>1297</v>
      </c>
      <c r="C21" s="657">
        <f ca="1">ROUND(C19*10000/L19,0)</f>
        <v>2855</v>
      </c>
      <c r="D21" s="658">
        <f ca="1">ROUND(D19*10000/L19,0)</f>
        <v>1198</v>
      </c>
      <c r="E21" s="424"/>
      <c r="F21" s="68" t="s">
        <v>1297</v>
      </c>
      <c r="G21" s="107">
        <f ca="1">ROUND(G19*10000/L19,0)</f>
        <v>2192</v>
      </c>
      <c r="H21" s="1549" t="s">
        <v>1296</v>
      </c>
      <c r="I21" s="96"/>
      <c r="L21" s="663">
        <f>ROUND(J19/1.1,0)</f>
        <v>2373</v>
      </c>
    </row>
    <row r="22" spans="1:36" ht="15" thickBot="1">
      <c r="A22" s="1479" t="s">
        <v>1298</v>
      </c>
      <c r="B22" s="1550"/>
      <c r="C22" s="1551"/>
      <c r="D22" s="659">
        <f ca="1">IF(C19&lt;D19,D19/C19-1,C19/D19-1)</f>
        <v>1.3823529411764706</v>
      </c>
      <c r="E22" s="96"/>
      <c r="F22" s="96"/>
      <c r="G22" s="96"/>
      <c r="H22" s="96"/>
      <c r="I22" s="96"/>
    </row>
    <row r="23" spans="1:36" ht="13.5" thickBot="1">
      <c r="A23" s="625"/>
      <c r="B23" s="625"/>
      <c r="C23" s="625"/>
      <c r="D23" s="625"/>
      <c r="E23" s="96"/>
      <c r="F23" s="96"/>
      <c r="G23" s="96"/>
      <c r="H23" s="96"/>
      <c r="I23" s="96"/>
    </row>
    <row r="24" spans="1:36" ht="14.25">
      <c r="A24" s="3323" t="s">
        <v>1299</v>
      </c>
      <c r="B24" s="1546" t="s">
        <v>1291</v>
      </c>
      <c r="C24" s="103">
        <f>IF(B30=0,0,D30)</f>
        <v>0</v>
      </c>
      <c r="D24" s="1552"/>
      <c r="E24" s="96"/>
      <c r="F24" s="96"/>
      <c r="G24" s="96"/>
      <c r="H24" s="96"/>
      <c r="I24" s="96"/>
    </row>
    <row r="25" spans="1:36" ht="14.25">
      <c r="A25" s="3324"/>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2923</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2639</v>
      </c>
      <c r="D34" s="787">
        <f ca="1">IF(C33="自定义",ROUND(C34/C32,3),IF(C33="收益比率",SUMIF(INDIRECT("'"&amp;D33&amp;"'"&amp;"!b:b"),"土地收益比率",INDIRECT("'"&amp;D33&amp;"'"&amp;"!c:c")),SUMIF(INDIRECT("'"&amp;D33&amp;"'"&amp;"!b:b"),"土地成本比率",INDIRECT("'"&amp;D33&amp;"'"&amp;"!c:c"))))</f>
        <v>0.90300000000000002</v>
      </c>
      <c r="E34" s="1563" t="s">
        <v>1309</v>
      </c>
      <c r="F34" s="1217"/>
      <c r="G34" s="96"/>
      <c r="H34" s="96"/>
      <c r="I34" s="96"/>
    </row>
    <row r="35" spans="1:15" ht="15.75" thickBot="1">
      <c r="A35" s="1564"/>
      <c r="B35" s="1565" t="s">
        <v>1310</v>
      </c>
      <c r="C35" s="1065">
        <f ca="1">IF(C33="自定义",F35,ROUND(C32*D35,0))</f>
        <v>284</v>
      </c>
      <c r="D35" s="1066">
        <f ca="1">IF(C33="自定义",ROUND(C35/C32,3),IF(C33="收益比率",SUMIF(INDIRECT("'"&amp;D33&amp;"'"&amp;"!b:b"),"建筑物收益比率",INDIRECT("'"&amp;D33&amp;"'"&amp;"!c:c")),SUMIF(INDIRECT("'"&amp;D33&amp;"'"&amp;"!b:b"),"建筑物成本比率",INDIRECT("'"&amp;D33&amp;"'"&amp;"!c:c"))))</f>
        <v>9.7000000000000003E-2</v>
      </c>
      <c r="E35" s="1566" t="s">
        <v>1311</v>
      </c>
      <c r="F35" s="121"/>
      <c r="G35" s="96"/>
      <c r="H35" s="96"/>
      <c r="I35" s="96"/>
    </row>
    <row r="36" spans="1:15" ht="15.75" thickBot="1">
      <c r="A36" s="3300" t="s">
        <v>1312</v>
      </c>
      <c r="B36" s="1567" t="s">
        <v>1313</v>
      </c>
      <c r="C36" s="112"/>
      <c r="D36" s="1568"/>
      <c r="E36" s="1482"/>
      <c r="F36" s="1569"/>
      <c r="G36" s="96"/>
      <c r="H36" s="96"/>
      <c r="I36" s="96"/>
    </row>
    <row r="37" spans="1:15" ht="15.75" thickBot="1">
      <c r="A37" s="3301"/>
      <c r="B37" s="1470" t="s">
        <v>1314</v>
      </c>
      <c r="C37" s="114"/>
      <c r="D37" s="1046"/>
      <c r="E37" s="1046"/>
      <c r="F37" s="1569"/>
      <c r="G37" s="96"/>
      <c r="H37" s="96"/>
      <c r="I37" s="96"/>
    </row>
    <row r="38" spans="1:15" ht="15.75" thickBot="1">
      <c r="A38" s="3302"/>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320" t="s">
        <v>1326</v>
      </c>
      <c r="B45" s="3321"/>
      <c r="C45" s="3322"/>
      <c r="D45" s="122">
        <f ca="1">ROUND(H101*F45,0)</f>
        <v>2923</v>
      </c>
      <c r="E45" s="123" t="s">
        <v>1327</v>
      </c>
      <c r="F45" s="124">
        <v>1</v>
      </c>
      <c r="G45" s="125" t="s">
        <v>1328</v>
      </c>
      <c r="H45" s="96"/>
      <c r="I45" s="96"/>
      <c r="J45" s="3240" t="s">
        <v>1329</v>
      </c>
      <c r="K45" s="3240"/>
      <c r="L45" s="3240"/>
      <c r="M45" s="3240"/>
      <c r="N45" s="3240"/>
      <c r="O45" s="3240"/>
    </row>
    <row r="46" spans="1:15" ht="14.25" customHeight="1">
      <c r="A46" s="3317" t="s">
        <v>1330</v>
      </c>
      <c r="B46" s="3318"/>
      <c r="C46" s="3318"/>
      <c r="D46" s="3318"/>
      <c r="E46" s="3318"/>
      <c r="F46" s="3318"/>
      <c r="G46" s="3319"/>
      <c r="H46" s="1584"/>
      <c r="I46" s="126"/>
      <c r="J46" s="2227">
        <v>1</v>
      </c>
      <c r="K46" s="3241" t="s">
        <v>1331</v>
      </c>
      <c r="L46" s="3241"/>
      <c r="M46" s="3242"/>
      <c r="N46" s="3242"/>
      <c r="O46" s="3242"/>
    </row>
    <row r="47" spans="1:15" ht="12" customHeight="1">
      <c r="A47" s="127" t="s">
        <v>1332</v>
      </c>
      <c r="B47" s="128"/>
      <c r="C47" s="129"/>
      <c r="D47" s="999" t="s">
        <v>1333</v>
      </c>
      <c r="E47" s="269" t="s">
        <v>1334</v>
      </c>
      <c r="F47" s="130" t="s">
        <v>1335</v>
      </c>
      <c r="G47" s="2250" t="s">
        <v>1336</v>
      </c>
      <c r="H47" s="2251"/>
      <c r="I47" s="126"/>
      <c r="J47" s="2227">
        <v>2</v>
      </c>
      <c r="K47" s="3241" t="s">
        <v>1337</v>
      </c>
      <c r="L47" s="3241"/>
      <c r="M47" s="3243">
        <f>'数据-取费表'!B2</f>
        <v>45440</v>
      </c>
      <c r="N47" s="3243"/>
      <c r="O47" s="3243"/>
    </row>
    <row r="48" spans="1:15" ht="25.5">
      <c r="A48" s="3303" t="s">
        <v>1338</v>
      </c>
      <c r="B48" s="3304"/>
      <c r="C48" s="3304"/>
      <c r="D48" s="8" t="b">
        <f>IF(H48="情况1",0,IF(H48="情况2",D52,IF(H48="情况3",D53,IF(H48="情况4",D54))))</f>
        <v>0</v>
      </c>
      <c r="E48" s="1230" t="str">
        <f>IF(H48="情况4","(销售额-原购置价)×税（费）率","销售额×税（费）率")</f>
        <v>销售额×税（费）率</v>
      </c>
      <c r="F48" s="2252">
        <f>IF(H48="情况1","免征",'数据-取费表'!B41)</f>
        <v>5.5000000000000007E-2</v>
      </c>
      <c r="G48" s="2253" t="s">
        <v>1339</v>
      </c>
      <c r="H48" s="2254"/>
      <c r="I48" s="1584"/>
      <c r="J48" s="2227">
        <v>3</v>
      </c>
      <c r="K48" s="3241" t="s">
        <v>1340</v>
      </c>
      <c r="L48" s="3241"/>
      <c r="M48" s="3244">
        <f ca="1">H101</f>
        <v>2923</v>
      </c>
      <c r="N48" s="3244"/>
      <c r="O48" s="3244"/>
    </row>
    <row r="49" spans="1:35" ht="25.5" customHeight="1">
      <c r="A49" s="2069" t="s">
        <v>1341</v>
      </c>
      <c r="B49" s="3289" t="s">
        <v>1342</v>
      </c>
      <c r="C49" s="3289"/>
      <c r="D49" s="1434">
        <v>0</v>
      </c>
      <c r="E49" s="291" t="s">
        <v>1343</v>
      </c>
      <c r="F49" s="2150" t="s">
        <v>28</v>
      </c>
      <c r="G49" s="3272"/>
      <c r="H49" s="2051" t="s">
        <v>2130</v>
      </c>
      <c r="I49" s="2052"/>
      <c r="J49" s="2227">
        <v>4</v>
      </c>
      <c r="K49" s="3241" t="str">
        <f>IF(项目基本情况!E8="房地产抵押价值","房地产抵押价值","抵押担保权已注销时的房地产抵押价值")</f>
        <v>房地产抵押价值</v>
      </c>
      <c r="L49" s="3241"/>
      <c r="M49" s="3244">
        <f ca="1">IF(项目基本情况!E8="房地产抵押价值",H107,H109)</f>
        <v>2923</v>
      </c>
      <c r="N49" s="3244"/>
      <c r="O49" s="3244"/>
    </row>
    <row r="50" spans="1:35" ht="25.5" customHeight="1">
      <c r="A50" s="2255"/>
      <c r="B50" s="3289" t="s">
        <v>1344</v>
      </c>
      <c r="C50" s="3289"/>
      <c r="D50" s="2106"/>
      <c r="E50" s="298"/>
      <c r="F50" s="2150"/>
      <c r="G50" s="3273"/>
      <c r="H50" s="2053" t="s">
        <v>2131</v>
      </c>
      <c r="I50" s="2052"/>
      <c r="J50" s="3240" t="s">
        <v>1345</v>
      </c>
      <c r="K50" s="3240"/>
      <c r="L50" s="3240"/>
      <c r="M50" s="3240"/>
      <c r="N50" s="3240"/>
      <c r="O50" s="3240"/>
    </row>
    <row r="51" spans="1:35" ht="20.45" customHeight="1">
      <c r="A51" s="2256"/>
      <c r="B51" s="3289" t="s">
        <v>1346</v>
      </c>
      <c r="C51" s="3289"/>
      <c r="D51" s="999"/>
      <c r="E51" s="294"/>
      <c r="F51" s="2150"/>
      <c r="G51" s="3274"/>
      <c r="H51" s="2053" t="s">
        <v>2132</v>
      </c>
      <c r="I51" s="2052"/>
      <c r="J51" s="2228" t="s">
        <v>1347</v>
      </c>
      <c r="K51" s="3241" t="s">
        <v>1348</v>
      </c>
      <c r="L51" s="3241"/>
      <c r="M51" s="2228" t="s">
        <v>1349</v>
      </c>
      <c r="N51" s="2228" t="s">
        <v>1350</v>
      </c>
      <c r="O51" s="2228" t="s">
        <v>1351</v>
      </c>
    </row>
    <row r="52" spans="1:35" ht="24" customHeight="1">
      <c r="A52" s="2070" t="s">
        <v>1352</v>
      </c>
      <c r="B52" s="3289" t="s">
        <v>1353</v>
      </c>
      <c r="C52" s="3289"/>
      <c r="D52" s="999">
        <f ca="1">ROUND(D45*'数据-取费表'!B41/(1+'数据-取费表'!C42),0)</f>
        <v>153</v>
      </c>
      <c r="E52" s="1230" t="s">
        <v>1354</v>
      </c>
      <c r="F52" s="2257">
        <f>'数据-取费表'!B41</f>
        <v>5.5000000000000007E-2</v>
      </c>
      <c r="G52" s="2258"/>
      <c r="H52" s="2248"/>
      <c r="I52" s="1585"/>
      <c r="J52" s="2227">
        <v>1</v>
      </c>
      <c r="K52" s="3266" t="s">
        <v>1355</v>
      </c>
      <c r="L52" s="3266"/>
      <c r="M52" s="2229" t="b">
        <f>D48</f>
        <v>0</v>
      </c>
      <c r="N52" s="2227" t="str">
        <f>E48</f>
        <v>销售额×税（费）率</v>
      </c>
      <c r="O52" s="2230">
        <f>F48</f>
        <v>5.5000000000000007E-2</v>
      </c>
    </row>
    <row r="53" spans="1:35" ht="12" customHeight="1">
      <c r="A53" s="2070" t="s">
        <v>1356</v>
      </c>
      <c r="B53" s="3290" t="s">
        <v>2287</v>
      </c>
      <c r="C53" s="3291"/>
      <c r="D53" s="999">
        <f ca="1">ROUND(D45*'数据-取费表'!B41/(1+'数据-取费表'!C42),0)</f>
        <v>153</v>
      </c>
      <c r="E53" s="1230" t="s">
        <v>1354</v>
      </c>
      <c r="F53" s="2257">
        <f>'数据-取费表'!B41</f>
        <v>5.5000000000000007E-2</v>
      </c>
      <c r="G53" s="2258"/>
      <c r="H53" s="2248"/>
      <c r="I53" s="1585"/>
      <c r="J53" s="2227">
        <v>2</v>
      </c>
      <c r="K53" s="3266" t="s">
        <v>1357</v>
      </c>
      <c r="L53" s="3266"/>
      <c r="M53" s="2229">
        <f t="shared" ref="M53:O54" ca="1" si="0">D55</f>
        <v>1</v>
      </c>
      <c r="N53" s="2227" t="str">
        <f t="shared" si="0"/>
        <v>销售额×税（费）率</v>
      </c>
      <c r="O53" s="2230" t="str">
        <f t="shared" si="0"/>
        <v>免征</v>
      </c>
    </row>
    <row r="54" spans="1:35" ht="12" customHeight="1">
      <c r="A54" s="2070" t="s">
        <v>1358</v>
      </c>
      <c r="B54" s="3290" t="s">
        <v>2288</v>
      </c>
      <c r="C54" s="3291"/>
      <c r="D54" s="999">
        <f ca="1">C68</f>
        <v>153</v>
      </c>
      <c r="E54" s="294" t="s">
        <v>1359</v>
      </c>
      <c r="F54" s="2257">
        <f>'数据-取费表'!B41</f>
        <v>5.5000000000000007E-2</v>
      </c>
      <c r="G54" s="2258"/>
      <c r="H54" s="2259"/>
      <c r="I54" s="1585"/>
      <c r="J54" s="2227">
        <v>3</v>
      </c>
      <c r="K54" s="3266" t="s">
        <v>1360</v>
      </c>
      <c r="L54" s="3266"/>
      <c r="M54" s="2229">
        <f t="shared" ca="1" si="0"/>
        <v>1657</v>
      </c>
      <c r="N54" s="2227" t="str">
        <f t="shared" si="0"/>
        <v>增值额×税（费）率</v>
      </c>
      <c r="O54" s="2231" t="str">
        <f t="shared" si="0"/>
        <v>免征</v>
      </c>
    </row>
    <row r="55" spans="1:35" ht="24" customHeight="1">
      <c r="A55" s="3326" t="s">
        <v>1361</v>
      </c>
      <c r="B55" s="3304"/>
      <c r="C55" s="3304"/>
      <c r="D55" s="8">
        <f ca="1">IF(H55="个人住宅",0,ROUND(D45*I55,0))</f>
        <v>1</v>
      </c>
      <c r="E55" s="1230" t="s">
        <v>1362</v>
      </c>
      <c r="F55" s="2257" t="str">
        <f>IF(H55="正常",I55,"免征")</f>
        <v>免征</v>
      </c>
      <c r="G55" s="2258"/>
      <c r="H55" s="2254"/>
      <c r="I55" s="132">
        <f>'数据-取费表'!B49</f>
        <v>5.0000000000000001E-4</v>
      </c>
      <c r="J55" s="2227">
        <f>IF(H59="非个人房产","",4)</f>
        <v>4</v>
      </c>
      <c r="K55" s="3266" t="str">
        <f>IF(H59="非个人房产","——","个人所得税")</f>
        <v>个人所得税</v>
      </c>
      <c r="L55" s="3266"/>
      <c r="M55" s="2232">
        <f ca="1">D59</f>
        <v>28</v>
      </c>
      <c r="N55" s="1800" t="str">
        <f>E59</f>
        <v>差额计税</v>
      </c>
      <c r="O55" s="2233">
        <f>F59</f>
        <v>0.01</v>
      </c>
    </row>
    <row r="56" spans="1:35" ht="24.75">
      <c r="A56" s="3326" t="s">
        <v>1363</v>
      </c>
      <c r="B56" s="3304"/>
      <c r="C56" s="3304"/>
      <c r="D56" s="8">
        <f ca="1">IF(H56="个人住宅",D57,D58)</f>
        <v>1657</v>
      </c>
      <c r="E56" s="1230" t="s">
        <v>1364</v>
      </c>
      <c r="F56" s="2257" t="str">
        <f>IF(H56="正常",F58,"免征")</f>
        <v>免征</v>
      </c>
      <c r="G56" s="2260" t="s">
        <v>1365</v>
      </c>
      <c r="H56" s="2261"/>
      <c r="I56" s="1586"/>
      <c r="J56" s="2227" t="str">
        <f>IF(项目基本情况!K6="上海银行",IF(J55="",4,J55+1),"")</f>
        <v/>
      </c>
      <c r="K56" s="3247" t="str">
        <f>IF(项目基本情况!K6="上海银行","其他处置费用","")</f>
        <v/>
      </c>
      <c r="L56" s="3248"/>
      <c r="M56" s="2229" t="str">
        <f>IF(项目基本情况!K6="上海银行",M69,"")</f>
        <v/>
      </c>
      <c r="N56" s="3247" t="str">
        <f>IF(项目基本情况!K6="上海银行","包含处置中涉及的律师、诉讼、拍卖、评估等费用","")</f>
        <v/>
      </c>
      <c r="O56" s="3250"/>
    </row>
    <row r="57" spans="1:35" ht="12.75">
      <c r="A57" s="2070" t="s">
        <v>1341</v>
      </c>
      <c r="B57" s="3290" t="s">
        <v>1366</v>
      </c>
      <c r="C57" s="3291"/>
      <c r="D57" s="1434">
        <v>0</v>
      </c>
      <c r="E57" s="291" t="s">
        <v>1343</v>
      </c>
      <c r="F57" s="269"/>
      <c r="G57" s="2258"/>
      <c r="H57" s="2262"/>
      <c r="I57" s="1586"/>
      <c r="J57" s="3266">
        <f>IF(AND(J55="",J56=""),4,IF(项目基本情况!K6="上海银行",结果表!J56+1,结果表!J55+1))</f>
        <v>5</v>
      </c>
      <c r="K57" s="3266" t="s">
        <v>1367</v>
      </c>
      <c r="L57" s="2234" t="s">
        <v>1368</v>
      </c>
      <c r="M57" s="2235"/>
      <c r="N57" s="2236">
        <f ca="1">SUMIF(M52:M56,"&lt;9e307")</f>
        <v>1686</v>
      </c>
      <c r="O57" s="2237"/>
      <c r="P57" s="2381">
        <f ca="1">N57/M49</f>
        <v>0.57680465275401982</v>
      </c>
    </row>
    <row r="58" spans="1:35" ht="24.75">
      <c r="A58" s="2070" t="s">
        <v>1352</v>
      </c>
      <c r="B58" s="3290" t="s">
        <v>1369</v>
      </c>
      <c r="C58" s="3289"/>
      <c r="D58" s="8">
        <f ca="1">IF(H58="转让取得",C81,C97)</f>
        <v>1657</v>
      </c>
      <c r="E58" s="1230" t="s">
        <v>1364</v>
      </c>
      <c r="F58" s="269" t="s">
        <v>28</v>
      </c>
      <c r="G58" s="2258"/>
      <c r="H58" s="2261"/>
      <c r="I58" s="1586"/>
      <c r="J58" s="3266"/>
      <c r="K58" s="3266"/>
      <c r="L58" s="2234" t="s">
        <v>1370</v>
      </c>
      <c r="M58" s="2238"/>
      <c r="N58" s="2239" t="str">
        <f ca="1">NUMBERSTRING(INT(N57*10000),2)&amp;"元整"</f>
        <v>壹仟陆佰捌拾陆万元整</v>
      </c>
      <c r="O58" s="2240"/>
    </row>
    <row r="59" spans="1:35" ht="24.75" thickBot="1">
      <c r="A59" s="3270" t="s">
        <v>1371</v>
      </c>
      <c r="B59" s="3271"/>
      <c r="C59" s="3271"/>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68">
        <f>J57+1</f>
        <v>6</v>
      </c>
      <c r="K59" s="3266" t="s">
        <v>1372</v>
      </c>
      <c r="L59" s="2227" t="s">
        <v>1368</v>
      </c>
      <c r="M59" s="2241"/>
      <c r="N59" s="2242">
        <f ca="1">M49-N57</f>
        <v>1237</v>
      </c>
      <c r="O59" s="2243"/>
    </row>
    <row r="60" spans="1:35" ht="12" customHeight="1">
      <c r="A60" s="1587"/>
      <c r="B60" s="625"/>
      <c r="C60" s="625"/>
      <c r="D60" s="625"/>
      <c r="E60" s="1431"/>
      <c r="F60" s="1586"/>
      <c r="G60" s="1586"/>
      <c r="H60" s="126"/>
      <c r="I60" s="96"/>
      <c r="J60" s="3269"/>
      <c r="K60" s="3266"/>
      <c r="L60" s="2234" t="s">
        <v>1370</v>
      </c>
      <c r="M60" s="2238"/>
      <c r="N60" s="2239" t="str">
        <f ca="1">NUMBERSTRING(INT(N59*10000),2)&amp;"元整"</f>
        <v>壹仟贰佰叁拾柒万元整</v>
      </c>
      <c r="O60" s="2240"/>
    </row>
    <row r="61" spans="1:35" ht="13.5" thickBot="1">
      <c r="A61" s="3325" t="s">
        <v>1373</v>
      </c>
      <c r="B61" s="3325"/>
      <c r="C61" s="3325"/>
      <c r="D61" s="3325"/>
      <c r="E61" s="3325"/>
      <c r="F61" s="1586"/>
      <c r="G61" s="1586"/>
      <c r="H61" s="126"/>
      <c r="I61" s="96"/>
      <c r="J61" s="2227">
        <f>J59+1</f>
        <v>7</v>
      </c>
      <c r="K61" s="3266" t="s">
        <v>1374</v>
      </c>
      <c r="L61" s="3266"/>
      <c r="M61" s="2244"/>
      <c r="N61" s="2245">
        <f ca="1">ROUND(N59*10000/'数据-汇总表'!E3,0)</f>
        <v>5762</v>
      </c>
      <c r="O61" s="2246"/>
    </row>
    <row r="62" spans="1:35" ht="12.75">
      <c r="A62" s="3285" t="s">
        <v>1375</v>
      </c>
      <c r="B62" s="3286"/>
      <c r="C62" s="1782"/>
      <c r="D62" s="1782" t="s">
        <v>1376</v>
      </c>
      <c r="E62" s="133" t="s">
        <v>1377</v>
      </c>
      <c r="F62" s="1586"/>
      <c r="G62" s="1586"/>
      <c r="H62" s="126"/>
      <c r="I62" s="96"/>
    </row>
    <row r="63" spans="1:35" ht="12.75">
      <c r="A63" s="140" t="s">
        <v>330</v>
      </c>
      <c r="B63" s="134" t="s">
        <v>1378</v>
      </c>
      <c r="C63" s="2267">
        <f ca="1">ROUND((C64+C65)/(1+'数据-取费表'!C42),0)</f>
        <v>2784</v>
      </c>
      <c r="D63" s="134"/>
      <c r="E63" s="135"/>
      <c r="F63" s="1586"/>
      <c r="G63" s="1586"/>
      <c r="H63" s="126"/>
      <c r="I63" s="96"/>
      <c r="J63" s="3249" t="s">
        <v>1379</v>
      </c>
      <c r="K63" s="1219" t="s">
        <v>1380</v>
      </c>
      <c r="L63" s="1219">
        <f ca="1">IF(M49&gt;10000,M49*0.5%,IF(AND(M49&gt;1000,M49&lt;=10000),M49*1%,IF(AND(M49&gt;100,M49&lt;=1000),M49*3%,IF(AND(M49&gt;10,M49&lt;=100),M49*5%,M49*8%))))</f>
        <v>29.23</v>
      </c>
      <c r="M63" s="269">
        <f ca="1">ROUND(L63,1)</f>
        <v>29.2</v>
      </c>
      <c r="N63" s="2247"/>
      <c r="Z63" s="1538"/>
      <c r="AI63" s="1476"/>
    </row>
    <row r="64" spans="1:35" ht="14.25" customHeight="1">
      <c r="A64" s="136" t="s">
        <v>325</v>
      </c>
      <c r="B64" s="137" t="s">
        <v>1381</v>
      </c>
      <c r="C64" s="2268">
        <f ca="1">D45</f>
        <v>2923</v>
      </c>
      <c r="D64" s="137" t="s">
        <v>26</v>
      </c>
      <c r="E64" s="139"/>
      <c r="F64" s="1586"/>
      <c r="G64" s="1586"/>
      <c r="H64" s="126"/>
      <c r="I64" s="96"/>
      <c r="J64" s="3249"/>
      <c r="K64" s="1219" t="s">
        <v>1382</v>
      </c>
      <c r="L64" s="1219">
        <f ca="1">IF(M49&gt;2000,M49*0.5%,IF(AND(M49&gt;1000,M49&lt;=2000),M49*0.6%,IF(AND(M49&gt;500,M49&lt;=1000),M49*0.7%,IF(AND(M49&gt;200,M49&lt;=500),M49*0.8%,IF(AND(M49&gt;100,M49&lt;=200),M49*0.9%,IF(AND(M49&gt;50,M49&lt;=100),M49*1%,IF(AND(M49&gt;20,M49&lt;=50),M49*1.5%,IF(AND(M49&gt;10,M49&lt;=20),M49*2%,IF(AND(M49&gt;1,M49&lt;=10),M49*2.5%)))))))))</f>
        <v>14.615</v>
      </c>
      <c r="M64" s="269">
        <f t="shared" ref="M64:M65" ca="1" si="1">ROUND(L64,1)</f>
        <v>14.6</v>
      </c>
      <c r="N64" s="2248" t="s">
        <v>1383</v>
      </c>
      <c r="Z64" s="1538"/>
      <c r="AI64" s="1476"/>
    </row>
    <row r="65" spans="1:35" ht="14.25" customHeight="1">
      <c r="A65" s="136" t="s">
        <v>326</v>
      </c>
      <c r="B65" s="137" t="s">
        <v>1384</v>
      </c>
      <c r="C65" s="2269"/>
      <c r="D65" s="137"/>
      <c r="E65" s="139"/>
      <c r="F65" s="1586"/>
      <c r="G65" s="1586"/>
      <c r="H65" s="126"/>
      <c r="I65" s="96"/>
      <c r="J65" s="3249"/>
      <c r="K65" s="1219" t="s">
        <v>1385</v>
      </c>
      <c r="L65" s="1219">
        <f ca="1">IF(M49&gt;1000,M49*0.1%,IF(AND(M49&gt;500,M49&lt;=1000),M49*0.5%,IF(AND(M49&gt;50,M49&lt;=500),M49*1%,IF(AND(M49&gt;1,M49&lt;=50),M49*1.5%))))</f>
        <v>2.923</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249"/>
      <c r="K66" s="1219" t="s">
        <v>1387</v>
      </c>
      <c r="L66" s="1219">
        <f ca="1">M49*0.5%</f>
        <v>14.615</v>
      </c>
      <c r="M66" s="269">
        <f ca="1">IF(L66&gt;0.5,0.5,ROUND(L66,0))</f>
        <v>0.5</v>
      </c>
      <c r="N66" s="2248" t="s">
        <v>1388</v>
      </c>
      <c r="Z66" s="1538"/>
      <c r="AI66" s="1476"/>
    </row>
    <row r="67" spans="1:35" ht="14.25" customHeight="1">
      <c r="A67" s="140" t="s">
        <v>328</v>
      </c>
      <c r="B67" s="141" t="s">
        <v>1389</v>
      </c>
      <c r="C67" s="2271">
        <f ca="1">C63-C66</f>
        <v>2784</v>
      </c>
      <c r="D67" s="137" t="s">
        <v>26</v>
      </c>
      <c r="E67" s="139"/>
      <c r="F67" s="1586"/>
      <c r="G67" s="1586"/>
      <c r="H67" s="126"/>
      <c r="I67" s="96"/>
      <c r="J67" s="3249"/>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153</v>
      </c>
      <c r="D68" s="2273">
        <f>'数据-取费表'!B41</f>
        <v>5.5000000000000007E-2</v>
      </c>
      <c r="E68" s="145"/>
      <c r="F68" s="1586"/>
      <c r="G68" s="1586"/>
      <c r="H68" s="126"/>
      <c r="I68" s="96"/>
      <c r="J68" s="3249"/>
      <c r="K68" s="1219" t="s">
        <v>1392</v>
      </c>
      <c r="L68" s="1219">
        <f ca="1">IF(M49&gt;10000,M49*0.5%,IF(AND(M49&gt;5000,M49&lt;=10000),M49*1%,IF(AND(M49&gt;1000,M49&lt;=5000),M49*2%,IF(AND(M49&gt;200,M49&lt;=1000),M49*3%,M49*5%))))</f>
        <v>58.46</v>
      </c>
      <c r="M68" s="269">
        <f ca="1">ROUND(L68,1)</f>
        <v>58.5</v>
      </c>
      <c r="N68" s="2247"/>
      <c r="Z68" s="1538"/>
      <c r="AI68" s="1476"/>
    </row>
    <row r="69" spans="1:35" ht="16.5" customHeight="1">
      <c r="A69" s="1588"/>
      <c r="B69" s="1589"/>
      <c r="C69" s="1590"/>
      <c r="D69" s="1591"/>
      <c r="E69" s="1592"/>
      <c r="F69" s="1431"/>
      <c r="G69" s="1431"/>
      <c r="H69" s="1432"/>
      <c r="I69" s="625"/>
      <c r="J69" s="3249"/>
      <c r="K69" s="1219" t="s">
        <v>1393</v>
      </c>
      <c r="L69" s="1219"/>
      <c r="M69" s="269">
        <f ca="1">ROUND(SUM(M63:M68),0)</f>
        <v>108</v>
      </c>
      <c r="N69" s="2249">
        <f ca="1">M69/M49</f>
        <v>3.6948340745809098E-2</v>
      </c>
      <c r="Z69" s="1538"/>
      <c r="AI69" s="1476"/>
    </row>
    <row r="70" spans="1:35" s="621" customFormat="1" ht="15" thickBot="1">
      <c r="A70" s="3293" t="s">
        <v>1394</v>
      </c>
      <c r="B70" s="3294"/>
      <c r="C70" s="3294"/>
      <c r="D70" s="3294"/>
      <c r="E70" s="3294"/>
      <c r="F70" s="3294"/>
      <c r="G70" s="3294"/>
      <c r="H70" s="3294"/>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85" t="s">
        <v>1375</v>
      </c>
      <c r="B71" s="3286"/>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2784</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14</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90" t="s">
        <v>1402</v>
      </c>
      <c r="F76" s="3289"/>
      <c r="G76" s="3289"/>
      <c r="H76" s="3292"/>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14</v>
      </c>
      <c r="D78" s="2280">
        <f>'数据-取费表'!B43</f>
        <v>5.000000000000001E-3</v>
      </c>
      <c r="E78" s="3282" t="s">
        <v>1406</v>
      </c>
      <c r="F78" s="3283"/>
      <c r="G78" s="3283"/>
      <c r="H78" s="3284"/>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2770</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197.85714285714286</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1657</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93" t="s">
        <v>1410</v>
      </c>
      <c r="B83" s="3294"/>
      <c r="C83" s="3294"/>
      <c r="D83" s="3294"/>
      <c r="E83" s="3294"/>
      <c r="F83" s="3294"/>
      <c r="G83" s="3294"/>
      <c r="H83" s="3294"/>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85" t="s">
        <v>1375</v>
      </c>
      <c r="B84" s="3286"/>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2784</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14</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251" t="s">
        <v>2125</v>
      </c>
      <c r="H90" s="3252"/>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2" t="s">
        <v>1419</v>
      </c>
      <c r="F91" s="3283"/>
      <c r="G91" s="3283"/>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2" t="s">
        <v>1422</v>
      </c>
      <c r="F92" s="3283"/>
      <c r="G92" s="3283"/>
      <c r="H92" s="3284"/>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14</v>
      </c>
      <c r="D93" s="2280">
        <f>'数据-取费表'!B43</f>
        <v>5.000000000000001E-3</v>
      </c>
      <c r="E93" s="3282" t="s">
        <v>1406</v>
      </c>
      <c r="F93" s="3283"/>
      <c r="G93" s="3283"/>
      <c r="H93" s="3284"/>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27" t="s">
        <v>1426</v>
      </c>
      <c r="F94" s="3328"/>
      <c r="G94" s="3328"/>
      <c r="H94" s="3329"/>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2770</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197.85714285714286</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1657</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2" t="s">
        <v>1428</v>
      </c>
      <c r="B100" s="3233"/>
      <c r="C100" s="3233"/>
      <c r="D100" s="3267"/>
      <c r="E100" s="3233" t="s">
        <v>1429</v>
      </c>
      <c r="F100" s="3233"/>
      <c r="G100" s="3233"/>
      <c r="H100" s="3267"/>
      <c r="I100" s="96"/>
    </row>
    <row r="101" spans="1:35" ht="18.75" customHeight="1">
      <c r="A101" s="3275" t="s">
        <v>1430</v>
      </c>
      <c r="B101" s="3276"/>
      <c r="C101" s="2288" t="str">
        <f>C4</f>
        <v>成本法</v>
      </c>
      <c r="D101" s="2289" t="str">
        <f>D4</f>
        <v>收益法</v>
      </c>
      <c r="E101" s="3245" t="s">
        <v>1431</v>
      </c>
      <c r="F101" s="3246"/>
      <c r="G101" s="1603" t="s">
        <v>1432</v>
      </c>
      <c r="H101" s="2298">
        <f ca="1">H118</f>
        <v>2923</v>
      </c>
      <c r="I101" s="96"/>
    </row>
    <row r="102" spans="1:35" ht="18.75" customHeight="1">
      <c r="A102" s="3277" t="s">
        <v>1433</v>
      </c>
      <c r="B102" s="2287" t="s">
        <v>1432</v>
      </c>
      <c r="C102" s="2288">
        <f ca="1">IF(D32="楼面单价",ROUND(C19,0),C19)</f>
        <v>3807</v>
      </c>
      <c r="D102" s="2289">
        <f ca="1">IF(D32="楼面单价",ROUND(D19,0),D19)</f>
        <v>1598</v>
      </c>
      <c r="E102" s="3245"/>
      <c r="F102" s="3246"/>
      <c r="G102" s="1603" t="s">
        <v>1434</v>
      </c>
      <c r="H102" s="2258">
        <f ca="1">I118</f>
        <v>13616</v>
      </c>
      <c r="I102" s="96"/>
    </row>
    <row r="103" spans="1:35" ht="42.75" customHeight="1">
      <c r="A103" s="3277"/>
      <c r="B103" s="2287" t="s">
        <v>1434</v>
      </c>
      <c r="C103" s="2290">
        <f ca="1">C20</f>
        <v>17734</v>
      </c>
      <c r="D103" s="2291">
        <f ca="1">D20</f>
        <v>7444</v>
      </c>
      <c r="E103" s="3238" t="s">
        <v>1435</v>
      </c>
      <c r="F103" s="3239"/>
      <c r="G103" s="1604" t="s">
        <v>1436</v>
      </c>
      <c r="H103" s="2298">
        <f>IF(D36="正常操作",H104+H105+H106,H105+H106)</f>
        <v>0</v>
      </c>
      <c r="I103" s="96"/>
    </row>
    <row r="104" spans="1:35" ht="18.75" customHeight="1">
      <c r="A104" s="3277" t="s">
        <v>1437</v>
      </c>
      <c r="B104" s="2292" t="s">
        <v>1432</v>
      </c>
      <c r="C104" s="2293">
        <f ca="1">H118</f>
        <v>2923</v>
      </c>
      <c r="D104" s="2294"/>
      <c r="E104" s="1470" t="s">
        <v>1438</v>
      </c>
      <c r="F104" s="1463"/>
      <c r="G104" s="1604" t="s">
        <v>1436</v>
      </c>
      <c r="H104" s="2299">
        <f>IF(D36="同一抵押权人同一抵押物续贷",C36&amp;"（续贷，未扣减，详见特别提示）",C36)</f>
        <v>0</v>
      </c>
      <c r="I104" s="96"/>
    </row>
    <row r="105" spans="1:35" ht="18.75" customHeight="1" thickBot="1">
      <c r="A105" s="3287"/>
      <c r="B105" s="2295" t="s">
        <v>1434</v>
      </c>
      <c r="C105" s="2296">
        <f ca="1">I118</f>
        <v>13616</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78" t="str">
        <f>IF(项目基本情况!E8="已注销","——","3.房地产抵押价值")</f>
        <v>3.房地产抵押价值</v>
      </c>
      <c r="F107" s="3246"/>
      <c r="G107" s="1603" t="s">
        <v>1432</v>
      </c>
      <c r="H107" s="2298">
        <f ca="1">IF(E107="——","——",H101-H103)</f>
        <v>2923</v>
      </c>
      <c r="I107" s="96"/>
    </row>
    <row r="108" spans="1:35" ht="18.75" customHeight="1">
      <c r="A108" s="96"/>
      <c r="B108" s="96"/>
      <c r="C108" s="96"/>
      <c r="D108" s="96"/>
      <c r="E108" s="3278"/>
      <c r="F108" s="3246"/>
      <c r="G108" s="1603" t="s">
        <v>1434</v>
      </c>
      <c r="H108" s="2258">
        <f ca="1">IF(H107=H101,H102,ROUND(H107*10000/'数据-汇总表'!E3,0))</f>
        <v>13616</v>
      </c>
      <c r="I108" s="96"/>
    </row>
    <row r="109" spans="1:35" ht="18.75" customHeight="1">
      <c r="A109" s="96"/>
      <c r="B109" s="96"/>
      <c r="C109" s="96"/>
      <c r="D109" s="96"/>
      <c r="E109" s="3278" t="str">
        <f>IF(项目基本情况!E8="已注销及未注销","4.抵押担保权已注销时的房地产抵押价值",IF(项目基本情况!E8="已注销","3.抵押担保权已注销时的房地产抵押价值","——"))</f>
        <v>——</v>
      </c>
      <c r="F109" s="3246"/>
      <c r="G109" s="1603" t="s">
        <v>1432</v>
      </c>
      <c r="H109" s="2301" t="str">
        <f>IF(E109="——","——",H101-H105-H106)</f>
        <v>——</v>
      </c>
      <c r="I109" s="96"/>
    </row>
    <row r="110" spans="1:35" ht="18.75" customHeight="1">
      <c r="A110" s="96"/>
      <c r="B110" s="96"/>
      <c r="C110" s="96"/>
      <c r="D110" s="96"/>
      <c r="E110" s="3278"/>
      <c r="F110" s="3246"/>
      <c r="G110" s="1603" t="s">
        <v>1434</v>
      </c>
      <c r="H110" s="2258" t="str">
        <f>IF(H109="——","——",ROUND(H109*10000/'数据-汇总表'!E3,0))</f>
        <v>——</v>
      </c>
      <c r="I110" s="96"/>
    </row>
    <row r="111" spans="1:35" ht="18.75" customHeight="1">
      <c r="A111" s="96"/>
      <c r="B111" s="96"/>
      <c r="C111" s="96"/>
      <c r="D111" s="96"/>
      <c r="E111" s="3279" t="str">
        <f>IF(项目基本情况!E9="抵押净值",IF(OR(项目基本情况!E8="已注销",项目基本情况!E8="房地产抵押价值"),"4.抵押净值","5.抵押净值"),"——")</f>
        <v>——</v>
      </c>
      <c r="F111" s="3265"/>
      <c r="G111" s="1603" t="s">
        <v>1432</v>
      </c>
      <c r="H111" s="2298" t="str">
        <f>IF(E111="——","——",N59)</f>
        <v>——</v>
      </c>
      <c r="I111" s="96"/>
    </row>
    <row r="112" spans="1:35" ht="18.75" customHeight="1" thickBot="1">
      <c r="A112" s="96"/>
      <c r="B112" s="96"/>
      <c r="C112" s="96"/>
      <c r="D112" s="96"/>
      <c r="E112" s="3280"/>
      <c r="F112" s="3281"/>
      <c r="G112" s="1606" t="s">
        <v>1434</v>
      </c>
      <c r="H112" s="2302" t="str">
        <f>IF(E111="——","——",N61)</f>
        <v>——</v>
      </c>
      <c r="I112" s="96"/>
    </row>
    <row r="113" spans="1:27" ht="18.75" customHeight="1">
      <c r="A113" s="96"/>
      <c r="B113" s="96"/>
      <c r="C113" s="96"/>
      <c r="D113" s="96"/>
      <c r="E113" s="3288" t="s">
        <v>1440</v>
      </c>
      <c r="F113" s="3288"/>
      <c r="G113" s="3288"/>
      <c r="H113" s="3288"/>
      <c r="I113" s="96"/>
    </row>
    <row r="114" spans="1:27" ht="3.75" customHeight="1">
      <c r="A114" s="625"/>
      <c r="B114" s="625"/>
      <c r="C114" s="625"/>
      <c r="D114" s="625"/>
      <c r="E114" s="1587"/>
      <c r="F114" s="1587"/>
      <c r="G114" s="1587"/>
      <c r="H114" s="1587"/>
      <c r="I114" s="625"/>
    </row>
    <row r="115" spans="1:27" ht="18.75" customHeight="1">
      <c r="A115" s="3296" t="s">
        <v>1442</v>
      </c>
      <c r="B115" s="3297"/>
      <c r="C115" s="3297"/>
      <c r="D115" s="3297"/>
      <c r="E115" s="3297"/>
      <c r="F115" s="3297"/>
      <c r="G115" s="3297"/>
      <c r="H115" s="3297"/>
      <c r="I115" s="3298"/>
    </row>
    <row r="116" spans="1:27" ht="27" customHeight="1">
      <c r="A116" s="3253" t="s">
        <v>1443</v>
      </c>
      <c r="B116" s="3257" t="s">
        <v>3503</v>
      </c>
      <c r="C116" s="3257" t="s">
        <v>3504</v>
      </c>
      <c r="D116" s="3263" t="s">
        <v>1444</v>
      </c>
      <c r="E116" s="3264"/>
      <c r="F116" s="3295" t="s">
        <v>3505</v>
      </c>
      <c r="G116" s="3295"/>
      <c r="H116" s="3253" t="s">
        <v>1445</v>
      </c>
      <c r="I116" s="3253"/>
    </row>
    <row r="117" spans="1:27" ht="18.75" customHeight="1">
      <c r="A117" s="3253"/>
      <c r="B117" s="3258"/>
      <c r="C117" s="3258"/>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2639</v>
      </c>
      <c r="E118" s="2067">
        <f ca="1">ROUND(IF(C33="自定义",IF(D32="楼面单价",C34,D118*10000/B118),I118-G118),0)</f>
        <v>12293</v>
      </c>
      <c r="F118" s="2067">
        <f ca="1">ROUND(IF(D32="总价",C35,G118*B118/10000),0)</f>
        <v>284</v>
      </c>
      <c r="G118" s="2067">
        <f ca="1">ROUND(IF(D32="楼面单价",C35,F118*10000/B118),0)</f>
        <v>1323</v>
      </c>
      <c r="H118" s="2067">
        <f ca="1">ROUND(IF(D32="总价",C32,I118*B118/10000),0)</f>
        <v>2923</v>
      </c>
      <c r="I118" s="2067">
        <f ca="1">ROUND(IF(D32="楼面单价",C32,H118*10000/B118),0)</f>
        <v>13616</v>
      </c>
      <c r="J118" s="663">
        <f ca="1">D118/C118*666.67</f>
        <v>131.94109402068349</v>
      </c>
    </row>
    <row r="119" spans="1:27" ht="18.75" customHeight="1">
      <c r="A119" s="3253" t="s">
        <v>1449</v>
      </c>
      <c r="B119" s="3253"/>
      <c r="C119" s="3253"/>
      <c r="D119" s="3259" t="str">
        <f ca="1">NUMBERSTRING(INT(D118*10000),2)&amp;"元整"</f>
        <v>贰仟陆佰叁拾玖万元整</v>
      </c>
      <c r="E119" s="3260"/>
      <c r="F119" s="3259" t="str">
        <f ca="1">NUMBERSTRING(INT(F118*10000),2)&amp;"元整"</f>
        <v>贰佰捌拾肆万元整</v>
      </c>
      <c r="G119" s="3260"/>
      <c r="H119" s="3259" t="str">
        <f ca="1">NUMBERSTRING(INT(H118*10000),2)&amp;"元整"</f>
        <v>贰仟玖佰贰拾叁万元整</v>
      </c>
      <c r="I119" s="3260"/>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59" t="s">
        <v>1449</v>
      </c>
      <c r="B121" s="3261"/>
      <c r="C121" s="3260"/>
      <c r="D121" s="3259" t="str">
        <f>IF(D120=0,"零元整",NUMBERSTRING(INT(D120*10000),2)&amp;"元整")</f>
        <v>零元整</v>
      </c>
      <c r="E121" s="3261"/>
      <c r="F121" s="3261"/>
      <c r="G121" s="3261"/>
      <c r="H121" s="3261"/>
      <c r="I121" s="3260"/>
      <c r="AA121" s="663"/>
    </row>
    <row r="122" spans="1:27" ht="18.75" customHeight="1">
      <c r="A122" s="3265" t="str">
        <f>IF(项目基本情况!B9="房地产市场价值","",MID(E107,3,LEN(E107)-2))</f>
        <v>房地产抵押价值</v>
      </c>
      <c r="B122" s="3265"/>
      <c r="C122" s="3265"/>
      <c r="D122" s="3254">
        <f ca="1">H107</f>
        <v>2923</v>
      </c>
      <c r="E122" s="3255"/>
      <c r="F122" s="3255"/>
      <c r="G122" s="3255"/>
      <c r="H122" s="3255"/>
      <c r="I122" s="3256"/>
      <c r="AA122" s="663"/>
    </row>
    <row r="123" spans="1:27" ht="18.75" customHeight="1">
      <c r="A123" s="3253" t="s">
        <v>1449</v>
      </c>
      <c r="B123" s="3253"/>
      <c r="C123" s="3253"/>
      <c r="D123" s="3259" t="str">
        <f ca="1">NUMBERSTRING(INT(D122*10000),2)&amp;"元整"</f>
        <v>贰仟玖佰贰拾叁万元整</v>
      </c>
      <c r="E123" s="3261"/>
      <c r="F123" s="3261"/>
      <c r="G123" s="3261"/>
      <c r="H123" s="3261"/>
      <c r="I123" s="3260"/>
      <c r="AA123" s="663"/>
    </row>
    <row r="124" spans="1:27" ht="18.75" customHeight="1">
      <c r="A124" s="3265" t="str">
        <f>IF(项目基本情况!B9="房地产市场价值","",MID(E109,3,LEN(E109)-2))</f>
        <v/>
      </c>
      <c r="B124" s="3265"/>
      <c r="C124" s="3265"/>
      <c r="D124" s="3254" t="str">
        <f>H109</f>
        <v>——</v>
      </c>
      <c r="E124" s="3255"/>
      <c r="F124" s="3255"/>
      <c r="G124" s="3255"/>
      <c r="H124" s="3255"/>
      <c r="I124" s="3256"/>
      <c r="AA124" s="663"/>
    </row>
    <row r="125" spans="1:27" ht="18.75" customHeight="1">
      <c r="A125" s="3253" t="s">
        <v>1449</v>
      </c>
      <c r="B125" s="3253"/>
      <c r="C125" s="3253"/>
      <c r="D125" s="3259" t="e">
        <f>NUMBERSTRING(INT(D124*10000),2)&amp;"元整"</f>
        <v>#VALUE!</v>
      </c>
      <c r="E125" s="3261"/>
      <c r="F125" s="3261"/>
      <c r="G125" s="3261"/>
      <c r="H125" s="3261"/>
      <c r="I125" s="3260"/>
      <c r="AA125" s="663"/>
    </row>
    <row r="126" spans="1:27" ht="18.75" customHeight="1">
      <c r="A126" s="3265" t="str">
        <f>IF(项目基本情况!B9="房地产市场价值","",MID(E111,3,LEN(E111)-2))</f>
        <v/>
      </c>
      <c r="B126" s="3265"/>
      <c r="C126" s="3265"/>
      <c r="D126" s="3254" t="str">
        <f>H111</f>
        <v>——</v>
      </c>
      <c r="E126" s="3255"/>
      <c r="F126" s="3255"/>
      <c r="G126" s="3255"/>
      <c r="H126" s="3255"/>
      <c r="I126" s="3256"/>
      <c r="AA126" s="663"/>
    </row>
    <row r="127" spans="1:27" ht="18.75" customHeight="1">
      <c r="A127" s="3253" t="s">
        <v>1449</v>
      </c>
      <c r="B127" s="3253"/>
      <c r="C127" s="3253"/>
      <c r="D127" s="3259" t="e">
        <f>NUMBERSTRING(INT(D126*10000),2)&amp;"元整"</f>
        <v>#VALUE!</v>
      </c>
      <c r="E127" s="3261"/>
      <c r="F127" s="3261"/>
      <c r="G127" s="3261"/>
      <c r="H127" s="3261"/>
      <c r="I127" s="3260"/>
      <c r="AA127" s="663"/>
    </row>
    <row r="128" spans="1:27" ht="21.75" customHeight="1">
      <c r="A128" s="3262" t="s">
        <v>1450</v>
      </c>
      <c r="B128" s="3262"/>
      <c r="C128" s="3262"/>
      <c r="D128" s="3262"/>
      <c r="E128" s="3262"/>
      <c r="F128" s="3262"/>
      <c r="G128" s="3262"/>
      <c r="H128" s="3262"/>
      <c r="I128" s="3262"/>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34" sqref="J34"/>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3807</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17734</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2879</v>
      </c>
      <c r="D5" s="178" t="s">
        <v>1466</v>
      </c>
      <c r="E5" s="179" t="s">
        <v>1467</v>
      </c>
      <c r="F5" s="179" t="s">
        <v>1468</v>
      </c>
      <c r="G5" s="180"/>
    </row>
    <row r="6" spans="1:9" s="181" customFormat="1" ht="13.5" customHeight="1">
      <c r="A6" s="711" t="s">
        <v>1469</v>
      </c>
      <c r="B6" s="182" t="s">
        <v>1470</v>
      </c>
      <c r="C6" s="183">
        <f>'土地比较法-工业'!F61</f>
        <v>2754</v>
      </c>
      <c r="D6" s="184"/>
      <c r="E6" s="185"/>
      <c r="F6" s="185"/>
      <c r="G6" s="186"/>
    </row>
    <row r="7" spans="1:9" s="181" customFormat="1" ht="13.5" customHeight="1">
      <c r="A7" s="711" t="s">
        <v>1471</v>
      </c>
      <c r="B7" s="182" t="s">
        <v>1472</v>
      </c>
      <c r="C7" s="187">
        <f>ROUND(C6*F7,0)</f>
        <v>84</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58</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100</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99</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147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147</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3437</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449</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386</v>
      </c>
      <c r="D34" s="184"/>
      <c r="E34" s="187"/>
      <c r="F34" s="224">
        <f ca="1">IF('数据-取费表'!B24=0,1,IF(B1="",'数据-取费表'!N16,INDIRECT("'数据-取费表'!n"&amp;$G$1)))</f>
        <v>1</v>
      </c>
      <c r="G34" s="186" t="s">
        <v>1523</v>
      </c>
    </row>
    <row r="35" spans="1:7" ht="13.5" customHeight="1">
      <c r="A35" s="713" t="s">
        <v>351</v>
      </c>
      <c r="B35" s="182" t="s">
        <v>1524</v>
      </c>
      <c r="C35" s="187">
        <f ca="1">ROUND(C34*F35,0)</f>
        <v>12</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8</v>
      </c>
      <c r="D38" s="187"/>
      <c r="E38" s="187"/>
      <c r="F38" s="226">
        <f>'数据-取费表'!B36</f>
        <v>0.02</v>
      </c>
      <c r="G38" s="186" t="s">
        <v>1525</v>
      </c>
    </row>
    <row r="39" spans="1:7" s="181" customFormat="1" ht="13.5" customHeight="1">
      <c r="A39" s="222" t="s">
        <v>1531</v>
      </c>
      <c r="B39" s="177" t="s">
        <v>1532</v>
      </c>
      <c r="C39" s="199">
        <f ca="1">ROUND(C33*F20,0)</f>
        <v>9</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8</v>
      </c>
      <c r="D42" s="205"/>
      <c r="E42" s="205"/>
      <c r="F42" s="206"/>
      <c r="G42" s="3332" t="s">
        <v>1541</v>
      </c>
    </row>
    <row r="43" spans="1:7" ht="13.5" customHeight="1">
      <c r="A43" s="713" t="s">
        <v>347</v>
      </c>
      <c r="B43" s="182" t="s">
        <v>1542</v>
      </c>
      <c r="C43" s="205">
        <f ca="1">ROUND(IF('数据-取费表'!B22&lt;=1,C39*F22*'数据-取费表'!B21/2,C39*(POWER((1+F22),'数据-取费表'!B21/2)-1)),0)</f>
        <v>0</v>
      </c>
      <c r="D43" s="205"/>
      <c r="E43" s="205"/>
      <c r="F43" s="206"/>
      <c r="G43" s="3333"/>
    </row>
    <row r="44" spans="1:7" ht="13.5" customHeight="1">
      <c r="A44" s="713" t="s">
        <v>348</v>
      </c>
      <c r="B44" s="182" t="s">
        <v>1543</v>
      </c>
      <c r="C44" s="205">
        <f ca="1">ROUND(IF('数据-取费表'!B22&lt;=1,C40*F22*'数据-取费表'!B21/2,C40*(POWER((1+F22),'数据-取费表'!B21/2)-1)),4)</f>
        <v>2.9999999999999997E-4</v>
      </c>
      <c r="D44" s="205"/>
      <c r="E44" s="205"/>
      <c r="F44" s="206"/>
      <c r="G44" s="3334"/>
    </row>
    <row r="45" spans="1:7" s="181" customFormat="1" ht="13.5" customHeight="1">
      <c r="A45" s="222" t="s">
        <v>1544</v>
      </c>
      <c r="B45" s="211" t="s">
        <v>1510</v>
      </c>
      <c r="C45" s="212">
        <f ca="1">C46</f>
        <v>23</v>
      </c>
      <c r="D45" s="202">
        <f ca="1">C47</f>
        <v>1E-3</v>
      </c>
      <c r="E45" s="203" t="s">
        <v>1536</v>
      </c>
      <c r="F45" s="213">
        <f ca="1">F27</f>
        <v>0.05</v>
      </c>
      <c r="G45" s="214" t="s">
        <v>1545</v>
      </c>
    </row>
    <row r="46" spans="1:7" s="181" customFormat="1" ht="13.5" customHeight="1">
      <c r="A46" s="713" t="s">
        <v>346</v>
      </c>
      <c r="B46" s="215" t="s">
        <v>1546</v>
      </c>
      <c r="C46" s="216">
        <f ca="1">ROUND((C33+C39)*F27,0)</f>
        <v>23</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5.2400000000000002E-2</v>
      </c>
      <c r="D48" s="203" t="s">
        <v>1536</v>
      </c>
      <c r="E48" s="199"/>
      <c r="F48" s="204">
        <f>F30</f>
        <v>5.5000000000000007E-2</v>
      </c>
      <c r="G48" s="201" t="s">
        <v>1549</v>
      </c>
    </row>
    <row r="49" spans="1:7" ht="16.5" customHeight="1">
      <c r="A49" s="222" t="s">
        <v>1515</v>
      </c>
      <c r="B49" s="177" t="s">
        <v>1550</v>
      </c>
      <c r="C49" s="199">
        <f ca="1">ROUND((C33+C39+C41+C45)/(1-C40-D41-D45-C48),0)</f>
        <v>528</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370</v>
      </c>
      <c r="D51" s="199"/>
      <c r="E51" s="199"/>
      <c r="F51" s="231"/>
      <c r="G51" s="201" t="s">
        <v>1557</v>
      </c>
    </row>
    <row r="52" spans="1:7" s="175" customFormat="1" ht="16.5" thickBot="1">
      <c r="A52" s="232" t="s">
        <v>1558</v>
      </c>
      <c r="B52" s="233"/>
      <c r="C52" s="234">
        <f ca="1">C31+C51</f>
        <v>3807</v>
      </c>
      <c r="D52" s="233"/>
      <c r="E52" s="233"/>
      <c r="F52" s="233"/>
      <c r="G52" s="235"/>
    </row>
    <row r="55" spans="1:7" ht="15">
      <c r="B55" s="237" t="s">
        <v>1559</v>
      </c>
      <c r="C55" s="238"/>
    </row>
    <row r="56" spans="1:7">
      <c r="B56" s="240" t="s">
        <v>802</v>
      </c>
      <c r="C56" s="242">
        <f ca="1">1-C57</f>
        <v>0.90300000000000002</v>
      </c>
    </row>
    <row r="57" spans="1:7">
      <c r="B57" s="240" t="s">
        <v>803</v>
      </c>
      <c r="C57" s="241">
        <f ca="1">ROUND(C51/C52,3)</f>
        <v>9.7000000000000003E-2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50" t="str">
        <f>项目基本情况!B1</f>
        <v>北京市燕山东流水17号1幢等2幢工业（办公、厂房）用房房地产抵押价值预评估</v>
      </c>
      <c r="C37" s="3150"/>
      <c r="D37" s="3150"/>
      <c r="E37" s="3150"/>
      <c r="F37" s="3150"/>
      <c r="G37" s="3150"/>
      <c r="H37" s="3150"/>
      <c r="I37" s="3150"/>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项目基本情况!K4</f>
        <v>（注册号：0)、（注册号：0)</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469.03289999999998</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2185</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999480</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4486561</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3864024</v>
      </c>
      <c r="D34" s="184"/>
      <c r="E34" s="187"/>
      <c r="F34" s="224"/>
      <c r="G34" s="186"/>
    </row>
    <row r="35" spans="1:7" ht="13.5" customHeight="1">
      <c r="A35" s="713" t="s">
        <v>351</v>
      </c>
      <c r="B35" s="182" t="s">
        <v>1524</v>
      </c>
      <c r="C35" s="187">
        <f ca="1">ROUND(C34*F35,0)</f>
        <v>115921</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77280</v>
      </c>
      <c r="D38" s="187"/>
      <c r="E38" s="187"/>
      <c r="F38" s="226">
        <f>'数据-取费表'!B36</f>
        <v>0.02</v>
      </c>
      <c r="G38" s="186" t="s">
        <v>1525</v>
      </c>
    </row>
    <row r="39" spans="1:7" s="181" customFormat="1" ht="13.5" customHeight="1">
      <c r="A39" s="222" t="s">
        <v>1531</v>
      </c>
      <c r="B39" s="177" t="s">
        <v>1532</v>
      </c>
      <c r="C39" s="199">
        <f ca="1">ROUND(C33*F20,0)</f>
        <v>89731</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78941</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77393</v>
      </c>
      <c r="D42" s="205"/>
      <c r="E42" s="205"/>
      <c r="F42" s="206"/>
      <c r="G42" s="3332" t="s">
        <v>1588</v>
      </c>
    </row>
    <row r="43" spans="1:7" ht="13.5" customHeight="1">
      <c r="A43" s="713" t="s">
        <v>347</v>
      </c>
      <c r="B43" s="182" t="s">
        <v>1542</v>
      </c>
      <c r="C43" s="205">
        <f ca="1">ROUND(IF('数据-取费表'!B22&lt;=1,C39*F22*'数据-取费表'!B20/2,C39*(POWER((1+F22),'数据-取费表'!B20/2)-1)),0)</f>
        <v>1548</v>
      </c>
      <c r="D43" s="205"/>
      <c r="E43" s="205"/>
      <c r="F43" s="206"/>
      <c r="G43" s="3333"/>
    </row>
    <row r="44" spans="1:7" ht="13.5" customHeight="1">
      <c r="A44" s="713" t="s">
        <v>348</v>
      </c>
      <c r="B44" s="182" t="s">
        <v>1543</v>
      </c>
      <c r="C44" s="205">
        <f ca="1">ROUND(IF('数据-取费表'!B22&lt;=1,C40*F22*'数据-取费表'!B20/2,C40*(POWER((1+F22),'数据-取费表'!B20/2)-1)),4)</f>
        <v>2.9999999999999997E-4</v>
      </c>
      <c r="D44" s="205"/>
      <c r="E44" s="205"/>
      <c r="F44" s="206"/>
      <c r="G44" s="3334"/>
    </row>
    <row r="45" spans="1:7" s="181" customFormat="1" ht="13.5" customHeight="1">
      <c r="A45" s="222" t="s">
        <v>1544</v>
      </c>
      <c r="B45" s="211" t="s">
        <v>1510</v>
      </c>
      <c r="C45" s="212">
        <f ca="1">C46</f>
        <v>228815</v>
      </c>
      <c r="D45" s="202">
        <f ca="1">C47</f>
        <v>1E-3</v>
      </c>
      <c r="E45" s="203" t="s">
        <v>1536</v>
      </c>
      <c r="F45" s="213">
        <f ca="1">F27</f>
        <v>0.05</v>
      </c>
      <c r="G45" s="214" t="s">
        <v>1545</v>
      </c>
    </row>
    <row r="46" spans="1:7" s="181" customFormat="1" ht="13.5" customHeight="1">
      <c r="A46" s="713" t="s">
        <v>346</v>
      </c>
      <c r="B46" s="215" t="s">
        <v>1546</v>
      </c>
      <c r="C46" s="216">
        <f ca="1">ROUND((C33+C39)*F27,0)</f>
        <v>228815</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5.2400000000000002E-2</v>
      </c>
      <c r="D48" s="203" t="s">
        <v>1536</v>
      </c>
      <c r="E48" s="199"/>
      <c r="F48" s="204">
        <f>F30</f>
        <v>5.5000000000000007E-2</v>
      </c>
      <c r="G48" s="201" t="s">
        <v>1549</v>
      </c>
    </row>
    <row r="49" spans="1:7" ht="16.5" customHeight="1">
      <c r="A49" s="222" t="s">
        <v>1515</v>
      </c>
      <c r="B49" s="177" t="s">
        <v>1589</v>
      </c>
      <c r="C49" s="199">
        <f ca="1">ROUND((C33+C39+C41+C45)/(1-C40-D41-D45-C48),0)</f>
        <v>5272642</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3690849</v>
      </c>
      <c r="D51" s="199"/>
      <c r="E51" s="199"/>
      <c r="F51" s="231"/>
      <c r="G51" s="201" t="s">
        <v>1557</v>
      </c>
    </row>
    <row r="52" spans="1:7" s="175" customFormat="1" ht="16.5" thickBot="1">
      <c r="A52" s="232" t="s">
        <v>1558</v>
      </c>
      <c r="B52" s="233"/>
      <c r="C52" s="234">
        <f ca="1">C31+C51</f>
        <v>4690329</v>
      </c>
      <c r="D52" s="233"/>
      <c r="E52" s="233"/>
      <c r="F52" s="233"/>
      <c r="G52" s="235"/>
    </row>
    <row r="55" spans="1:7" ht="15">
      <c r="B55" s="237" t="s">
        <v>1559</v>
      </c>
      <c r="C55" s="238"/>
    </row>
    <row r="56" spans="1:7">
      <c r="B56" s="240" t="s">
        <v>802</v>
      </c>
      <c r="C56" s="242">
        <f ca="1">1-C57</f>
        <v>0.21299999999999997</v>
      </c>
    </row>
    <row r="57" spans="1:7">
      <c r="B57" s="240" t="s">
        <v>803</v>
      </c>
      <c r="C57" s="241">
        <f ca="1">ROUND(C51/C52,3)</f>
        <v>0.78700000000000003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F108" sqref="F108:G109"/>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2754</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12829</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72" customHeight="1">
      <c r="A5" s="323"/>
      <c r="B5" s="324"/>
      <c r="C5" s="3368" t="s">
        <v>1670</v>
      </c>
      <c r="D5" s="3369"/>
      <c r="E5" s="3360" t="str">
        <f>土地案例!A22</f>
        <v>北京市房山区燕房组团FS00-0226-0033地块M4工业研发用地</v>
      </c>
      <c r="F5" s="3361"/>
      <c r="G5" s="3368" t="str">
        <f>土地案例!A42</f>
        <v>北京市房山区韩村河镇FS17-0101-0003地块M4工业研发用地项目</v>
      </c>
      <c r="H5" s="3369"/>
      <c r="I5" s="3368" t="str">
        <f>土地案例!A92</f>
        <v>北京石化新材料科技产业基地核心区东区B7-13、B7-18地块工业用地项目</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0" t="s">
        <v>1916</v>
      </c>
      <c r="D6" s="3371"/>
      <c r="E6" s="3373" t="s">
        <v>1916</v>
      </c>
      <c r="F6" s="3374"/>
      <c r="G6" s="3370" t="s">
        <v>1916</v>
      </c>
      <c r="H6" s="3371"/>
      <c r="I6" s="3370" t="s">
        <v>1916</v>
      </c>
      <c r="J6" s="3371"/>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f>土地案例!O22</f>
        <v>45092.000497685185</v>
      </c>
      <c r="F7" s="332">
        <f>SUMIF(65:65,YEAR(E7)&amp;"-"&amp;INT((MONTH(E7)+2)/3),66:66)</f>
        <v>99.600000000000023</v>
      </c>
      <c r="G7" s="1739">
        <f>土地案例!O42</f>
        <v>44937.000497685185</v>
      </c>
      <c r="H7" s="330">
        <f>SUMIF(65:65,YEAR(G7)&amp;"-"&amp;INT((MONTH(G7)+2)/3),66:66)</f>
        <v>99.500000000000028</v>
      </c>
      <c r="I7" s="1739">
        <f>土地案例!O92</f>
        <v>44433.000497685185</v>
      </c>
      <c r="J7" s="330">
        <f>SUMIF(65:65,YEAR(I7)&amp;"-"&amp;INT((MONTH(I7)+2)/3),66:66)</f>
        <v>98.900000000000063</v>
      </c>
      <c r="K7" s="515"/>
      <c r="L7" s="2405"/>
      <c r="M7" s="2357"/>
      <c r="N7" s="2357"/>
      <c r="O7" s="2357"/>
      <c r="P7" s="3340" t="s">
        <v>1677</v>
      </c>
      <c r="Q7" s="3372"/>
      <c r="R7" s="643" t="s">
        <v>14</v>
      </c>
      <c r="S7" s="644">
        <f t="shared" ref="S7:S15" si="0">F7</f>
        <v>99.600000000000023</v>
      </c>
      <c r="T7" s="643" t="s">
        <v>14</v>
      </c>
      <c r="U7" s="644">
        <f t="shared" ref="U7:U15" si="1">H7</f>
        <v>99.500000000000028</v>
      </c>
      <c r="V7" s="643" t="s">
        <v>14</v>
      </c>
      <c r="W7" s="644">
        <f t="shared" ref="W7:W15" si="2">J7</f>
        <v>98.900000000000063</v>
      </c>
      <c r="X7" s="645"/>
      <c r="Y7" s="3340" t="s">
        <v>1677</v>
      </c>
      <c r="Z7" s="3341"/>
      <c r="AA7" s="25">
        <f>D7/F7</f>
        <v>1.0040160642570279</v>
      </c>
      <c r="AB7" s="25">
        <f>D7/H7</f>
        <v>1.0050251256281404</v>
      </c>
      <c r="AC7" s="25">
        <f>D7/J7</f>
        <v>1.0111223458038416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116</v>
      </c>
      <c r="G10" s="346"/>
      <c r="H10" s="94">
        <f>ROUND(100/'数据-取费表'!G16,0)</f>
        <v>116</v>
      </c>
      <c r="I10" s="346"/>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308"/>
      <c r="Z10" s="25" t="str">
        <f t="shared" si="7"/>
        <v>土地使用年限（年）</v>
      </c>
      <c r="AA10" s="25">
        <f t="shared" si="3"/>
        <v>0.86206896551724133</v>
      </c>
      <c r="AB10" s="25">
        <f t="shared" si="4"/>
        <v>0.86206896551724133</v>
      </c>
      <c r="AC10" s="25">
        <f t="shared" si="5"/>
        <v>0.86206896551724133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8"/>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43" t="s">
        <v>1688</v>
      </c>
      <c r="Q15" s="1234" t="str">
        <f t="shared" si="6"/>
        <v>产业集聚程度</v>
      </c>
      <c r="R15" s="646" t="s">
        <v>14</v>
      </c>
      <c r="S15" s="647">
        <f t="shared" si="0"/>
        <v>100</v>
      </c>
      <c r="T15" s="646" t="s">
        <v>14</v>
      </c>
      <c r="U15" s="647">
        <f t="shared" si="1"/>
        <v>100</v>
      </c>
      <c r="V15" s="646" t="s">
        <v>14</v>
      </c>
      <c r="W15" s="647">
        <f t="shared" si="2"/>
        <v>100</v>
      </c>
      <c r="X15" s="1236"/>
      <c r="Y15" s="3343"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4"/>
      <c r="Q16" s="1234"/>
      <c r="R16" s="646"/>
      <c r="S16" s="647"/>
      <c r="T16" s="646"/>
      <c r="U16" s="647"/>
      <c r="V16" s="646"/>
      <c r="W16" s="647"/>
      <c r="X16" s="1236"/>
      <c r="Y16" s="3344"/>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44"/>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44"/>
      <c r="Q18" s="1234"/>
      <c r="R18" s="646"/>
      <c r="S18" s="647"/>
      <c r="T18" s="646"/>
      <c r="U18" s="647"/>
      <c r="V18" s="646"/>
      <c r="W18" s="647"/>
      <c r="X18" s="1236"/>
      <c r="Y18" s="3344"/>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4"/>
      <c r="Q19" s="1234" t="str">
        <f t="shared" ref="Q19:Q33" si="8">B19</f>
        <v>区域土地利用方向</v>
      </c>
      <c r="R19" s="646" t="s">
        <v>14</v>
      </c>
      <c r="S19" s="647">
        <f>F19</f>
        <v>100</v>
      </c>
      <c r="T19" s="646" t="s">
        <v>14</v>
      </c>
      <c r="U19" s="647">
        <f>H19</f>
        <v>100</v>
      </c>
      <c r="V19" s="646" t="s">
        <v>14</v>
      </c>
      <c r="W19" s="647">
        <f>J19</f>
        <v>100</v>
      </c>
      <c r="X19" s="1236"/>
      <c r="Y19" s="3344"/>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4"/>
      <c r="Q20" s="1234"/>
      <c r="R20" s="646"/>
      <c r="S20" s="647"/>
      <c r="T20" s="646"/>
      <c r="U20" s="647"/>
      <c r="V20" s="646"/>
      <c r="W20" s="647"/>
      <c r="X20" s="1236"/>
      <c r="Y20" s="3344"/>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4"/>
      <c r="Q21" s="1234" t="str">
        <f t="shared" si="8"/>
        <v>环境状况</v>
      </c>
      <c r="R21" s="646" t="s">
        <v>14</v>
      </c>
      <c r="S21" s="647">
        <f>F21</f>
        <v>100</v>
      </c>
      <c r="T21" s="646" t="s">
        <v>14</v>
      </c>
      <c r="U21" s="647">
        <f>H21</f>
        <v>100</v>
      </c>
      <c r="V21" s="646" t="s">
        <v>14</v>
      </c>
      <c r="W21" s="647">
        <f>J21</f>
        <v>100</v>
      </c>
      <c r="X21" s="1236"/>
      <c r="Y21" s="3344"/>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44"/>
      <c r="Q22" s="1234"/>
      <c r="R22" s="646"/>
      <c r="S22" s="647"/>
      <c r="T22" s="646"/>
      <c r="U22" s="647"/>
      <c r="V22" s="646"/>
      <c r="W22" s="647"/>
      <c r="X22" s="1236"/>
      <c r="Y22" s="3344"/>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44"/>
      <c r="Q23" s="507" t="str">
        <f t="shared" si="8"/>
        <v>公共配套设施</v>
      </c>
      <c r="R23" s="643" t="s">
        <v>14</v>
      </c>
      <c r="S23" s="644">
        <f>F23</f>
        <v>100</v>
      </c>
      <c r="T23" s="643" t="s">
        <v>14</v>
      </c>
      <c r="U23" s="644">
        <f>H23</f>
        <v>100</v>
      </c>
      <c r="V23" s="643" t="s">
        <v>14</v>
      </c>
      <c r="W23" s="644">
        <f>J23</f>
        <v>100</v>
      </c>
      <c r="X23" s="645"/>
      <c r="Y23" s="3344"/>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44"/>
      <c r="Q24" s="507"/>
      <c r="R24" s="643"/>
      <c r="S24" s="644"/>
      <c r="T24" s="643"/>
      <c r="U24" s="644"/>
      <c r="V24" s="643"/>
      <c r="W24" s="644"/>
      <c r="X24" s="645"/>
      <c r="Y24" s="3344"/>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4"/>
      <c r="Q25" s="507" t="str">
        <f t="shared" ref="Q25" si="9">B25</f>
        <v>基础设施水平</v>
      </c>
      <c r="R25" s="643" t="s">
        <v>14</v>
      </c>
      <c r="S25" s="644">
        <f>F25</f>
        <v>100</v>
      </c>
      <c r="T25" s="643" t="s">
        <v>14</v>
      </c>
      <c r="U25" s="644">
        <f>H25</f>
        <v>100</v>
      </c>
      <c r="V25" s="643" t="s">
        <v>14</v>
      </c>
      <c r="W25" s="644">
        <f>J25</f>
        <v>100</v>
      </c>
      <c r="X25" s="645"/>
      <c r="Y25" s="3344"/>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4"/>
      <c r="Q26" s="507"/>
      <c r="R26" s="643"/>
      <c r="S26" s="644"/>
      <c r="T26" s="643"/>
      <c r="U26" s="644"/>
      <c r="V26" s="643"/>
      <c r="W26" s="644"/>
      <c r="X26" s="645"/>
      <c r="Y26" s="3344"/>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4"/>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4"/>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4"/>
      <c r="Q28" s="1234" t="str">
        <f t="shared" si="8"/>
        <v>毗邻道路的类型与等级</v>
      </c>
      <c r="R28" s="646" t="s">
        <v>14</v>
      </c>
      <c r="S28" s="647">
        <f t="shared" si="10"/>
        <v>100</v>
      </c>
      <c r="T28" s="646" t="s">
        <v>14</v>
      </c>
      <c r="U28" s="647">
        <f t="shared" si="11"/>
        <v>100</v>
      </c>
      <c r="V28" s="646" t="s">
        <v>14</v>
      </c>
      <c r="W28" s="647">
        <f t="shared" si="12"/>
        <v>100</v>
      </c>
      <c r="X28" s="1236"/>
      <c r="Y28" s="3344"/>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4"/>
      <c r="Q29" s="1234"/>
      <c r="R29" s="646"/>
      <c r="S29" s="647"/>
      <c r="T29" s="646"/>
      <c r="U29" s="647"/>
      <c r="V29" s="646"/>
      <c r="W29" s="647"/>
      <c r="X29" s="1236"/>
      <c r="Y29" s="3344"/>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4"/>
      <c r="Q30" s="1234" t="str">
        <f t="shared" si="8"/>
        <v>土地级别</v>
      </c>
      <c r="R30" s="646" t="s">
        <v>14</v>
      </c>
      <c r="S30" s="647">
        <f t="shared" si="10"/>
        <v>100</v>
      </c>
      <c r="T30" s="646" t="s">
        <v>14</v>
      </c>
      <c r="U30" s="647">
        <f t="shared" si="11"/>
        <v>100</v>
      </c>
      <c r="V30" s="646" t="s">
        <v>14</v>
      </c>
      <c r="W30" s="647">
        <f t="shared" si="12"/>
        <v>100</v>
      </c>
      <c r="X30" s="1236"/>
      <c r="Y30" s="3344"/>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4"/>
      <c r="Q31" s="1234">
        <f t="shared" si="8"/>
        <v>111</v>
      </c>
      <c r="R31" s="646" t="s">
        <v>14</v>
      </c>
      <c r="S31" s="647">
        <f t="shared" si="10"/>
        <v>100</v>
      </c>
      <c r="T31" s="646" t="s">
        <v>14</v>
      </c>
      <c r="U31" s="647">
        <f t="shared" si="11"/>
        <v>100</v>
      </c>
      <c r="V31" s="646" t="s">
        <v>14</v>
      </c>
      <c r="W31" s="647">
        <f t="shared" si="12"/>
        <v>100</v>
      </c>
      <c r="X31" s="1236"/>
      <c r="Y31" s="3344"/>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5" t="s">
        <v>1693</v>
      </c>
      <c r="Q32" s="1234">
        <f t="shared" si="8"/>
        <v>111</v>
      </c>
      <c r="R32" s="646" t="s">
        <v>14</v>
      </c>
      <c r="S32" s="647">
        <f t="shared" si="10"/>
        <v>100</v>
      </c>
      <c r="T32" s="646" t="s">
        <v>14</v>
      </c>
      <c r="U32" s="647">
        <f t="shared" si="11"/>
        <v>100</v>
      </c>
      <c r="V32" s="646" t="s">
        <v>14</v>
      </c>
      <c r="W32" s="647">
        <f t="shared" si="12"/>
        <v>100</v>
      </c>
      <c r="X32" s="1236"/>
      <c r="Y32" s="3346"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6"/>
      <c r="Q33" s="1234">
        <f t="shared" si="8"/>
        <v>111</v>
      </c>
      <c r="R33" s="648" t="s">
        <v>14</v>
      </c>
      <c r="S33" s="649">
        <f t="shared" si="10"/>
        <v>100</v>
      </c>
      <c r="T33" s="648" t="s">
        <v>14</v>
      </c>
      <c r="U33" s="649">
        <f t="shared" si="11"/>
        <v>100</v>
      </c>
      <c r="V33" s="648" t="s">
        <v>14</v>
      </c>
      <c r="W33" s="649">
        <f t="shared" si="12"/>
        <v>100</v>
      </c>
      <c r="X33" s="650"/>
      <c r="Y33" s="3346"/>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100</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46"/>
      <c r="Q34" s="1234" t="str">
        <f>B34</f>
        <v>宗地面积</v>
      </c>
      <c r="R34" s="646" t="s">
        <v>14</v>
      </c>
      <c r="S34" s="647">
        <f t="shared" si="10"/>
        <v>100</v>
      </c>
      <c r="T34" s="646" t="s">
        <v>14</v>
      </c>
      <c r="U34" s="647">
        <f t="shared" si="11"/>
        <v>102</v>
      </c>
      <c r="V34" s="646" t="s">
        <v>14</v>
      </c>
      <c r="W34" s="647">
        <f t="shared" si="12"/>
        <v>102</v>
      </c>
      <c r="X34" s="1236"/>
      <c r="Y34" s="3346"/>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6"/>
      <c r="Q35" s="1234" t="str">
        <f t="shared" ref="Q35:Q40" si="14">B35</f>
        <v>宗地形状</v>
      </c>
      <c r="R35" s="646" t="s">
        <v>14</v>
      </c>
      <c r="S35" s="647">
        <f t="shared" si="10"/>
        <v>100</v>
      </c>
      <c r="T35" s="646" t="s">
        <v>14</v>
      </c>
      <c r="U35" s="647">
        <f t="shared" si="11"/>
        <v>100</v>
      </c>
      <c r="V35" s="646" t="s">
        <v>14</v>
      </c>
      <c r="W35" s="647">
        <f t="shared" si="12"/>
        <v>100</v>
      </c>
      <c r="X35" s="1236"/>
      <c r="Y35" s="3346"/>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46"/>
      <c r="Q36" s="1234" t="str">
        <f t="shared" si="14"/>
        <v>宗地开发程度</v>
      </c>
      <c r="R36" s="643" t="s">
        <v>14</v>
      </c>
      <c r="S36" s="644">
        <f t="shared" si="10"/>
        <v>98</v>
      </c>
      <c r="T36" s="643" t="s">
        <v>14</v>
      </c>
      <c r="U36" s="644">
        <f t="shared" si="11"/>
        <v>99</v>
      </c>
      <c r="V36" s="643" t="s">
        <v>14</v>
      </c>
      <c r="W36" s="644">
        <f t="shared" si="12"/>
        <v>98</v>
      </c>
      <c r="X36" s="645"/>
      <c r="Y36" s="3346"/>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6" t="s">
        <v>1693</v>
      </c>
      <c r="Q37" s="1234" t="str">
        <f t="shared" si="14"/>
        <v>工程地质条件</v>
      </c>
      <c r="R37" s="646" t="s">
        <v>14</v>
      </c>
      <c r="S37" s="647">
        <f t="shared" si="10"/>
        <v>100</v>
      </c>
      <c r="T37" s="646" t="s">
        <v>14</v>
      </c>
      <c r="U37" s="647">
        <f t="shared" si="11"/>
        <v>100</v>
      </c>
      <c r="V37" s="646" t="s">
        <v>14</v>
      </c>
      <c r="W37" s="647">
        <f t="shared" si="12"/>
        <v>100</v>
      </c>
      <c r="X37" s="1236"/>
      <c r="Y37" s="3346"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6"/>
      <c r="Q38" s="1234">
        <f t="shared" si="14"/>
        <v>111</v>
      </c>
      <c r="R38" s="646" t="s">
        <v>14</v>
      </c>
      <c r="S38" s="647">
        <f t="shared" si="10"/>
        <v>100</v>
      </c>
      <c r="T38" s="646" t="s">
        <v>14</v>
      </c>
      <c r="U38" s="647">
        <f t="shared" si="11"/>
        <v>100</v>
      </c>
      <c r="V38" s="646" t="s">
        <v>14</v>
      </c>
      <c r="W38" s="647">
        <f t="shared" si="12"/>
        <v>100</v>
      </c>
      <c r="X38" s="1236"/>
      <c r="Y38" s="3346"/>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6"/>
      <c r="Q39" s="1234">
        <f t="shared" si="14"/>
        <v>111</v>
      </c>
      <c r="R39" s="646" t="s">
        <v>14</v>
      </c>
      <c r="S39" s="647">
        <f t="shared" si="10"/>
        <v>100</v>
      </c>
      <c r="T39" s="646" t="s">
        <v>14</v>
      </c>
      <c r="U39" s="647">
        <f t="shared" si="11"/>
        <v>100</v>
      </c>
      <c r="V39" s="646" t="s">
        <v>14</v>
      </c>
      <c r="W39" s="647">
        <f t="shared" si="12"/>
        <v>100</v>
      </c>
      <c r="X39" s="1236"/>
      <c r="Y39" s="3346"/>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6"/>
      <c r="Q40" s="1234">
        <f t="shared" si="14"/>
        <v>111</v>
      </c>
      <c r="R40" s="648" t="s">
        <v>14</v>
      </c>
      <c r="S40" s="649">
        <f t="shared" si="10"/>
        <v>100</v>
      </c>
      <c r="T40" s="648" t="s">
        <v>14</v>
      </c>
      <c r="U40" s="649">
        <f t="shared" si="11"/>
        <v>100</v>
      </c>
      <c r="V40" s="648" t="s">
        <v>14</v>
      </c>
      <c r="W40" s="649">
        <f t="shared" si="12"/>
        <v>100</v>
      </c>
      <c r="X40" s="650"/>
      <c r="Y40" s="3346"/>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8" t="str">
        <f>A41</f>
        <v>成交单价</v>
      </c>
      <c r="Q41" s="3338"/>
      <c r="R41" s="3342">
        <f>E41</f>
        <v>2258</v>
      </c>
      <c r="S41" s="3342"/>
      <c r="T41" s="3342">
        <f>G41</f>
        <v>2447</v>
      </c>
      <c r="U41" s="3342"/>
      <c r="V41" s="3342">
        <f>I41</f>
        <v>2411</v>
      </c>
      <c r="W41" s="3342"/>
      <c r="X41" s="360"/>
      <c r="Y41" s="652"/>
      <c r="Z41" s="360"/>
      <c r="AA41" s="360"/>
      <c r="AB41" s="360"/>
      <c r="AC41" s="360"/>
    </row>
    <row r="42" spans="1:31" ht="15.75" thickBot="1">
      <c r="A42" s="398" t="s">
        <v>1790</v>
      </c>
      <c r="B42" s="581"/>
      <c r="C42" s="401">
        <f>R43</f>
        <v>2065</v>
      </c>
      <c r="D42" s="2058" t="s">
        <v>2134</v>
      </c>
      <c r="E42" s="401">
        <f>R42</f>
        <v>1994</v>
      </c>
      <c r="F42" s="2059"/>
      <c r="G42" s="400">
        <f>T42</f>
        <v>2100</v>
      </c>
      <c r="H42" s="2059"/>
      <c r="I42" s="401">
        <f>V42</f>
        <v>2102</v>
      </c>
      <c r="J42" s="2059"/>
      <c r="K42" s="2061">
        <f>F42+H42+J42</f>
        <v>0</v>
      </c>
      <c r="L42" s="2411"/>
      <c r="M42" s="2404"/>
      <c r="N42" s="2404"/>
      <c r="O42" s="2404"/>
      <c r="P42" s="3338" t="str">
        <f>A42</f>
        <v>比较价值（元/平方米）</v>
      </c>
      <c r="Q42" s="3338"/>
      <c r="R42" s="3339">
        <f>ROUND(PRODUCT(R41,AA7:AA40),0)</f>
        <v>1994</v>
      </c>
      <c r="S42" s="3339"/>
      <c r="T42" s="3339">
        <f>ROUND(PRODUCT(T41,AB7:AB40),0)</f>
        <v>2100</v>
      </c>
      <c r="U42" s="3339"/>
      <c r="V42" s="3339">
        <f>ROUND(PRODUCT(V41,AC7:AC40),0)</f>
        <v>2102</v>
      </c>
      <c r="W42" s="3339"/>
      <c r="X42" s="360"/>
      <c r="Y42" s="360"/>
      <c r="Z42" s="360"/>
      <c r="AA42" s="360"/>
      <c r="AB42" s="360"/>
      <c r="AC42" s="360"/>
    </row>
    <row r="43" spans="1:31" ht="15.75" thickBot="1">
      <c r="A43" s="402" t="s">
        <v>1791</v>
      </c>
      <c r="B43" s="403"/>
      <c r="C43" s="404">
        <f>R43</f>
        <v>2065</v>
      </c>
      <c r="D43" s="404"/>
      <c r="E43" s="404"/>
      <c r="F43" s="404"/>
      <c r="G43" s="404"/>
      <c r="H43" s="404"/>
      <c r="I43" s="404"/>
      <c r="J43" s="404"/>
      <c r="K43" s="654"/>
      <c r="L43" s="2411"/>
      <c r="M43" s="2404"/>
      <c r="N43" s="2404"/>
      <c r="O43" s="2404"/>
      <c r="P43" s="3335" t="str">
        <f>A43</f>
        <v>估价对象XX用房的比较价值（楼面单价，元/平方米）</v>
      </c>
      <c r="Q43" s="3336"/>
      <c r="R43" s="3337">
        <f>ROUND(IF(D42="简单平均",AVERAGE(R42:W42),R42*F42+T42*H42+V42*J42),0)</f>
        <v>2065</v>
      </c>
      <c r="S43" s="3337"/>
      <c r="T43" s="3337"/>
      <c r="U43" s="3337"/>
      <c r="V43" s="3337"/>
      <c r="W43" s="3337"/>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0.13239719157472418</v>
      </c>
      <c r="F46" s="410" t="str">
        <f>IF(OR(E46&gt;=0.3,E46&lt;=-0.3),"超过30%","")</f>
        <v/>
      </c>
      <c r="G46" s="409">
        <f>IF(G41&lt;G42,G42/G41-1,G41/G42-1)</f>
        <v>0.16523809523809518</v>
      </c>
      <c r="H46" s="410" t="str">
        <f>IF(OR(G46&gt;=0.3,G46&lt;=-0.3),"超过30%","")</f>
        <v/>
      </c>
      <c r="I46" s="409">
        <f>IF(I41&lt;I42,I42/I41-1,I41/I42-1)</f>
        <v>0.14700285442435779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5.3159478435305996E-2</v>
      </c>
      <c r="F47" s="410" t="str">
        <f>IF(OR(E47&gt;=0.2,E47&lt;=-0.2),"超过20%","")</f>
        <v/>
      </c>
      <c r="G47" s="409">
        <f>IF(G42&lt;I42,I42/G42-1,G42/I42-1)</f>
        <v>9.5238095238103782E-4</v>
      </c>
      <c r="H47" s="410" t="str">
        <f>IF(OR(G47&gt;=0.2,G47&lt;=-0.2),"超过20%","")</f>
        <v/>
      </c>
      <c r="I47" s="409">
        <f>IF(I42&lt;E42,E42/I42-1,I42/E42-1)</f>
        <v>5.4162487462387165E-2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50" t="s">
        <v>1884</v>
      </c>
      <c r="H50" s="3362"/>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2065</v>
      </c>
      <c r="C51" s="588">
        <v>1</v>
      </c>
      <c r="D51" s="869">
        <v>1</v>
      </c>
      <c r="E51" s="588">
        <f>'数据-汇总表'!E8+'数据-汇总表'!E9</f>
        <v>2146.6800000000003</v>
      </c>
      <c r="F51" s="589">
        <f t="shared" ref="F51:F60" si="15">ROUND(B51*E51/10000,0)</f>
        <v>443</v>
      </c>
      <c r="G51" s="3363"/>
      <c r="H51" s="3338"/>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13334.3</v>
      </c>
      <c r="F61" s="595">
        <f>IF(B41="楼面地价",SUM(F51:F60),ROUND(C43*E61/10000,0))</f>
        <v>2754</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2024-2</v>
      </c>
      <c r="D65" s="1075" t="str">
        <f t="shared" ref="D65:O65" si="19">YEAR(D63)&amp;"-"&amp;ROUNDUP(MONTH(D63)/3,0)</f>
        <v>2024-1</v>
      </c>
      <c r="E65" s="1075" t="str">
        <f t="shared" si="19"/>
        <v>2023-4</v>
      </c>
      <c r="F65" s="1075" t="str">
        <f t="shared" si="19"/>
        <v>2023-3</v>
      </c>
      <c r="G65" s="1075" t="str">
        <f t="shared" si="19"/>
        <v>2023-2</v>
      </c>
      <c r="H65" s="1075" t="str">
        <f t="shared" si="19"/>
        <v>2023-1</v>
      </c>
      <c r="I65" s="1075" t="str">
        <f t="shared" si="19"/>
        <v>2022-4</v>
      </c>
      <c r="J65" s="1075" t="str">
        <f t="shared" si="19"/>
        <v>2022-3</v>
      </c>
      <c r="K65" s="1075" t="str">
        <f t="shared" si="19"/>
        <v>2022-2</v>
      </c>
      <c r="L65" s="1075" t="str">
        <f t="shared" si="19"/>
        <v>2022-1</v>
      </c>
      <c r="M65" s="1075" t="str">
        <f t="shared" si="19"/>
        <v>2021-4</v>
      </c>
      <c r="N65" s="1075" t="str">
        <f t="shared" si="19"/>
        <v>2021-3</v>
      </c>
      <c r="O65" s="1075" t="str">
        <f t="shared" si="19"/>
        <v>2021-2</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workbookViewId="0">
      <pane ySplit="1" topLeftCell="A2" activePane="bottomLeft" state="frozen"/>
      <selection pane="bottomLeft" activeCell="P178" sqref="P178"/>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40" t="s">
        <v>1680</v>
      </c>
      <c r="Q8" s="3341"/>
      <c r="R8" s="643" t="s">
        <v>14</v>
      </c>
      <c r="S8" s="644">
        <f t="shared" si="0"/>
        <v>0</v>
      </c>
      <c r="T8" s="643" t="s">
        <v>14</v>
      </c>
      <c r="U8" s="644">
        <f t="shared" si="1"/>
        <v>0</v>
      </c>
      <c r="V8" s="643" t="s">
        <v>14</v>
      </c>
      <c r="W8" s="644">
        <f t="shared" si="2"/>
        <v>0</v>
      </c>
      <c r="X8" s="645"/>
      <c r="Y8" s="3340" t="s">
        <v>1680</v>
      </c>
      <c r="Z8" s="3341"/>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116</v>
      </c>
      <c r="G10" s="377"/>
      <c r="H10" s="94">
        <f>ROUND(100/'数据-取费表'!G16,0)</f>
        <v>116</v>
      </c>
      <c r="I10" s="377"/>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308"/>
      <c r="Z10" s="25" t="str">
        <f t="shared" si="7"/>
        <v>土地使用年限（年）</v>
      </c>
      <c r="AA10" s="25">
        <f t="shared" si="3"/>
        <v>0.86206896551724133</v>
      </c>
      <c r="AB10" s="25">
        <f t="shared" si="4"/>
        <v>0.86206896551724133</v>
      </c>
      <c r="AC10" s="25">
        <f t="shared" si="5"/>
        <v>0.86206896551724133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8"/>
      <c r="Q11" s="507" t="str">
        <f t="shared" si="6"/>
        <v>容积率</v>
      </c>
      <c r="R11" s="643" t="s">
        <v>14</v>
      </c>
      <c r="S11" s="644" t="e">
        <f t="shared" si="0"/>
        <v>#N/A</v>
      </c>
      <c r="T11" s="643" t="s">
        <v>14</v>
      </c>
      <c r="U11" s="644" t="e">
        <f t="shared" si="1"/>
        <v>#N/A</v>
      </c>
      <c r="V11" s="643" t="s">
        <v>14</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8"/>
      <c r="Q12" s="507" t="str">
        <f t="shared" si="6"/>
        <v>配建</v>
      </c>
      <c r="R12" s="643" t="s">
        <v>14</v>
      </c>
      <c r="S12" s="644">
        <f t="shared" si="0"/>
        <v>100</v>
      </c>
      <c r="T12" s="643" t="s">
        <v>14</v>
      </c>
      <c r="U12" s="644">
        <f t="shared" si="1"/>
        <v>100</v>
      </c>
      <c r="V12" s="643" t="s">
        <v>14</v>
      </c>
      <c r="W12" s="644">
        <f t="shared" si="2"/>
        <v>100</v>
      </c>
      <c r="X12" s="645"/>
      <c r="Y12" s="3308"/>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3" t="s">
        <v>1688</v>
      </c>
      <c r="Q15" s="1234" t="str">
        <f t="shared" si="6"/>
        <v>居住社区成熟度</v>
      </c>
      <c r="R15" s="646" t="s">
        <v>14</v>
      </c>
      <c r="S15" s="647">
        <f t="shared" si="0"/>
        <v>100</v>
      </c>
      <c r="T15" s="646" t="s">
        <v>14</v>
      </c>
      <c r="U15" s="647">
        <f t="shared" si="1"/>
        <v>100</v>
      </c>
      <c r="V15" s="646" t="s">
        <v>14</v>
      </c>
      <c r="W15" s="647">
        <f t="shared" si="2"/>
        <v>100</v>
      </c>
      <c r="X15" s="1236"/>
      <c r="Y15" s="3343"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4"/>
      <c r="Q16" s="1234"/>
      <c r="R16" s="646"/>
      <c r="S16" s="647"/>
      <c r="T16" s="646"/>
      <c r="U16" s="647"/>
      <c r="V16" s="646"/>
      <c r="W16" s="647"/>
      <c r="X16" s="1236"/>
      <c r="Y16" s="3344"/>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4"/>
      <c r="Q17" s="1234" t="str">
        <f>B17</f>
        <v>商业繁华度</v>
      </c>
      <c r="R17" s="646" t="s">
        <v>14</v>
      </c>
      <c r="S17" s="647">
        <f>F17</f>
        <v>100</v>
      </c>
      <c r="T17" s="646" t="s">
        <v>14</v>
      </c>
      <c r="U17" s="647">
        <f>H17</f>
        <v>100</v>
      </c>
      <c r="V17" s="646" t="s">
        <v>14</v>
      </c>
      <c r="W17" s="647">
        <f>J17</f>
        <v>100</v>
      </c>
      <c r="X17" s="1236"/>
      <c r="Y17" s="3344"/>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4"/>
      <c r="Q18" s="1234"/>
      <c r="R18" s="646"/>
      <c r="S18" s="647"/>
      <c r="T18" s="646"/>
      <c r="U18" s="647"/>
      <c r="V18" s="646"/>
      <c r="W18" s="647"/>
      <c r="X18" s="1236"/>
      <c r="Y18" s="3344"/>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4"/>
      <c r="Q19" s="1234" t="str">
        <f>B19</f>
        <v>办公集聚程度</v>
      </c>
      <c r="R19" s="646" t="s">
        <v>14</v>
      </c>
      <c r="S19" s="647">
        <f>F19</f>
        <v>100</v>
      </c>
      <c r="T19" s="646" t="s">
        <v>14</v>
      </c>
      <c r="U19" s="647">
        <f>H19</f>
        <v>100</v>
      </c>
      <c r="V19" s="646" t="s">
        <v>14</v>
      </c>
      <c r="W19" s="647">
        <f>J19</f>
        <v>100</v>
      </c>
      <c r="X19" s="1236"/>
      <c r="Y19" s="3344"/>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4"/>
      <c r="Q20" s="1234"/>
      <c r="R20" s="646"/>
      <c r="S20" s="647"/>
      <c r="T20" s="646"/>
      <c r="U20" s="647"/>
      <c r="V20" s="646"/>
      <c r="W20" s="647"/>
      <c r="X20" s="1236"/>
      <c r="Y20" s="3344"/>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4"/>
      <c r="Q21" s="1234" t="str">
        <f>B21</f>
        <v>交通便捷度</v>
      </c>
      <c r="R21" s="646" t="s">
        <v>14</v>
      </c>
      <c r="S21" s="647">
        <f>F21</f>
        <v>100</v>
      </c>
      <c r="T21" s="646" t="s">
        <v>14</v>
      </c>
      <c r="U21" s="647">
        <f>H21</f>
        <v>100</v>
      </c>
      <c r="V21" s="646" t="s">
        <v>14</v>
      </c>
      <c r="W21" s="647">
        <f>J21</f>
        <v>100</v>
      </c>
      <c r="X21" s="1236"/>
      <c r="Y21" s="3344"/>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4"/>
      <c r="Q22" s="1234"/>
      <c r="R22" s="646"/>
      <c r="S22" s="647"/>
      <c r="T22" s="646"/>
      <c r="U22" s="647"/>
      <c r="V22" s="646"/>
      <c r="W22" s="647"/>
      <c r="X22" s="1236"/>
      <c r="Y22" s="3344"/>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4"/>
      <c r="Q23" s="1234" t="str">
        <f t="shared" ref="Q23:Q37" si="8">B23</f>
        <v>区域土地利用方向</v>
      </c>
      <c r="R23" s="646" t="s">
        <v>14</v>
      </c>
      <c r="S23" s="647">
        <f>F23</f>
        <v>100</v>
      </c>
      <c r="T23" s="646" t="s">
        <v>14</v>
      </c>
      <c r="U23" s="647">
        <f>H23</f>
        <v>100</v>
      </c>
      <c r="V23" s="646" t="s">
        <v>14</v>
      </c>
      <c r="W23" s="647">
        <f>J23</f>
        <v>100</v>
      </c>
      <c r="X23" s="1236"/>
      <c r="Y23" s="3344"/>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4"/>
      <c r="Q24" s="1234"/>
      <c r="R24" s="646"/>
      <c r="S24" s="647"/>
      <c r="T24" s="646"/>
      <c r="U24" s="647"/>
      <c r="V24" s="646"/>
      <c r="W24" s="647"/>
      <c r="X24" s="1236"/>
      <c r="Y24" s="3344"/>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4"/>
      <c r="Q25" s="1234" t="str">
        <f t="shared" si="8"/>
        <v>自然及人文环境状况</v>
      </c>
      <c r="R25" s="646" t="s">
        <v>14</v>
      </c>
      <c r="S25" s="647">
        <f>F25</f>
        <v>100</v>
      </c>
      <c r="T25" s="646" t="s">
        <v>14</v>
      </c>
      <c r="U25" s="647">
        <f>H25</f>
        <v>100</v>
      </c>
      <c r="V25" s="646" t="s">
        <v>14</v>
      </c>
      <c r="W25" s="647">
        <f>J25</f>
        <v>100</v>
      </c>
      <c r="X25" s="1236"/>
      <c r="Y25" s="3344"/>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4"/>
      <c r="Q26" s="1234"/>
      <c r="R26" s="646"/>
      <c r="S26" s="647"/>
      <c r="T26" s="646"/>
      <c r="U26" s="647"/>
      <c r="V26" s="646"/>
      <c r="W26" s="647"/>
      <c r="X26" s="1236"/>
      <c r="Y26" s="3344"/>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4"/>
      <c r="Q27" s="507" t="str">
        <f t="shared" si="8"/>
        <v>公共配套设施</v>
      </c>
      <c r="R27" s="643" t="s">
        <v>14</v>
      </c>
      <c r="S27" s="644">
        <f>F27</f>
        <v>100</v>
      </c>
      <c r="T27" s="643" t="s">
        <v>14</v>
      </c>
      <c r="U27" s="644">
        <f>H27</f>
        <v>100</v>
      </c>
      <c r="V27" s="643" t="s">
        <v>14</v>
      </c>
      <c r="W27" s="644">
        <f>J27</f>
        <v>100</v>
      </c>
      <c r="X27" s="645"/>
      <c r="Y27" s="3344"/>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4"/>
      <c r="Q28" s="507"/>
      <c r="R28" s="643"/>
      <c r="S28" s="644"/>
      <c r="T28" s="643"/>
      <c r="U28" s="644"/>
      <c r="V28" s="643"/>
      <c r="W28" s="644"/>
      <c r="X28" s="645"/>
      <c r="Y28" s="3344"/>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4"/>
      <c r="Q29" s="507" t="str">
        <f t="shared" ref="Q29" si="9">B29</f>
        <v>基础设施水平</v>
      </c>
      <c r="R29" s="643" t="s">
        <v>14</v>
      </c>
      <c r="S29" s="644">
        <f>F29</f>
        <v>100</v>
      </c>
      <c r="T29" s="643" t="s">
        <v>14</v>
      </c>
      <c r="U29" s="644">
        <f>H29</f>
        <v>100</v>
      </c>
      <c r="V29" s="643" t="s">
        <v>14</v>
      </c>
      <c r="W29" s="644">
        <f>J29</f>
        <v>100</v>
      </c>
      <c r="X29" s="645"/>
      <c r="Y29" s="3344"/>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4"/>
      <c r="Q30" s="507"/>
      <c r="R30" s="643"/>
      <c r="S30" s="644"/>
      <c r="T30" s="643"/>
      <c r="U30" s="644"/>
      <c r="V30" s="643"/>
      <c r="W30" s="644"/>
      <c r="X30" s="645"/>
      <c r="Y30" s="3344"/>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4"/>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4"/>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4"/>
      <c r="Q32" s="1234" t="str">
        <f t="shared" si="8"/>
        <v>毗邻道路的类型与等级</v>
      </c>
      <c r="R32" s="646" t="s">
        <v>14</v>
      </c>
      <c r="S32" s="647">
        <f t="shared" si="10"/>
        <v>100</v>
      </c>
      <c r="T32" s="646" t="s">
        <v>14</v>
      </c>
      <c r="U32" s="647">
        <f t="shared" si="11"/>
        <v>100</v>
      </c>
      <c r="V32" s="646" t="s">
        <v>14</v>
      </c>
      <c r="W32" s="647">
        <f t="shared" si="12"/>
        <v>100</v>
      </c>
      <c r="X32" s="1236"/>
      <c r="Y32" s="3344"/>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4"/>
      <c r="Q33" s="1234"/>
      <c r="R33" s="646"/>
      <c r="S33" s="647"/>
      <c r="T33" s="646"/>
      <c r="U33" s="647"/>
      <c r="V33" s="646"/>
      <c r="W33" s="647"/>
      <c r="X33" s="1236"/>
      <c r="Y33" s="3344"/>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4"/>
      <c r="Q34" s="1234" t="str">
        <f t="shared" si="8"/>
        <v>土地级别</v>
      </c>
      <c r="R34" s="646" t="s">
        <v>14</v>
      </c>
      <c r="S34" s="647">
        <f t="shared" si="10"/>
        <v>100</v>
      </c>
      <c r="T34" s="646" t="s">
        <v>14</v>
      </c>
      <c r="U34" s="647">
        <f t="shared" si="11"/>
        <v>100</v>
      </c>
      <c r="V34" s="646" t="s">
        <v>14</v>
      </c>
      <c r="W34" s="647">
        <f t="shared" si="12"/>
        <v>100</v>
      </c>
      <c r="X34" s="1236"/>
      <c r="Y34" s="3344"/>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4"/>
      <c r="Q35" s="1234">
        <f t="shared" si="8"/>
        <v>111</v>
      </c>
      <c r="R35" s="646" t="s">
        <v>14</v>
      </c>
      <c r="S35" s="647">
        <f t="shared" si="10"/>
        <v>100</v>
      </c>
      <c r="T35" s="646" t="s">
        <v>14</v>
      </c>
      <c r="U35" s="647">
        <f t="shared" si="11"/>
        <v>100</v>
      </c>
      <c r="V35" s="646" t="s">
        <v>14</v>
      </c>
      <c r="W35" s="647">
        <f t="shared" si="12"/>
        <v>100</v>
      </c>
      <c r="X35" s="1236"/>
      <c r="Y35" s="3344"/>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5" t="s">
        <v>1693</v>
      </c>
      <c r="Q36" s="1234">
        <f t="shared" si="8"/>
        <v>111</v>
      </c>
      <c r="R36" s="646" t="s">
        <v>14</v>
      </c>
      <c r="S36" s="647">
        <f t="shared" si="10"/>
        <v>100</v>
      </c>
      <c r="T36" s="646" t="s">
        <v>14</v>
      </c>
      <c r="U36" s="647">
        <f t="shared" si="11"/>
        <v>100</v>
      </c>
      <c r="V36" s="646" t="s">
        <v>14</v>
      </c>
      <c r="W36" s="647">
        <f t="shared" si="12"/>
        <v>100</v>
      </c>
      <c r="X36" s="1236"/>
      <c r="Y36" s="3346"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6"/>
      <c r="Q37" s="1234">
        <f t="shared" si="8"/>
        <v>111</v>
      </c>
      <c r="R37" s="648" t="s">
        <v>14</v>
      </c>
      <c r="S37" s="649">
        <f t="shared" si="10"/>
        <v>100</v>
      </c>
      <c r="T37" s="648" t="s">
        <v>14</v>
      </c>
      <c r="U37" s="649">
        <f t="shared" si="11"/>
        <v>100</v>
      </c>
      <c r="V37" s="648" t="s">
        <v>14</v>
      </c>
      <c r="W37" s="649">
        <f t="shared" si="12"/>
        <v>100</v>
      </c>
      <c r="X37" s="650"/>
      <c r="Y37" s="3346"/>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6"/>
      <c r="Q38" s="1234" t="str">
        <f>B38</f>
        <v>宗地面积</v>
      </c>
      <c r="R38" s="646" t="s">
        <v>14</v>
      </c>
      <c r="S38" s="647" t="e">
        <f t="shared" si="10"/>
        <v>#N/A</v>
      </c>
      <c r="T38" s="646" t="s">
        <v>14</v>
      </c>
      <c r="U38" s="647" t="e">
        <f t="shared" si="11"/>
        <v>#N/A</v>
      </c>
      <c r="V38" s="646" t="s">
        <v>14</v>
      </c>
      <c r="W38" s="647" t="e">
        <f t="shared" si="12"/>
        <v>#N/A</v>
      </c>
      <c r="X38" s="1236"/>
      <c r="Y38" s="3346"/>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6"/>
      <c r="Q39" s="1234" t="str">
        <f t="shared" ref="Q39:Q45" si="14">B39</f>
        <v>宗地形状</v>
      </c>
      <c r="R39" s="646" t="s">
        <v>14</v>
      </c>
      <c r="S39" s="647">
        <f t="shared" si="10"/>
        <v>100</v>
      </c>
      <c r="T39" s="646" t="s">
        <v>14</v>
      </c>
      <c r="U39" s="647">
        <f t="shared" si="11"/>
        <v>100</v>
      </c>
      <c r="V39" s="646" t="s">
        <v>14</v>
      </c>
      <c r="W39" s="647">
        <f t="shared" si="12"/>
        <v>100</v>
      </c>
      <c r="X39" s="1236"/>
      <c r="Y39" s="3346"/>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6"/>
      <c r="Q40" s="1234" t="str">
        <f t="shared" si="14"/>
        <v>临街宽度及深度</v>
      </c>
      <c r="R40" s="646" t="s">
        <v>14</v>
      </c>
      <c r="S40" s="647">
        <f t="shared" si="10"/>
        <v>100</v>
      </c>
      <c r="T40" s="646" t="s">
        <v>14</v>
      </c>
      <c r="U40" s="647">
        <f t="shared" si="11"/>
        <v>100</v>
      </c>
      <c r="V40" s="646" t="s">
        <v>14</v>
      </c>
      <c r="W40" s="647">
        <f t="shared" si="12"/>
        <v>100</v>
      </c>
      <c r="X40" s="1236"/>
      <c r="Y40" s="3346"/>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6"/>
      <c r="Q41" s="1234" t="str">
        <f t="shared" si="14"/>
        <v>宗地开发程度</v>
      </c>
      <c r="R41" s="643" t="s">
        <v>14</v>
      </c>
      <c r="S41" s="644">
        <f t="shared" si="10"/>
        <v>100</v>
      </c>
      <c r="T41" s="643" t="s">
        <v>14</v>
      </c>
      <c r="U41" s="644">
        <f t="shared" si="11"/>
        <v>100</v>
      </c>
      <c r="V41" s="643" t="s">
        <v>14</v>
      </c>
      <c r="W41" s="644">
        <f t="shared" si="12"/>
        <v>100</v>
      </c>
      <c r="X41" s="645"/>
      <c r="Y41" s="3346"/>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6" t="s">
        <v>1693</v>
      </c>
      <c r="Q42" s="1234" t="str">
        <f t="shared" si="14"/>
        <v>工程地质条件</v>
      </c>
      <c r="R42" s="646" t="s">
        <v>14</v>
      </c>
      <c r="S42" s="647">
        <f t="shared" si="10"/>
        <v>100</v>
      </c>
      <c r="T42" s="646" t="s">
        <v>14</v>
      </c>
      <c r="U42" s="647">
        <f t="shared" si="11"/>
        <v>100</v>
      </c>
      <c r="V42" s="646" t="s">
        <v>14</v>
      </c>
      <c r="W42" s="647">
        <f t="shared" si="12"/>
        <v>100</v>
      </c>
      <c r="X42" s="1236"/>
      <c r="Y42" s="3346"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6"/>
      <c r="Q43" s="1234">
        <f t="shared" si="14"/>
        <v>111</v>
      </c>
      <c r="R43" s="646" t="s">
        <v>14</v>
      </c>
      <c r="S43" s="647">
        <f t="shared" si="10"/>
        <v>100</v>
      </c>
      <c r="T43" s="646" t="s">
        <v>14</v>
      </c>
      <c r="U43" s="647">
        <f t="shared" si="11"/>
        <v>100</v>
      </c>
      <c r="V43" s="646" t="s">
        <v>14</v>
      </c>
      <c r="W43" s="647">
        <f t="shared" si="12"/>
        <v>100</v>
      </c>
      <c r="X43" s="1236"/>
      <c r="Y43" s="3346"/>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6"/>
      <c r="Q44" s="1234">
        <f t="shared" si="14"/>
        <v>111</v>
      </c>
      <c r="R44" s="646" t="s">
        <v>14</v>
      </c>
      <c r="S44" s="647">
        <f t="shared" si="10"/>
        <v>100</v>
      </c>
      <c r="T44" s="646" t="s">
        <v>14</v>
      </c>
      <c r="U44" s="647">
        <f t="shared" si="11"/>
        <v>100</v>
      </c>
      <c r="V44" s="646" t="s">
        <v>14</v>
      </c>
      <c r="W44" s="647">
        <f t="shared" si="12"/>
        <v>100</v>
      </c>
      <c r="X44" s="1236"/>
      <c r="Y44" s="3346"/>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6"/>
      <c r="Q45" s="1234">
        <f t="shared" si="14"/>
        <v>111</v>
      </c>
      <c r="R45" s="648" t="s">
        <v>14</v>
      </c>
      <c r="S45" s="649">
        <f t="shared" si="10"/>
        <v>100</v>
      </c>
      <c r="T45" s="648" t="s">
        <v>14</v>
      </c>
      <c r="U45" s="649">
        <f t="shared" si="11"/>
        <v>100</v>
      </c>
      <c r="V45" s="648" t="s">
        <v>14</v>
      </c>
      <c r="W45" s="649">
        <f t="shared" si="12"/>
        <v>100</v>
      </c>
      <c r="X45" s="650"/>
      <c r="Y45" s="3346"/>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38" t="str">
        <f>A46</f>
        <v>成交单价</v>
      </c>
      <c r="Q46" s="3338"/>
      <c r="R46" s="3342">
        <f>E46</f>
        <v>0</v>
      </c>
      <c r="S46" s="3342"/>
      <c r="T46" s="3342">
        <f>G46</f>
        <v>0</v>
      </c>
      <c r="U46" s="3342"/>
      <c r="V46" s="3342">
        <f>I46</f>
        <v>0</v>
      </c>
      <c r="W46" s="3342"/>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8" t="str">
        <f>A47</f>
        <v>比较价值（元/平方米）</v>
      </c>
      <c r="Q47" s="3338"/>
      <c r="R47" s="3339" t="e">
        <f>ROUND(PRODUCT(R46,AA7:AA45),0)</f>
        <v>#DIV/0!</v>
      </c>
      <c r="S47" s="3339"/>
      <c r="T47" s="3339" t="e">
        <f>ROUND(PRODUCT(T46,AB7:AB45),0)</f>
        <v>#DIV/0!</v>
      </c>
      <c r="U47" s="3339"/>
      <c r="V47" s="3339" t="e">
        <f>ROUND(PRODUCT(V46,AC7:AC45),0)</f>
        <v>#DIV/0!</v>
      </c>
      <c r="W47" s="3339"/>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35" t="str">
        <f>A48</f>
        <v>估价对象XX用房的比较价值（楼面单价，元/平方米）</v>
      </c>
      <c r="Q48" s="3336"/>
      <c r="R48" s="3337" t="e">
        <f>ROUND(IF(D47="简单平均",AVERAGE(R47:W47),R47*F47+T47*H47+V47*J47),0)</f>
        <v>#DIV/0!</v>
      </c>
      <c r="S48" s="3337"/>
      <c r="T48" s="3337"/>
      <c r="U48" s="3337"/>
      <c r="V48" s="3337"/>
      <c r="W48" s="3337"/>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50" t="s">
        <v>1884</v>
      </c>
      <c r="H55" s="3362"/>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63"/>
      <c r="H56" s="3338"/>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2024-2</v>
      </c>
      <c r="D69" s="1075" t="str">
        <f>YEAR(D67)&amp;"-"&amp;ROUNDUP(MONTH(D67)/3,0)</f>
        <v>2024-1</v>
      </c>
      <c r="E69" s="1075" t="str">
        <f t="shared" ref="E69:O69" si="19">YEAR(E67)&amp;"-"&amp;ROUNDUP(MONTH(E67)/3,0)</f>
        <v>2023-4</v>
      </c>
      <c r="F69" s="1075" t="str">
        <f t="shared" si="19"/>
        <v>2023-3</v>
      </c>
      <c r="G69" s="1075" t="str">
        <f t="shared" si="19"/>
        <v>2023-2</v>
      </c>
      <c r="H69" s="1075" t="str">
        <f t="shared" si="19"/>
        <v>2023-1</v>
      </c>
      <c r="I69" s="1075" t="str">
        <f t="shared" si="19"/>
        <v>2022-4</v>
      </c>
      <c r="J69" s="1075" t="str">
        <f t="shared" si="19"/>
        <v>2022-3</v>
      </c>
      <c r="K69" s="1075" t="str">
        <f t="shared" si="19"/>
        <v>2022-2</v>
      </c>
      <c r="L69" s="1075" t="str">
        <f t="shared" si="19"/>
        <v>2022-1</v>
      </c>
      <c r="M69" s="1075" t="str">
        <f t="shared" si="19"/>
        <v>2021-4</v>
      </c>
      <c r="N69" s="1075" t="str">
        <f t="shared" si="19"/>
        <v>2021-3</v>
      </c>
      <c r="O69" s="1075" t="str">
        <f t="shared" si="19"/>
        <v>2021-2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5.5000000000000007E-2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42" sqref="J42"/>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32.96</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1598</v>
      </c>
      <c r="C2" s="1259" t="s">
        <v>805</v>
      </c>
      <c r="D2" s="1259"/>
      <c r="E2" s="1265"/>
      <c r="F2" s="1266"/>
      <c r="G2" s="2395"/>
      <c r="H2" s="2385"/>
      <c r="I2" s="2385"/>
      <c r="J2" s="2385"/>
      <c r="K2" s="2386"/>
      <c r="L2" s="2385"/>
      <c r="M2" s="2385"/>
    </row>
    <row r="3" spans="1:37" ht="18" customHeight="1" thickBot="1">
      <c r="A3" s="1267" t="s">
        <v>806</v>
      </c>
      <c r="B3" s="1268">
        <f ca="1">IF(ISERROR(B2*10000/F43),0,ROUND(B2*10000/F43,0))</f>
        <v>7444</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99</v>
      </c>
      <c r="D5" s="1243" t="s">
        <v>693</v>
      </c>
      <c r="E5" s="983"/>
      <c r="F5" s="984"/>
      <c r="G5" s="1262"/>
      <c r="H5" s="266">
        <v>1</v>
      </c>
      <c r="I5" s="267" t="s">
        <v>692</v>
      </c>
      <c r="J5" s="982">
        <f ca="1">J6+J10+J12</f>
        <v>0</v>
      </c>
      <c r="K5" s="1243" t="s">
        <v>693</v>
      </c>
      <c r="L5" s="983"/>
      <c r="M5" s="984"/>
    </row>
    <row r="6" spans="1:37" ht="18" customHeight="1">
      <c r="A6" s="981" t="s">
        <v>398</v>
      </c>
      <c r="B6" s="3383" t="s">
        <v>694</v>
      </c>
      <c r="C6" s="986">
        <f ca="1">ROUND(F6*F8*F7*(1-F9)/10000,0)</f>
        <v>99</v>
      </c>
      <c r="D6" s="122" t="s">
        <v>2105</v>
      </c>
      <c r="E6" s="269" t="s">
        <v>696</v>
      </c>
      <c r="F6" s="270">
        <f ca="1">INDIRECT("'数据-取费表'!u"&amp;$G$1)</f>
        <v>1.4</v>
      </c>
      <c r="G6" s="1262"/>
      <c r="H6" s="981" t="s">
        <v>398</v>
      </c>
      <c r="I6" s="3383" t="s">
        <v>694</v>
      </c>
      <c r="J6" s="268">
        <f ca="1">ROUND(M6*M8*M7*(1-M9)/10000,0)</f>
        <v>0</v>
      </c>
      <c r="K6" s="122" t="s">
        <v>2104</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2146.6800000000003</v>
      </c>
      <c r="G7" s="1262"/>
      <c r="H7" s="271"/>
      <c r="I7" s="3384"/>
      <c r="J7" s="273"/>
      <c r="K7" s="274"/>
      <c r="L7" s="269" t="s">
        <v>697</v>
      </c>
      <c r="M7" s="270">
        <f ca="1">F7</f>
        <v>2146.6800000000003</v>
      </c>
    </row>
    <row r="8" spans="1:37" ht="18" customHeight="1">
      <c r="A8" s="271"/>
      <c r="B8" s="3384"/>
      <c r="C8" s="273"/>
      <c r="D8" s="274"/>
      <c r="E8" s="269" t="s">
        <v>698</v>
      </c>
      <c r="F8" s="270">
        <f ca="1">INDIRECT("'数据-取费表'!ai"&amp;$G$1)</f>
        <v>365</v>
      </c>
      <c r="G8" s="1262"/>
      <c r="H8" s="271"/>
      <c r="I8" s="3384"/>
      <c r="J8" s="273"/>
      <c r="K8" s="274"/>
      <c r="L8" s="269" t="s">
        <v>698</v>
      </c>
      <c r="M8" s="270">
        <f ca="1">INDIRECT("'数据-取费表'!ai"&amp;$G$1)</f>
        <v>365</v>
      </c>
    </row>
    <row r="9" spans="1:37" ht="18" customHeight="1">
      <c r="A9" s="271"/>
      <c r="B9" s="3385"/>
      <c r="C9" s="273"/>
      <c r="D9" s="274"/>
      <c r="E9" s="269" t="s">
        <v>699</v>
      </c>
      <c r="F9" s="279">
        <f ca="1">INDIRECT("'数据-取费表'!w"&amp;$G$1)</f>
        <v>0.1</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370</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386</v>
      </c>
      <c r="D14" s="1231" t="s">
        <v>708</v>
      </c>
      <c r="E14" s="1229"/>
      <c r="F14" s="286"/>
      <c r="G14" s="1262"/>
      <c r="H14" s="907" t="s">
        <v>398</v>
      </c>
      <c r="I14" s="269" t="s">
        <v>709</v>
      </c>
      <c r="J14" s="9">
        <f ca="1">C29</f>
        <v>528</v>
      </c>
      <c r="K14" s="8"/>
      <c r="L14" s="738"/>
      <c r="M14" s="739"/>
    </row>
    <row r="15" spans="1:37" s="1274" customFormat="1" ht="18" customHeight="1" thickBot="1">
      <c r="A15" s="907" t="s">
        <v>399</v>
      </c>
      <c r="B15" s="269" t="s">
        <v>710</v>
      </c>
      <c r="C15" s="9">
        <f ca="1">ROUND(C14*F15,0)</f>
        <v>12</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5</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8</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449</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9</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2.64</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8</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-5</v>
      </c>
      <c r="K25" s="1007" t="s">
        <v>753</v>
      </c>
      <c r="L25" s="1008"/>
      <c r="M25" s="1009"/>
    </row>
    <row r="26" spans="1:37">
      <c r="A26" s="907" t="s">
        <v>397</v>
      </c>
      <c r="B26" s="269" t="s">
        <v>754</v>
      </c>
      <c r="C26" s="9">
        <f ca="1">ROUND((C19+C20)*F26,0)</f>
        <v>23</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528</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22</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18.5</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5.19</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11.31</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2.64</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0.37</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0.5</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77</v>
      </c>
      <c r="D39" s="1007" t="s">
        <v>773</v>
      </c>
      <c r="E39" s="1008"/>
      <c r="F39" s="1009"/>
      <c r="G39" s="1262"/>
      <c r="H39" s="2390"/>
      <c r="I39" s="1275"/>
      <c r="J39" s="1276"/>
      <c r="K39" s="2388"/>
      <c r="L39" s="2390"/>
      <c r="M39" s="2390"/>
    </row>
    <row r="40" spans="1:18" ht="18" customHeight="1">
      <c r="A40" s="266" t="s">
        <v>395</v>
      </c>
      <c r="B40" s="267" t="s">
        <v>774</v>
      </c>
      <c r="C40" s="268">
        <f ca="1">ROUND(C39*(1-((1+F42)/(1+F40))^F41)/(F40-F42),0)</f>
        <v>1579</v>
      </c>
      <c r="D40" s="291" t="s">
        <v>758</v>
      </c>
      <c r="E40" s="269" t="s">
        <v>759</v>
      </c>
      <c r="F40" s="279">
        <f ca="1">INDIRECT("'数据-取费表'!I"&amp;$G$1)</f>
        <v>0.05</v>
      </c>
      <c r="G40" s="1262"/>
      <c r="H40" s="1336">
        <f ca="1">C39/C5</f>
        <v>0.77777777777777779</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32.96</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7356</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-1659</v>
      </c>
      <c r="D46" s="1283" t="str">
        <f>C2</f>
        <v>万元</v>
      </c>
      <c r="E46" s="1277"/>
      <c r="F46" s="1277"/>
      <c r="I46" s="1284" t="s">
        <v>810</v>
      </c>
      <c r="J46" s="1285"/>
      <c r="K46" s="1286"/>
      <c r="L46" s="1287">
        <f ca="1">IF(M47="住宅",0,IF(L48&gt;J51,L60,J60))</f>
        <v>19</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1579</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32.96</v>
      </c>
      <c r="O48" s="1295" t="s">
        <v>404</v>
      </c>
      <c r="P48" s="1296" t="s">
        <v>821</v>
      </c>
      <c r="Q48" s="1297">
        <f ca="1">J60</f>
        <v>19</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528</v>
      </c>
      <c r="R49" s="1297" t="s">
        <v>818</v>
      </c>
    </row>
    <row r="50" spans="1:18" s="1262" customFormat="1" ht="13.5"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1020</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32.96</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32.96</v>
      </c>
      <c r="K53" s="3381" t="s">
        <v>837</v>
      </c>
      <c r="L53" s="3382"/>
      <c r="O53" s="1295" t="s">
        <v>409</v>
      </c>
      <c r="P53" s="1296" t="s">
        <v>838</v>
      </c>
      <c r="Q53" s="1297">
        <f ca="1">Q47+Q48</f>
        <v>1598</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0.28699999999999998</v>
      </c>
      <c r="K55" s="1320" t="s">
        <v>841</v>
      </c>
      <c r="L55" s="1321"/>
      <c r="O55" s="1288" t="s">
        <v>811</v>
      </c>
      <c r="P55" s="1289" t="s">
        <v>812</v>
      </c>
      <c r="Q55" s="1290" t="s">
        <v>813</v>
      </c>
      <c r="R55" s="1290" t="s">
        <v>814</v>
      </c>
    </row>
    <row r="56" spans="1:18" s="1262" customFormat="1" ht="25.5" thickTop="1" thickBot="1">
      <c r="A56" s="882">
        <v>2</v>
      </c>
      <c r="B56" s="883" t="s">
        <v>704</v>
      </c>
      <c r="C56" s="199">
        <f ca="1">C13</f>
        <v>370</v>
      </c>
      <c r="D56" s="1322"/>
      <c r="E56" s="1323"/>
      <c r="F56" s="1315"/>
      <c r="I56" s="1324" t="s">
        <v>842</v>
      </c>
      <c r="J56" s="1325" t="s">
        <v>3385</v>
      </c>
      <c r="K56" s="1298" t="s">
        <v>843</v>
      </c>
      <c r="L56" s="1301" t="str">
        <f ca="1">IF(L48&lt;J51,"——",L48-J53)</f>
        <v>——</v>
      </c>
      <c r="O56" s="1295" t="s">
        <v>403</v>
      </c>
      <c r="P56" s="1296" t="s">
        <v>817</v>
      </c>
      <c r="Q56" s="1297">
        <f ca="1">C40+J29</f>
        <v>1579</v>
      </c>
      <c r="R56" s="1297" t="s">
        <v>818</v>
      </c>
    </row>
    <row r="57" spans="1:18" s="1262" customFormat="1" ht="24.75" thickBot="1">
      <c r="A57" s="1326"/>
      <c r="B57" s="875" t="s">
        <v>767</v>
      </c>
      <c r="C57" s="205">
        <f ca="1">C29</f>
        <v>528</v>
      </c>
      <c r="D57" s="1327"/>
      <c r="E57" s="1328"/>
      <c r="F57" s="1329"/>
      <c r="I57" s="1330" t="s">
        <v>844</v>
      </c>
      <c r="J57" s="1331">
        <f ca="1">IF(OR(M47="住宅",J51&lt;L48,J56="是"),"——",J51-L48)</f>
        <v>19.04</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5</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211</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5.5000000000000007E-2</v>
      </c>
      <c r="I60" s="1333" t="s">
        <v>853</v>
      </c>
      <c r="J60" s="1334">
        <f ca="1">IF(OR(M47="住宅",J51&lt;L48,J56="是"),"0",ROUND(J59/(1+J52)^J53,0))</f>
        <v>19</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1579</v>
      </c>
      <c r="R62" s="1297" t="s">
        <v>410</v>
      </c>
    </row>
    <row r="63" spans="1:18" s="1262" customFormat="1" ht="13.5"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2.64</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0.37</v>
      </c>
      <c r="D65" s="889" t="s">
        <v>743</v>
      </c>
      <c r="E65" s="875" t="s">
        <v>744</v>
      </c>
      <c r="F65" s="296">
        <f t="shared" ca="1" si="0"/>
        <v>1E-3</v>
      </c>
      <c r="I65" s="1337" t="s">
        <v>867</v>
      </c>
      <c r="J65" s="588">
        <v>40</v>
      </c>
      <c r="K65" s="588">
        <v>30</v>
      </c>
      <c r="L65" s="588">
        <v>50</v>
      </c>
      <c r="M65" s="1339">
        <v>0.02</v>
      </c>
      <c r="O65" s="1295" t="s">
        <v>403</v>
      </c>
      <c r="P65" s="1296" t="s">
        <v>868</v>
      </c>
      <c r="Q65" s="1297">
        <f ca="1">C40+J29</f>
        <v>1579</v>
      </c>
      <c r="R65" s="1297" t="s">
        <v>818</v>
      </c>
    </row>
    <row r="66" spans="1:18" s="1262" customFormat="1" ht="16.5"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16.5" thickBot="1">
      <c r="A67" s="882" t="s">
        <v>394</v>
      </c>
      <c r="B67" s="892" t="s">
        <v>752</v>
      </c>
      <c r="C67" s="283">
        <f ca="1">C48-C58</f>
        <v>-5</v>
      </c>
      <c r="D67" s="888" t="s">
        <v>753</v>
      </c>
      <c r="E67" s="893"/>
      <c r="F67" s="894"/>
      <c r="O67" s="1304" t="s">
        <v>405</v>
      </c>
      <c r="P67" s="1296" t="s">
        <v>850</v>
      </c>
      <c r="Q67" s="1340">
        <f ca="1">L51</f>
        <v>1020</v>
      </c>
      <c r="R67" s="1297" t="s">
        <v>870</v>
      </c>
    </row>
    <row r="68" spans="1:18" s="1262" customFormat="1" ht="16.5" thickBot="1">
      <c r="A68" s="872" t="s">
        <v>395</v>
      </c>
      <c r="B68" s="873" t="s">
        <v>774</v>
      </c>
      <c r="C68" s="268">
        <f ca="1">ROUND(C67*(1-((1+F70)/(1+F68))^F69)/(F68-F70),0)</f>
        <v>-80</v>
      </c>
      <c r="D68" s="890" t="s">
        <v>758</v>
      </c>
      <c r="E68" s="875" t="s">
        <v>759</v>
      </c>
      <c r="F68" s="279">
        <f ca="1">F40</f>
        <v>0.05</v>
      </c>
      <c r="O68" s="1304" t="s">
        <v>406</v>
      </c>
      <c r="P68" s="1341" t="s">
        <v>871</v>
      </c>
      <c r="Q68" s="1297">
        <f ca="1">ROUND(Q69-Q70*Q71,0)</f>
        <v>51</v>
      </c>
      <c r="R68" s="1297" t="s">
        <v>414</v>
      </c>
    </row>
    <row r="69" spans="1:18" s="1262" customFormat="1" ht="13.5" thickBot="1">
      <c r="A69" s="876"/>
      <c r="B69" s="877"/>
      <c r="C69" s="273"/>
      <c r="D69" s="895" t="s">
        <v>762</v>
      </c>
      <c r="E69" s="875" t="s">
        <v>763</v>
      </c>
      <c r="F69" s="299">
        <f ca="1">F41</f>
        <v>32.96</v>
      </c>
      <c r="O69" s="1304" t="s">
        <v>411</v>
      </c>
      <c r="P69" s="1341" t="s">
        <v>872</v>
      </c>
      <c r="Q69" s="1297">
        <f ca="1">C39</f>
        <v>77</v>
      </c>
      <c r="R69" s="1297" t="s">
        <v>818</v>
      </c>
    </row>
    <row r="70" spans="1:18" s="1262" customFormat="1" ht="13.5" thickBot="1">
      <c r="A70" s="879"/>
      <c r="B70" s="880"/>
      <c r="C70" s="277"/>
      <c r="D70" s="891"/>
      <c r="E70" s="875" t="s">
        <v>766</v>
      </c>
      <c r="F70" s="966"/>
      <c r="O70" s="1304" t="s">
        <v>412</v>
      </c>
      <c r="P70" s="1341" t="s">
        <v>873</v>
      </c>
      <c r="Q70" s="1297">
        <f ca="1">C13</f>
        <v>370</v>
      </c>
      <c r="R70" s="1297" t="s">
        <v>818</v>
      </c>
    </row>
    <row r="71" spans="1:18" s="1262" customFormat="1" ht="13.5" thickBot="1">
      <c r="A71" s="896" t="s">
        <v>396</v>
      </c>
      <c r="B71" s="897" t="s">
        <v>776</v>
      </c>
      <c r="C71" s="302">
        <f ca="1">ROUND(C68*10000/F71,0)</f>
        <v>-373</v>
      </c>
      <c r="D71" s="898" t="s">
        <v>777</v>
      </c>
      <c r="E71" s="899" t="s">
        <v>778</v>
      </c>
      <c r="F71" s="305">
        <f ca="1">F43</f>
        <v>2146.6800000000003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26</v>
      </c>
      <c r="D75" s="1262"/>
      <c r="E75" s="1262"/>
      <c r="F75" s="1262"/>
      <c r="K75" s="1279"/>
      <c r="L75" s="1262"/>
      <c r="O75" s="1295" t="s">
        <v>409</v>
      </c>
      <c r="P75" s="1296" t="s">
        <v>838</v>
      </c>
      <c r="Q75" s="1297">
        <f ca="1">Q65+Q66</f>
        <v>1579</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0.66199999999999992</v>
      </c>
    </row>
    <row r="80" spans="1:18">
      <c r="B80" s="306" t="s">
        <v>800</v>
      </c>
      <c r="C80" s="241">
        <f ca="1">ROUND(C75/C39,3)</f>
        <v>0.33800000000000002</v>
      </c>
    </row>
    <row r="81" spans="2:3">
      <c r="B81" s="237" t="s">
        <v>801</v>
      </c>
      <c r="C81" s="205"/>
    </row>
    <row r="82" spans="2:3">
      <c r="B82" s="240" t="s">
        <v>802</v>
      </c>
      <c r="C82" s="242">
        <f ca="1">1-C83</f>
        <v>0.76600000000000001</v>
      </c>
    </row>
    <row r="83" spans="2:3">
      <c r="B83" s="240" t="s">
        <v>803</v>
      </c>
      <c r="C83" s="241">
        <f ca="1">ROUND(C13/C40,3)</f>
        <v>0.23400000000000001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3" t="s">
        <v>694</v>
      </c>
      <c r="C6" s="986">
        <f ca="1">ROUND(F6*F8*F7*(1-F9),0)</f>
        <v>0</v>
      </c>
      <c r="D6" s="122" t="s">
        <v>2102</v>
      </c>
      <c r="E6" s="269" t="s">
        <v>696</v>
      </c>
      <c r="F6" s="270">
        <f ca="1">INDIRECT("'数据-取费表'!u"&amp;$G$1)</f>
        <v>0</v>
      </c>
      <c r="G6" s="1262"/>
      <c r="H6" s="981" t="s">
        <v>398</v>
      </c>
      <c r="I6" s="3383" t="s">
        <v>694</v>
      </c>
      <c r="J6" s="268">
        <f ca="1">ROUND(M6*M8*M7*(1-M9),0)</f>
        <v>0</v>
      </c>
      <c r="K6" s="1254" t="s">
        <v>2103</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0</v>
      </c>
      <c r="G7" s="1262"/>
      <c r="H7" s="271"/>
      <c r="I7" s="3384"/>
      <c r="J7" s="273"/>
      <c r="K7" s="274"/>
      <c r="L7" s="269" t="s">
        <v>697</v>
      </c>
      <c r="M7" s="270">
        <f ca="1">F7</f>
        <v>0</v>
      </c>
    </row>
    <row r="8" spans="1:37" ht="18" customHeight="1">
      <c r="A8" s="271"/>
      <c r="B8" s="3384"/>
      <c r="C8" s="273"/>
      <c r="D8" s="274"/>
      <c r="E8" s="269" t="s">
        <v>698</v>
      </c>
      <c r="F8" s="270">
        <f ca="1">INDIRECT("'数据-取费表'!ai"&amp;$G$1)</f>
        <v>0</v>
      </c>
      <c r="G8" s="1262"/>
      <c r="H8" s="271"/>
      <c r="I8" s="3384"/>
      <c r="J8" s="273"/>
      <c r="K8" s="274"/>
      <c r="L8" s="269" t="s">
        <v>698</v>
      </c>
      <c r="M8" s="270">
        <f ca="1">INDIRECT("'数据-取费表'!ai"&amp;$G$1)</f>
        <v>0</v>
      </c>
    </row>
    <row r="9" spans="1:37" ht="18" customHeight="1">
      <c r="A9" s="271"/>
      <c r="B9" s="3385"/>
      <c r="C9" s="273"/>
      <c r="D9" s="274"/>
      <c r="E9" s="269" t="s">
        <v>699</v>
      </c>
      <c r="F9" s="279">
        <f ca="1">INDIRECT("'数据-取费表'!w"&amp;$G$1)</f>
        <v>0</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1" t="s">
        <v>837</v>
      </c>
      <c r="L53" s="3382"/>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5.5000000000000007E-2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86" t="s">
        <v>2317</v>
      </c>
      <c r="K2" s="3387"/>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88" t="s">
        <v>2327</v>
      </c>
      <c r="K3" s="3389"/>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88" t="s">
        <v>2329</v>
      </c>
      <c r="K4" s="3389"/>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390" t="s">
        <v>2333</v>
      </c>
      <c r="B6" s="3391"/>
      <c r="C6" s="3392"/>
      <c r="D6" s="2538"/>
      <c r="E6" s="2539"/>
      <c r="F6" s="2540"/>
      <c r="G6" s="2541"/>
      <c r="H6" s="2516"/>
      <c r="I6" s="2517"/>
      <c r="J6" s="3393">
        <v>1</v>
      </c>
      <c r="K6" s="3394"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93"/>
      <c r="K7" s="3395"/>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397" t="s">
        <v>2347</v>
      </c>
      <c r="C8" s="3398"/>
      <c r="D8" s="2557" t="s">
        <v>2348</v>
      </c>
      <c r="E8" s="2558" t="s">
        <v>2349</v>
      </c>
      <c r="F8" s="2559" t="s">
        <v>2350</v>
      </c>
      <c r="G8" s="2560"/>
      <c r="H8" s="2516"/>
      <c r="I8" s="2517"/>
      <c r="J8" s="3393"/>
      <c r="K8" s="3395"/>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397" t="s">
        <v>2353</v>
      </c>
      <c r="C9" s="3398"/>
      <c r="D9" s="2557">
        <f>ROUND(D6*E9,0)</f>
        <v>0</v>
      </c>
      <c r="E9" s="2561"/>
      <c r="F9" s="2562" t="s">
        <v>2354</v>
      </c>
      <c r="G9" s="2541"/>
      <c r="H9" s="2516"/>
      <c r="I9" s="2517"/>
      <c r="J9" s="3393"/>
      <c r="K9" s="3395"/>
      <c r="L9" s="2551" t="s">
        <v>2355</v>
      </c>
      <c r="M9" s="2552"/>
      <c r="N9" s="2528"/>
      <c r="O9" s="2553"/>
      <c r="P9" s="2553"/>
      <c r="Q9" s="2554">
        <v>365</v>
      </c>
      <c r="R9" s="2555">
        <f t="shared" si="0"/>
        <v>0</v>
      </c>
      <c r="S9" s="2509"/>
      <c r="T9" s="2509"/>
      <c r="U9" s="2509"/>
      <c r="V9" s="2517"/>
    </row>
    <row r="10" spans="1:22" s="2521" customFormat="1" ht="13.15" customHeight="1">
      <c r="A10" s="2556">
        <v>2</v>
      </c>
      <c r="B10" s="3397" t="s">
        <v>2356</v>
      </c>
      <c r="C10" s="3398"/>
      <c r="D10" s="2557">
        <f>ROUND(D6*E10,0)</f>
        <v>0</v>
      </c>
      <c r="E10" s="2561"/>
      <c r="F10" s="2562" t="s">
        <v>2357</v>
      </c>
      <c r="G10" s="2541"/>
      <c r="H10" s="2516"/>
      <c r="I10" s="2517"/>
      <c r="J10" s="3393"/>
      <c r="K10" s="3395"/>
      <c r="L10" s="2551" t="s">
        <v>2358</v>
      </c>
      <c r="M10" s="2552"/>
      <c r="N10" s="2528"/>
      <c r="O10" s="2553"/>
      <c r="P10" s="2553"/>
      <c r="Q10" s="2554">
        <v>365</v>
      </c>
      <c r="R10" s="2555">
        <f t="shared" si="0"/>
        <v>0</v>
      </c>
      <c r="S10" s="2509"/>
      <c r="T10" s="2509"/>
      <c r="U10" s="2509"/>
      <c r="V10" s="2517"/>
    </row>
    <row r="11" spans="1:22" s="2521" customFormat="1" ht="13.15" customHeight="1">
      <c r="A11" s="2556">
        <v>3</v>
      </c>
      <c r="B11" s="3397" t="s">
        <v>2359</v>
      </c>
      <c r="C11" s="3398"/>
      <c r="D11" s="2557">
        <f>D12+D14+D15+D16</f>
        <v>0</v>
      </c>
      <c r="E11" s="2563" t="e">
        <f>D11/D6</f>
        <v>#DIV/0!</v>
      </c>
      <c r="F11" s="2559"/>
      <c r="G11" s="2560"/>
      <c r="H11" s="2516"/>
      <c r="I11" s="2517"/>
      <c r="J11" s="3393"/>
      <c r="K11" s="3395"/>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399" t="s">
        <v>2362</v>
      </c>
      <c r="C12" s="3400"/>
      <c r="D12" s="2565">
        <f>ROUND(D13*1.2%*(1-30%),0)</f>
        <v>0</v>
      </c>
      <c r="E12" s="2566">
        <v>1.2E-2</v>
      </c>
      <c r="F12" s="2559" t="s">
        <v>2363</v>
      </c>
      <c r="G12" s="2560"/>
      <c r="H12" s="2516"/>
      <c r="I12" s="2517"/>
      <c r="J12" s="3393"/>
      <c r="K12" s="3395"/>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93"/>
      <c r="K13" s="3395"/>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399" t="s">
        <v>2368</v>
      </c>
      <c r="C14" s="3400"/>
      <c r="D14" s="2565">
        <f>ROUND(E14*B5/10000,0)</f>
        <v>0</v>
      </c>
      <c r="E14" s="2554"/>
      <c r="F14" s="2559" t="s">
        <v>2369</v>
      </c>
      <c r="G14" s="2560"/>
      <c r="H14" s="2516"/>
      <c r="I14" s="2517"/>
      <c r="J14" s="3393"/>
      <c r="K14" s="3396"/>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399" t="s">
        <v>2372</v>
      </c>
      <c r="C15" s="3400"/>
      <c r="D15" s="2565">
        <f>ROUND(D6*E15,0)</f>
        <v>0</v>
      </c>
      <c r="E15" s="2566">
        <v>5.5E-2</v>
      </c>
      <c r="F15" s="2559" t="s">
        <v>2373</v>
      </c>
      <c r="G15" s="2541"/>
      <c r="H15" s="2516"/>
      <c r="I15" s="2517"/>
      <c r="J15" s="3393">
        <v>2</v>
      </c>
      <c r="K15" s="3394"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399" t="s">
        <v>2381</v>
      </c>
      <c r="C16" s="3400"/>
      <c r="D16" s="2576">
        <f>D6*E16</f>
        <v>0</v>
      </c>
      <c r="E16" s="2577"/>
      <c r="F16" s="2562" t="s">
        <v>2382</v>
      </c>
      <c r="G16" s="2541"/>
      <c r="H16" s="2516"/>
      <c r="I16" s="2517"/>
      <c r="J16" s="3393"/>
      <c r="K16" s="3395"/>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401" t="s">
        <v>2384</v>
      </c>
      <c r="C17" s="3402"/>
      <c r="D17" s="2579">
        <f>ROUND(D6*E17,0)</f>
        <v>0</v>
      </c>
      <c r="E17" s="2580"/>
      <c r="F17" s="2581" t="s">
        <v>2385</v>
      </c>
      <c r="G17" s="2541"/>
      <c r="H17" s="2516"/>
      <c r="I17" s="2517"/>
      <c r="J17" s="3393"/>
      <c r="K17" s="3395"/>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93"/>
      <c r="K18" s="3395"/>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93"/>
      <c r="K19" s="3396"/>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93">
        <v>3</v>
      </c>
      <c r="K20" s="3394"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93"/>
      <c r="K21" s="3395"/>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93"/>
      <c r="K22" s="3395"/>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93"/>
      <c r="K23" s="3395"/>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93"/>
      <c r="K24" s="3396"/>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403">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404"/>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86" t="s">
        <v>2317</v>
      </c>
      <c r="K32" s="3387"/>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88" t="s">
        <v>2327</v>
      </c>
      <c r="K33" s="3389"/>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88" t="s">
        <v>2329</v>
      </c>
      <c r="K34" s="3389"/>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93">
        <v>1</v>
      </c>
      <c r="K36" s="3394"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93"/>
      <c r="K37" s="3395"/>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93"/>
      <c r="K38" s="3395"/>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93"/>
      <c r="K39" s="3395"/>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93"/>
      <c r="K40" s="3396"/>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403">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404"/>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1598</v>
      </c>
      <c r="C2" s="1645" t="s">
        <v>1648</v>
      </c>
      <c r="D2" s="1646" t="s">
        <v>1649</v>
      </c>
      <c r="E2" s="2310">
        <f>SUM(E6:E13)</f>
        <v>2146.6800000000003</v>
      </c>
      <c r="F2" s="2396"/>
      <c r="G2" s="435"/>
      <c r="H2" s="435"/>
      <c r="I2" s="435"/>
      <c r="J2" s="435"/>
      <c r="K2" s="435"/>
      <c r="L2" s="435"/>
      <c r="M2" s="435"/>
      <c r="N2" s="435"/>
      <c r="O2" s="435"/>
      <c r="P2" s="435"/>
      <c r="Q2" s="435"/>
      <c r="R2" s="435"/>
      <c r="S2" s="435"/>
    </row>
    <row r="3" spans="1:22" ht="15.75">
      <c r="A3" s="1644" t="s">
        <v>686</v>
      </c>
      <c r="B3" s="2304">
        <f ca="1">ROUND(B2*10000/E2,0)</f>
        <v>7444</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5" t="s">
        <v>1651</v>
      </c>
      <c r="C5" s="3406"/>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1598</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50" t="s">
        <v>1664</v>
      </c>
      <c r="D4" s="3351"/>
      <c r="E4" s="3352" t="s">
        <v>1665</v>
      </c>
      <c r="F4" s="3353"/>
      <c r="G4" s="3350" t="s">
        <v>1666</v>
      </c>
      <c r="H4" s="3351"/>
      <c r="I4" s="3350" t="s">
        <v>1667</v>
      </c>
      <c r="J4" s="3351"/>
      <c r="K4" s="1660" t="s">
        <v>1668</v>
      </c>
      <c r="L4" s="2403"/>
      <c r="M4" s="2404"/>
      <c r="N4" s="2404"/>
      <c r="O4" s="2404"/>
      <c r="P4" s="3354" t="s">
        <v>1669</v>
      </c>
      <c r="Q4" s="3355"/>
      <c r="R4" s="3364" t="s">
        <v>1665</v>
      </c>
      <c r="S4" s="3365"/>
      <c r="T4" s="3364" t="s">
        <v>1666</v>
      </c>
      <c r="U4" s="3365"/>
      <c r="V4" s="3342" t="s">
        <v>1667</v>
      </c>
      <c r="W4" s="3342"/>
      <c r="X4" s="1236"/>
      <c r="Y4" s="3364" t="s">
        <v>1669</v>
      </c>
      <c r="Z4" s="3365"/>
      <c r="AA4" s="3347" t="s">
        <v>1665</v>
      </c>
      <c r="AB4" s="3347" t="s">
        <v>1666</v>
      </c>
      <c r="AC4" s="3347" t="s">
        <v>1667</v>
      </c>
    </row>
    <row r="5" spans="1:29" ht="15">
      <c r="A5" s="323"/>
      <c r="B5" s="324"/>
      <c r="C5" s="3368" t="s">
        <v>1670</v>
      </c>
      <c r="D5" s="3369"/>
      <c r="E5" s="3360" t="s">
        <v>1671</v>
      </c>
      <c r="F5" s="3361"/>
      <c r="G5" s="3368" t="s">
        <v>1672</v>
      </c>
      <c r="H5" s="3369"/>
      <c r="I5" s="3368" t="s">
        <v>1673</v>
      </c>
      <c r="J5" s="3369"/>
      <c r="K5" s="1661"/>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1661"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40" t="s">
        <v>1677</v>
      </c>
      <c r="Q7" s="3372"/>
      <c r="R7" s="643" t="s">
        <v>20</v>
      </c>
      <c r="S7" s="644">
        <f t="shared" ref="S7:S15" si="0">F7</f>
        <v>0</v>
      </c>
      <c r="T7" s="643" t="s">
        <v>20</v>
      </c>
      <c r="U7" s="644">
        <f t="shared" ref="U7:U15" si="1">H7</f>
        <v>0</v>
      </c>
      <c r="V7" s="643" t="s">
        <v>20</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40" t="s">
        <v>1680</v>
      </c>
      <c r="Q8" s="3341"/>
      <c r="R8" s="643" t="s">
        <v>20</v>
      </c>
      <c r="S8" s="644">
        <f t="shared" si="0"/>
        <v>100</v>
      </c>
      <c r="T8" s="643" t="s">
        <v>20</v>
      </c>
      <c r="U8" s="644">
        <f t="shared" si="1"/>
        <v>100</v>
      </c>
      <c r="V8" s="643" t="s">
        <v>20</v>
      </c>
      <c r="W8" s="644">
        <f t="shared" si="2"/>
        <v>100</v>
      </c>
      <c r="X8" s="645"/>
      <c r="Y8" s="3340" t="s">
        <v>1680</v>
      </c>
      <c r="Z8" s="3341"/>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3"/>
      <c r="Q11" s="507" t="str">
        <f t="shared" si="6"/>
        <v>容积率</v>
      </c>
      <c r="R11" s="643" t="s">
        <v>18</v>
      </c>
      <c r="S11" s="644" t="e">
        <f t="shared" si="0"/>
        <v>#N/A</v>
      </c>
      <c r="T11" s="643" t="s">
        <v>18</v>
      </c>
      <c r="U11" s="644" t="e">
        <f t="shared" si="1"/>
        <v>#N/A</v>
      </c>
      <c r="V11" s="643" t="s">
        <v>18</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3"/>
      <c r="Q12" s="507">
        <f t="shared" si="6"/>
        <v>111</v>
      </c>
      <c r="R12" s="643" t="s">
        <v>18</v>
      </c>
      <c r="S12" s="644">
        <f t="shared" si="0"/>
        <v>100</v>
      </c>
      <c r="T12" s="643" t="s">
        <v>18</v>
      </c>
      <c r="U12" s="644">
        <f t="shared" si="1"/>
        <v>100</v>
      </c>
      <c r="V12" s="643" t="s">
        <v>18</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3"/>
      <c r="Q13" s="507">
        <f t="shared" si="6"/>
        <v>111</v>
      </c>
      <c r="R13" s="643" t="s">
        <v>18</v>
      </c>
      <c r="S13" s="644">
        <f t="shared" si="0"/>
        <v>100</v>
      </c>
      <c r="T13" s="643" t="s">
        <v>18</v>
      </c>
      <c r="U13" s="644">
        <f t="shared" si="1"/>
        <v>100</v>
      </c>
      <c r="V13" s="643" t="s">
        <v>18</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3"/>
      <c r="Q14" s="507">
        <f t="shared" si="6"/>
        <v>111</v>
      </c>
      <c r="R14" s="643" t="s">
        <v>18</v>
      </c>
      <c r="S14" s="644">
        <f t="shared" si="0"/>
        <v>100</v>
      </c>
      <c r="T14" s="643" t="s">
        <v>18</v>
      </c>
      <c r="U14" s="644">
        <f t="shared" si="1"/>
        <v>100</v>
      </c>
      <c r="V14" s="643" t="s">
        <v>18</v>
      </c>
      <c r="W14" s="644">
        <f t="shared" si="2"/>
        <v>100</v>
      </c>
      <c r="X14" s="645"/>
      <c r="Y14" s="3308"/>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2" t="s">
        <v>1688</v>
      </c>
      <c r="Q15" s="1234" t="str">
        <f t="shared" si="6"/>
        <v>居住社区成熟度</v>
      </c>
      <c r="R15" s="646" t="s">
        <v>18</v>
      </c>
      <c r="S15" s="647">
        <f t="shared" si="0"/>
        <v>100</v>
      </c>
      <c r="T15" s="646" t="s">
        <v>18</v>
      </c>
      <c r="U15" s="647">
        <f t="shared" si="1"/>
        <v>100</v>
      </c>
      <c r="V15" s="646" t="s">
        <v>18</v>
      </c>
      <c r="W15" s="647">
        <f t="shared" si="2"/>
        <v>100</v>
      </c>
      <c r="X15" s="1236"/>
      <c r="Y15" s="3343"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3"/>
      <c r="Q16" s="1234"/>
      <c r="R16" s="646"/>
      <c r="S16" s="647"/>
      <c r="T16" s="646"/>
      <c r="U16" s="647"/>
      <c r="V16" s="646"/>
      <c r="W16" s="647"/>
      <c r="X16" s="1236"/>
      <c r="Y16" s="3344"/>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3"/>
      <c r="Q17" s="1234" t="str">
        <f>B17</f>
        <v>交通便捷度</v>
      </c>
      <c r="R17" s="646" t="s">
        <v>18</v>
      </c>
      <c r="S17" s="647">
        <f>F17</f>
        <v>100</v>
      </c>
      <c r="T17" s="646" t="s">
        <v>18</v>
      </c>
      <c r="U17" s="647">
        <f>H17</f>
        <v>100</v>
      </c>
      <c r="V17" s="646" t="s">
        <v>18</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3"/>
      <c r="Q18" s="1234"/>
      <c r="R18" s="646"/>
      <c r="S18" s="647"/>
      <c r="T18" s="646"/>
      <c r="U18" s="647"/>
      <c r="V18" s="646"/>
      <c r="W18" s="647"/>
      <c r="X18" s="1236"/>
      <c r="Y18" s="3344"/>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3"/>
      <c r="Q19" s="1234" t="str">
        <f>B19</f>
        <v>公共配套设施</v>
      </c>
      <c r="R19" s="646" t="s">
        <v>18</v>
      </c>
      <c r="S19" s="647">
        <f>F19</f>
        <v>100</v>
      </c>
      <c r="T19" s="646" t="s">
        <v>18</v>
      </c>
      <c r="U19" s="647">
        <f>H19</f>
        <v>100</v>
      </c>
      <c r="V19" s="646" t="s">
        <v>18</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3"/>
      <c r="Q20" s="1234"/>
      <c r="R20" s="646"/>
      <c r="S20" s="647"/>
      <c r="T20" s="646"/>
      <c r="U20" s="647"/>
      <c r="V20" s="646"/>
      <c r="W20" s="647"/>
      <c r="X20" s="1236"/>
      <c r="Y20" s="3344"/>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3"/>
      <c r="Q22" s="1234"/>
      <c r="R22" s="646"/>
      <c r="S22" s="647"/>
      <c r="T22" s="646"/>
      <c r="U22" s="647"/>
      <c r="V22" s="646"/>
      <c r="W22" s="647"/>
      <c r="X22" s="1236"/>
      <c r="Y22" s="3344"/>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3"/>
      <c r="Q23" s="1234" t="str">
        <f>B23</f>
        <v>自然及人文环境</v>
      </c>
      <c r="R23" s="646" t="s">
        <v>18</v>
      </c>
      <c r="S23" s="647">
        <f>F23</f>
        <v>100</v>
      </c>
      <c r="T23" s="646" t="s">
        <v>18</v>
      </c>
      <c r="U23" s="647">
        <f>H23</f>
        <v>100</v>
      </c>
      <c r="V23" s="646" t="s">
        <v>18</v>
      </c>
      <c r="W23" s="647">
        <f>J23</f>
        <v>100</v>
      </c>
      <c r="X23" s="1236"/>
      <c r="Y23" s="3344"/>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3"/>
      <c r="Q24" s="1234"/>
      <c r="R24" s="646"/>
      <c r="S24" s="647"/>
      <c r="T24" s="646"/>
      <c r="U24" s="647"/>
      <c r="V24" s="646"/>
      <c r="W24" s="647"/>
      <c r="X24" s="1236"/>
      <c r="Y24" s="3344"/>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3"/>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4"/>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3"/>
      <c r="Q26" s="1234" t="str">
        <f t="shared" si="11"/>
        <v>朝向</v>
      </c>
      <c r="R26" s="646" t="s">
        <v>18</v>
      </c>
      <c r="S26" s="647">
        <f t="shared" si="12"/>
        <v>100</v>
      </c>
      <c r="T26" s="646" t="s">
        <v>18</v>
      </c>
      <c r="U26" s="647">
        <f t="shared" si="13"/>
        <v>100</v>
      </c>
      <c r="V26" s="646" t="s">
        <v>18</v>
      </c>
      <c r="W26" s="647">
        <f t="shared" si="14"/>
        <v>100</v>
      </c>
      <c r="X26" s="1236"/>
      <c r="Y26" s="3344"/>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3"/>
      <c r="Q27" s="507">
        <f t="shared" si="11"/>
        <v>111</v>
      </c>
      <c r="R27" s="643" t="s">
        <v>18</v>
      </c>
      <c r="S27" s="644">
        <f t="shared" si="12"/>
        <v>100</v>
      </c>
      <c r="T27" s="643" t="s">
        <v>18</v>
      </c>
      <c r="U27" s="644">
        <f t="shared" si="13"/>
        <v>100</v>
      </c>
      <c r="V27" s="643" t="s">
        <v>18</v>
      </c>
      <c r="W27" s="644">
        <f t="shared" si="14"/>
        <v>100</v>
      </c>
      <c r="X27" s="645"/>
      <c r="Y27" s="3344"/>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3"/>
      <c r="Q28" s="1234">
        <f t="shared" si="11"/>
        <v>111</v>
      </c>
      <c r="R28" s="646" t="s">
        <v>18</v>
      </c>
      <c r="S28" s="647">
        <f t="shared" si="12"/>
        <v>100</v>
      </c>
      <c r="T28" s="646" t="s">
        <v>18</v>
      </c>
      <c r="U28" s="647">
        <f t="shared" si="13"/>
        <v>100</v>
      </c>
      <c r="V28" s="646" t="s">
        <v>18</v>
      </c>
      <c r="W28" s="647">
        <f t="shared" si="14"/>
        <v>100</v>
      </c>
      <c r="X28" s="1236"/>
      <c r="Y28" s="3344"/>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3"/>
      <c r="Q29" s="1234">
        <f t="shared" si="11"/>
        <v>111</v>
      </c>
      <c r="R29" s="646" t="s">
        <v>18</v>
      </c>
      <c r="S29" s="647">
        <f t="shared" si="12"/>
        <v>100</v>
      </c>
      <c r="T29" s="646" t="s">
        <v>18</v>
      </c>
      <c r="U29" s="647">
        <f t="shared" si="13"/>
        <v>100</v>
      </c>
      <c r="V29" s="646" t="s">
        <v>18</v>
      </c>
      <c r="W29" s="647">
        <f t="shared" si="14"/>
        <v>100</v>
      </c>
      <c r="X29" s="1236"/>
      <c r="Y29" s="3344"/>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3"/>
      <c r="Q30" s="1234">
        <f t="shared" si="11"/>
        <v>111</v>
      </c>
      <c r="R30" s="646" t="s">
        <v>18</v>
      </c>
      <c r="S30" s="647">
        <f t="shared" si="12"/>
        <v>100</v>
      </c>
      <c r="T30" s="646" t="s">
        <v>18</v>
      </c>
      <c r="U30" s="647">
        <f t="shared" si="13"/>
        <v>100</v>
      </c>
      <c r="V30" s="646" t="s">
        <v>18</v>
      </c>
      <c r="W30" s="647">
        <f t="shared" si="14"/>
        <v>100</v>
      </c>
      <c r="X30" s="1236"/>
      <c r="Y30" s="3344"/>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3"/>
      <c r="Q31" s="1234">
        <f t="shared" si="11"/>
        <v>111</v>
      </c>
      <c r="R31" s="646" t="s">
        <v>18</v>
      </c>
      <c r="S31" s="647">
        <f t="shared" si="12"/>
        <v>100</v>
      </c>
      <c r="T31" s="646" t="s">
        <v>18</v>
      </c>
      <c r="U31" s="647">
        <f t="shared" si="13"/>
        <v>100</v>
      </c>
      <c r="V31" s="646" t="s">
        <v>18</v>
      </c>
      <c r="W31" s="647">
        <f t="shared" si="14"/>
        <v>100</v>
      </c>
      <c r="X31" s="1236"/>
      <c r="Y31" s="3344"/>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8" t="s">
        <v>1693</v>
      </c>
      <c r="Q32" s="1234" t="str">
        <f t="shared" si="11"/>
        <v>建筑类型</v>
      </c>
      <c r="R32" s="646" t="s">
        <v>18</v>
      </c>
      <c r="S32" s="647">
        <f t="shared" si="12"/>
        <v>100</v>
      </c>
      <c r="T32" s="646" t="s">
        <v>18</v>
      </c>
      <c r="U32" s="647">
        <f t="shared" si="13"/>
        <v>100</v>
      </c>
      <c r="V32" s="646" t="s">
        <v>18</v>
      </c>
      <c r="W32" s="647">
        <f t="shared" si="14"/>
        <v>100</v>
      </c>
      <c r="X32" s="1236"/>
      <c r="Y32" s="3346"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09"/>
      <c r="Q33" s="508" t="str">
        <f t="shared" si="11"/>
        <v>项目建筑规模</v>
      </c>
      <c r="R33" s="648" t="s">
        <v>18</v>
      </c>
      <c r="S33" s="649" t="e">
        <f t="shared" si="12"/>
        <v>#N/A</v>
      </c>
      <c r="T33" s="648" t="s">
        <v>18</v>
      </c>
      <c r="U33" s="649" t="e">
        <f t="shared" si="13"/>
        <v>#N/A</v>
      </c>
      <c r="V33" s="648" t="s">
        <v>18</v>
      </c>
      <c r="W33" s="649" t="e">
        <f t="shared" si="14"/>
        <v>#N/A</v>
      </c>
      <c r="X33" s="650"/>
      <c r="Y33" s="3346"/>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09"/>
      <c r="Q34" s="1234" t="str">
        <f t="shared" si="11"/>
        <v>建筑结构</v>
      </c>
      <c r="R34" s="646" t="s">
        <v>18</v>
      </c>
      <c r="S34" s="647">
        <f t="shared" si="12"/>
        <v>100</v>
      </c>
      <c r="T34" s="646" t="s">
        <v>18</v>
      </c>
      <c r="U34" s="647">
        <f t="shared" si="13"/>
        <v>100</v>
      </c>
      <c r="V34" s="646" t="s">
        <v>18</v>
      </c>
      <c r="W34" s="647">
        <f t="shared" si="14"/>
        <v>100</v>
      </c>
      <c r="X34" s="1236"/>
      <c r="Y34" s="3346"/>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09"/>
      <c r="Q35" s="1234" t="str">
        <f t="shared" si="11"/>
        <v>建筑品质</v>
      </c>
      <c r="R35" s="646" t="s">
        <v>18</v>
      </c>
      <c r="S35" s="647">
        <f t="shared" si="12"/>
        <v>100</v>
      </c>
      <c r="T35" s="646" t="s">
        <v>18</v>
      </c>
      <c r="U35" s="647">
        <f t="shared" si="13"/>
        <v>100</v>
      </c>
      <c r="V35" s="646" t="s">
        <v>18</v>
      </c>
      <c r="W35" s="647">
        <f t="shared" si="14"/>
        <v>100</v>
      </c>
      <c r="X35" s="1236"/>
      <c r="Y35" s="3346"/>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09"/>
      <c r="Q36" s="1234" t="str">
        <f t="shared" si="11"/>
        <v>公共部分装修</v>
      </c>
      <c r="R36" s="646" t="s">
        <v>18</v>
      </c>
      <c r="S36" s="647">
        <f t="shared" si="12"/>
        <v>100</v>
      </c>
      <c r="T36" s="646" t="s">
        <v>18</v>
      </c>
      <c r="U36" s="647">
        <f t="shared" si="13"/>
        <v>100</v>
      </c>
      <c r="V36" s="646" t="s">
        <v>18</v>
      </c>
      <c r="W36" s="647">
        <f t="shared" si="14"/>
        <v>100</v>
      </c>
      <c r="X36" s="1236"/>
      <c r="Y36" s="3346"/>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09"/>
      <c r="Q37" s="507" t="str">
        <f t="shared" si="11"/>
        <v>成新度</v>
      </c>
      <c r="R37" s="643" t="s">
        <v>18</v>
      </c>
      <c r="S37" s="644" t="e">
        <f t="shared" si="12"/>
        <v>#N/A</v>
      </c>
      <c r="T37" s="643" t="s">
        <v>18</v>
      </c>
      <c r="U37" s="644" t="e">
        <f t="shared" si="13"/>
        <v>#N/A</v>
      </c>
      <c r="V37" s="643" t="s">
        <v>18</v>
      </c>
      <c r="W37" s="644" t="e">
        <f t="shared" si="14"/>
        <v>#N/A</v>
      </c>
      <c r="X37" s="645"/>
      <c r="Y37" s="3346"/>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09" t="s">
        <v>1693</v>
      </c>
      <c r="Q38" s="1234" t="str">
        <f t="shared" si="11"/>
        <v>物业管理</v>
      </c>
      <c r="R38" s="646" t="s">
        <v>18</v>
      </c>
      <c r="S38" s="647">
        <f t="shared" si="12"/>
        <v>100</v>
      </c>
      <c r="T38" s="646" t="s">
        <v>18</v>
      </c>
      <c r="U38" s="647">
        <f t="shared" si="13"/>
        <v>100</v>
      </c>
      <c r="V38" s="646" t="s">
        <v>18</v>
      </c>
      <c r="W38" s="647">
        <f t="shared" si="14"/>
        <v>100</v>
      </c>
      <c r="X38" s="1236"/>
      <c r="Y38" s="3346"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09"/>
      <c r="Q39" s="1234" t="str">
        <f t="shared" si="11"/>
        <v>市政基础设施</v>
      </c>
      <c r="R39" s="646" t="s">
        <v>18</v>
      </c>
      <c r="S39" s="647">
        <f t="shared" si="12"/>
        <v>100</v>
      </c>
      <c r="T39" s="646" t="s">
        <v>18</v>
      </c>
      <c r="U39" s="647">
        <f t="shared" si="13"/>
        <v>100</v>
      </c>
      <c r="V39" s="646" t="s">
        <v>18</v>
      </c>
      <c r="W39" s="647">
        <f t="shared" si="14"/>
        <v>100</v>
      </c>
      <c r="X39" s="1236"/>
      <c r="Y39" s="3346"/>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09"/>
      <c r="Q40" s="1234" t="str">
        <f t="shared" si="11"/>
        <v>房型</v>
      </c>
      <c r="R40" s="646" t="s">
        <v>18</v>
      </c>
      <c r="S40" s="647">
        <f t="shared" si="12"/>
        <v>100</v>
      </c>
      <c r="T40" s="646" t="s">
        <v>18</v>
      </c>
      <c r="U40" s="647">
        <f t="shared" si="13"/>
        <v>100</v>
      </c>
      <c r="V40" s="646" t="s">
        <v>18</v>
      </c>
      <c r="W40" s="647">
        <f t="shared" si="14"/>
        <v>100</v>
      </c>
      <c r="X40" s="1236"/>
      <c r="Y40" s="3346"/>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09"/>
      <c r="Q41" s="508" t="str">
        <f t="shared" si="11"/>
        <v>单套/主力户型建筑面积</v>
      </c>
      <c r="R41" s="648" t="s">
        <v>18</v>
      </c>
      <c r="S41" s="649">
        <f t="shared" si="12"/>
        <v>100</v>
      </c>
      <c r="T41" s="648" t="s">
        <v>18</v>
      </c>
      <c r="U41" s="649">
        <f t="shared" si="13"/>
        <v>100</v>
      </c>
      <c r="V41" s="648" t="s">
        <v>18</v>
      </c>
      <c r="W41" s="649">
        <f t="shared" si="14"/>
        <v>100</v>
      </c>
      <c r="X41" s="650"/>
      <c r="Y41" s="3346"/>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09"/>
      <c r="Q42" s="1234" t="str">
        <f t="shared" si="11"/>
        <v>内部装修</v>
      </c>
      <c r="R42" s="646" t="s">
        <v>18</v>
      </c>
      <c r="S42" s="647">
        <f t="shared" si="12"/>
        <v>100</v>
      </c>
      <c r="T42" s="646" t="s">
        <v>18</v>
      </c>
      <c r="U42" s="647">
        <f t="shared" si="13"/>
        <v>100</v>
      </c>
      <c r="V42" s="646" t="s">
        <v>18</v>
      </c>
      <c r="W42" s="647">
        <f t="shared" si="14"/>
        <v>100</v>
      </c>
      <c r="X42" s="1236"/>
      <c r="Y42" s="3346"/>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09"/>
      <c r="Q43" s="1234" t="str">
        <f t="shared" si="11"/>
        <v>内部装修维护情况</v>
      </c>
      <c r="R43" s="646" t="s">
        <v>18</v>
      </c>
      <c r="S43" s="647">
        <f t="shared" si="12"/>
        <v>100</v>
      </c>
      <c r="T43" s="646" t="s">
        <v>18</v>
      </c>
      <c r="U43" s="647">
        <f t="shared" si="13"/>
        <v>100</v>
      </c>
      <c r="V43" s="646" t="s">
        <v>18</v>
      </c>
      <c r="W43" s="647">
        <f t="shared" si="14"/>
        <v>100</v>
      </c>
      <c r="X43" s="1236"/>
      <c r="Y43" s="3346"/>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09"/>
      <c r="Q44" s="507">
        <f t="shared" si="11"/>
        <v>111</v>
      </c>
      <c r="R44" s="643" t="s">
        <v>18</v>
      </c>
      <c r="S44" s="644">
        <f t="shared" si="12"/>
        <v>100</v>
      </c>
      <c r="T44" s="643" t="s">
        <v>18</v>
      </c>
      <c r="U44" s="644">
        <f t="shared" si="13"/>
        <v>100</v>
      </c>
      <c r="V44" s="643" t="s">
        <v>18</v>
      </c>
      <c r="W44" s="644">
        <f t="shared" si="14"/>
        <v>100</v>
      </c>
      <c r="X44" s="645"/>
      <c r="Y44" s="3346"/>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09"/>
      <c r="Q45" s="1234">
        <f t="shared" si="11"/>
        <v>111</v>
      </c>
      <c r="R45" s="646" t="s">
        <v>18</v>
      </c>
      <c r="S45" s="647">
        <f t="shared" si="12"/>
        <v>100</v>
      </c>
      <c r="T45" s="646" t="s">
        <v>18</v>
      </c>
      <c r="U45" s="647">
        <f t="shared" si="13"/>
        <v>100</v>
      </c>
      <c r="V45" s="646" t="s">
        <v>18</v>
      </c>
      <c r="W45" s="647">
        <f t="shared" si="14"/>
        <v>100</v>
      </c>
      <c r="X45" s="1236"/>
      <c r="Y45" s="3346"/>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0"/>
      <c r="Q46" s="1234">
        <f t="shared" si="11"/>
        <v>111</v>
      </c>
      <c r="R46" s="646" t="s">
        <v>17</v>
      </c>
      <c r="S46" s="647">
        <f t="shared" si="12"/>
        <v>100</v>
      </c>
      <c r="T46" s="646" t="s">
        <v>17</v>
      </c>
      <c r="U46" s="647">
        <f t="shared" si="13"/>
        <v>100</v>
      </c>
      <c r="V46" s="646" t="s">
        <v>17</v>
      </c>
      <c r="W46" s="647">
        <f t="shared" si="14"/>
        <v>100</v>
      </c>
      <c r="X46" s="1236"/>
      <c r="Y46" s="3411"/>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38" t="str">
        <f>A47</f>
        <v>成交单价（元/平方米）</v>
      </c>
      <c r="Q47" s="3338"/>
      <c r="R47" s="3342">
        <f>E47</f>
        <v>0</v>
      </c>
      <c r="S47" s="3342"/>
      <c r="T47" s="3342">
        <f>G47</f>
        <v>0</v>
      </c>
      <c r="U47" s="3342"/>
      <c r="V47" s="3342">
        <f>I47</f>
        <v>0</v>
      </c>
      <c r="W47" s="3342"/>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8" t="str">
        <f>A48</f>
        <v>比较价值（元/平方米）</v>
      </c>
      <c r="Q48" s="333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35" t="str">
        <f>A49</f>
        <v>估价对象XX用房的比较价值（楼面单价，元/平方米）</v>
      </c>
      <c r="Q49" s="3336"/>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2024-5</v>
      </c>
      <c r="D58" s="1078">
        <f>EDATE(C58,-1)</f>
        <v>45383</v>
      </c>
      <c r="E58" s="1078">
        <f>EDATE(D58,-1)</f>
        <v>45352</v>
      </c>
      <c r="F58" s="1078">
        <f t="shared" ref="F58:O58" si="19">EDATE(E58,-1)</f>
        <v>45323</v>
      </c>
      <c r="G58" s="1078">
        <f t="shared" si="19"/>
        <v>45292</v>
      </c>
      <c r="H58" s="1078">
        <f t="shared" si="19"/>
        <v>45261</v>
      </c>
      <c r="I58" s="1078">
        <f t="shared" si="19"/>
        <v>45231</v>
      </c>
      <c r="J58" s="1078">
        <f t="shared" si="19"/>
        <v>45200</v>
      </c>
      <c r="K58" s="1078">
        <f t="shared" si="19"/>
        <v>45170</v>
      </c>
      <c r="L58" s="1078">
        <f t="shared" si="19"/>
        <v>45139</v>
      </c>
      <c r="M58" s="1078">
        <f t="shared" si="19"/>
        <v>45108</v>
      </c>
      <c r="N58" s="1078">
        <f t="shared" si="19"/>
        <v>45078</v>
      </c>
      <c r="O58" s="1078">
        <f t="shared" si="19"/>
        <v>45047</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2024年5月28日（评估专业人员实地查勘之日）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2"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2"/>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2"/>
      <c r="AC6" s="334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3"/>
      <c r="Q11" s="507" t="str">
        <f t="shared" si="6"/>
        <v>容积率</v>
      </c>
      <c r="R11" s="643" t="s">
        <v>14</v>
      </c>
      <c r="S11" s="644" t="e">
        <f t="shared" si="0"/>
        <v>#N/A</v>
      </c>
      <c r="T11" s="643" t="s">
        <v>14</v>
      </c>
      <c r="U11" s="644" t="e">
        <f t="shared" si="1"/>
        <v>#N/A</v>
      </c>
      <c r="V11" s="643" t="s">
        <v>14</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3"/>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3"/>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3"/>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2" t="s">
        <v>1688</v>
      </c>
      <c r="Q15" s="1234" t="str">
        <f t="shared" si="6"/>
        <v>商业繁华度</v>
      </c>
      <c r="R15" s="646" t="s">
        <v>14</v>
      </c>
      <c r="S15" s="647">
        <f t="shared" si="0"/>
        <v>100</v>
      </c>
      <c r="T15" s="646" t="s">
        <v>14</v>
      </c>
      <c r="U15" s="647">
        <f t="shared" si="1"/>
        <v>100</v>
      </c>
      <c r="V15" s="646" t="s">
        <v>14</v>
      </c>
      <c r="W15" s="647">
        <f t="shared" si="2"/>
        <v>100</v>
      </c>
      <c r="X15" s="1236"/>
      <c r="Y15" s="3343"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3"/>
      <c r="Q16" s="1234"/>
      <c r="R16" s="646"/>
      <c r="S16" s="647"/>
      <c r="T16" s="646"/>
      <c r="U16" s="647"/>
      <c r="V16" s="646"/>
      <c r="W16" s="647"/>
      <c r="X16" s="1236"/>
      <c r="Y16" s="3344"/>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3"/>
      <c r="Q18" s="1234"/>
      <c r="R18" s="646"/>
      <c r="S18" s="647"/>
      <c r="T18" s="646"/>
      <c r="U18" s="647"/>
      <c r="V18" s="646"/>
      <c r="W18" s="647"/>
      <c r="X18" s="1236"/>
      <c r="Y18" s="3344"/>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3"/>
      <c r="Q20" s="1234"/>
      <c r="R20" s="646"/>
      <c r="S20" s="647"/>
      <c r="T20" s="646"/>
      <c r="U20" s="647"/>
      <c r="V20" s="646"/>
      <c r="W20" s="647"/>
      <c r="X20" s="1236"/>
      <c r="Y20" s="3344"/>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3"/>
      <c r="Q22" s="1234"/>
      <c r="R22" s="646"/>
      <c r="S22" s="647"/>
      <c r="T22" s="646"/>
      <c r="U22" s="647"/>
      <c r="V22" s="646"/>
      <c r="W22" s="647"/>
      <c r="X22" s="1236"/>
      <c r="Y22" s="3344"/>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3"/>
      <c r="Q23" s="1234" t="str">
        <f>B23</f>
        <v>自然及人文环境</v>
      </c>
      <c r="R23" s="646" t="s">
        <v>14</v>
      </c>
      <c r="S23" s="647">
        <f>F23</f>
        <v>100</v>
      </c>
      <c r="T23" s="646" t="s">
        <v>14</v>
      </c>
      <c r="U23" s="647">
        <f>H23</f>
        <v>100</v>
      </c>
      <c r="V23" s="646" t="s">
        <v>14</v>
      </c>
      <c r="W23" s="647">
        <f>J23</f>
        <v>100</v>
      </c>
      <c r="X23" s="1236"/>
      <c r="Y23" s="3344"/>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3"/>
      <c r="Q24" s="1234"/>
      <c r="R24" s="646"/>
      <c r="S24" s="647"/>
      <c r="T24" s="646"/>
      <c r="U24" s="647"/>
      <c r="V24" s="646"/>
      <c r="W24" s="647"/>
      <c r="X24" s="1236"/>
      <c r="Y24" s="3344"/>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3"/>
      <c r="Q25" s="1234" t="str">
        <f t="shared" ref="Q25:Q46" si="11">B25</f>
        <v>临街状况</v>
      </c>
      <c r="R25" s="646" t="s">
        <v>14</v>
      </c>
      <c r="S25" s="647">
        <f>F25</f>
        <v>100</v>
      </c>
      <c r="T25" s="646" t="s">
        <v>14</v>
      </c>
      <c r="U25" s="647">
        <f>H25</f>
        <v>100</v>
      </c>
      <c r="V25" s="646" t="s">
        <v>14</v>
      </c>
      <c r="W25" s="647">
        <f>J25</f>
        <v>100</v>
      </c>
      <c r="X25" s="1236"/>
      <c r="Y25" s="3344"/>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3"/>
      <c r="Q26" s="1234" t="str">
        <f t="shared" si="11"/>
        <v>平面位置/可视性</v>
      </c>
      <c r="R26" s="646" t="s">
        <v>14</v>
      </c>
      <c r="S26" s="647">
        <f>F26</f>
        <v>100</v>
      </c>
      <c r="T26" s="646" t="s">
        <v>14</v>
      </c>
      <c r="U26" s="647">
        <f>H26</f>
        <v>100</v>
      </c>
      <c r="V26" s="646" t="s">
        <v>14</v>
      </c>
      <c r="W26" s="647">
        <f>J26</f>
        <v>100</v>
      </c>
      <c r="X26" s="1236"/>
      <c r="Y26" s="3344"/>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3"/>
      <c r="Q27" s="507" t="str">
        <f t="shared" si="11"/>
        <v>人流量</v>
      </c>
      <c r="R27" s="643" t="s">
        <v>14</v>
      </c>
      <c r="S27" s="644">
        <f>F27</f>
        <v>100</v>
      </c>
      <c r="T27" s="643" t="s">
        <v>14</v>
      </c>
      <c r="U27" s="644">
        <f>H27</f>
        <v>100</v>
      </c>
      <c r="V27" s="643" t="s">
        <v>14</v>
      </c>
      <c r="W27" s="644">
        <f>J27</f>
        <v>100</v>
      </c>
      <c r="X27" s="645"/>
      <c r="Y27" s="3344"/>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3"/>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4"/>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3"/>
      <c r="Q29" s="1234">
        <f t="shared" si="11"/>
        <v>111</v>
      </c>
      <c r="R29" s="646" t="s">
        <v>14</v>
      </c>
      <c r="S29" s="647">
        <f t="shared" si="12"/>
        <v>100</v>
      </c>
      <c r="T29" s="646" t="s">
        <v>14</v>
      </c>
      <c r="U29" s="647">
        <f t="shared" si="13"/>
        <v>100</v>
      </c>
      <c r="V29" s="646" t="s">
        <v>14</v>
      </c>
      <c r="W29" s="647">
        <f t="shared" si="14"/>
        <v>100</v>
      </c>
      <c r="X29" s="1236"/>
      <c r="Y29" s="3344"/>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44"/>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44"/>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8" t="s">
        <v>1693</v>
      </c>
      <c r="Q32" s="1234" t="str">
        <f t="shared" si="11"/>
        <v>商业类型</v>
      </c>
      <c r="R32" s="646" t="s">
        <v>14</v>
      </c>
      <c r="S32" s="647">
        <f t="shared" si="12"/>
        <v>100</v>
      </c>
      <c r="T32" s="646" t="s">
        <v>14</v>
      </c>
      <c r="U32" s="647">
        <f t="shared" si="13"/>
        <v>100</v>
      </c>
      <c r="V32" s="646" t="s">
        <v>14</v>
      </c>
      <c r="W32" s="647">
        <f t="shared" si="14"/>
        <v>100</v>
      </c>
      <c r="X32" s="1236"/>
      <c r="Y32" s="3346"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09"/>
      <c r="Q33" s="508" t="str">
        <f t="shared" si="11"/>
        <v>项目建筑规模</v>
      </c>
      <c r="R33" s="648" t="s">
        <v>14</v>
      </c>
      <c r="S33" s="649" t="e">
        <f t="shared" si="12"/>
        <v>#N/A</v>
      </c>
      <c r="T33" s="648" t="s">
        <v>14</v>
      </c>
      <c r="U33" s="649" t="e">
        <f t="shared" si="13"/>
        <v>#N/A</v>
      </c>
      <c r="V33" s="648" t="s">
        <v>14</v>
      </c>
      <c r="W33" s="649" t="e">
        <f t="shared" si="14"/>
        <v>#N/A</v>
      </c>
      <c r="X33" s="650"/>
      <c r="Y33" s="3346"/>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09"/>
      <c r="Q34" s="1234" t="str">
        <f t="shared" si="11"/>
        <v>建筑结构</v>
      </c>
      <c r="R34" s="646" t="s">
        <v>14</v>
      </c>
      <c r="S34" s="647">
        <f t="shared" si="12"/>
        <v>100</v>
      </c>
      <c r="T34" s="646" t="s">
        <v>14</v>
      </c>
      <c r="U34" s="647">
        <f t="shared" si="13"/>
        <v>100</v>
      </c>
      <c r="V34" s="646" t="s">
        <v>14</v>
      </c>
      <c r="W34" s="647">
        <f t="shared" si="14"/>
        <v>100</v>
      </c>
      <c r="X34" s="1236"/>
      <c r="Y34" s="3346"/>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09"/>
      <c r="Q35" s="1234" t="str">
        <f t="shared" si="11"/>
        <v>公共部分装修</v>
      </c>
      <c r="R35" s="646" t="s">
        <v>14</v>
      </c>
      <c r="S35" s="647">
        <f t="shared" si="12"/>
        <v>100</v>
      </c>
      <c r="T35" s="646" t="s">
        <v>14</v>
      </c>
      <c r="U35" s="647">
        <f t="shared" si="13"/>
        <v>100</v>
      </c>
      <c r="V35" s="646" t="s">
        <v>14</v>
      </c>
      <c r="W35" s="647">
        <f t="shared" si="14"/>
        <v>100</v>
      </c>
      <c r="X35" s="1236"/>
      <c r="Y35" s="3346"/>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09"/>
      <c r="Q36" s="1234" t="str">
        <f t="shared" si="11"/>
        <v>成新度</v>
      </c>
      <c r="R36" s="646" t="s">
        <v>14</v>
      </c>
      <c r="S36" s="647" t="e">
        <f t="shared" si="12"/>
        <v>#N/A</v>
      </c>
      <c r="T36" s="646" t="s">
        <v>14</v>
      </c>
      <c r="U36" s="647" t="e">
        <f t="shared" si="13"/>
        <v>#N/A</v>
      </c>
      <c r="V36" s="646" t="s">
        <v>14</v>
      </c>
      <c r="W36" s="647" t="e">
        <f t="shared" si="14"/>
        <v>#N/A</v>
      </c>
      <c r="X36" s="1236"/>
      <c r="Y36" s="3346"/>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09"/>
      <c r="Q37" s="507" t="str">
        <f t="shared" si="11"/>
        <v>市政基础设施</v>
      </c>
      <c r="R37" s="643" t="s">
        <v>14</v>
      </c>
      <c r="S37" s="644">
        <f t="shared" si="12"/>
        <v>100</v>
      </c>
      <c r="T37" s="643" t="s">
        <v>14</v>
      </c>
      <c r="U37" s="644">
        <f t="shared" si="13"/>
        <v>100</v>
      </c>
      <c r="V37" s="643" t="s">
        <v>14</v>
      </c>
      <c r="W37" s="644">
        <f t="shared" si="14"/>
        <v>100</v>
      </c>
      <c r="X37" s="645"/>
      <c r="Y37" s="3346"/>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09" t="s">
        <v>1693</v>
      </c>
      <c r="Q38" s="1234" t="str">
        <f t="shared" si="11"/>
        <v>业态</v>
      </c>
      <c r="R38" s="646" t="s">
        <v>14</v>
      </c>
      <c r="S38" s="647">
        <f t="shared" si="12"/>
        <v>100</v>
      </c>
      <c r="T38" s="646" t="s">
        <v>14</v>
      </c>
      <c r="U38" s="647">
        <f t="shared" si="13"/>
        <v>100</v>
      </c>
      <c r="V38" s="646" t="s">
        <v>14</v>
      </c>
      <c r="W38" s="647">
        <f t="shared" si="14"/>
        <v>100</v>
      </c>
      <c r="X38" s="1236"/>
      <c r="Y38" s="3346"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09"/>
      <c r="Q39" s="1234" t="str">
        <f t="shared" si="11"/>
        <v>层高</v>
      </c>
      <c r="R39" s="646" t="s">
        <v>14</v>
      </c>
      <c r="S39" s="647">
        <f t="shared" si="12"/>
        <v>100</v>
      </c>
      <c r="T39" s="646" t="s">
        <v>14</v>
      </c>
      <c r="U39" s="647">
        <f t="shared" si="13"/>
        <v>100</v>
      </c>
      <c r="V39" s="646" t="s">
        <v>14</v>
      </c>
      <c r="W39" s="647">
        <f t="shared" si="14"/>
        <v>100</v>
      </c>
      <c r="X39" s="1236"/>
      <c r="Y39" s="3346"/>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09"/>
      <c r="Q40" s="1234" t="str">
        <f t="shared" si="11"/>
        <v>单套建筑面积</v>
      </c>
      <c r="R40" s="646" t="s">
        <v>14</v>
      </c>
      <c r="S40" s="647">
        <f t="shared" si="12"/>
        <v>100</v>
      </c>
      <c r="T40" s="646" t="s">
        <v>14</v>
      </c>
      <c r="U40" s="647">
        <f t="shared" si="13"/>
        <v>100</v>
      </c>
      <c r="V40" s="646" t="s">
        <v>14</v>
      </c>
      <c r="W40" s="647">
        <f t="shared" si="14"/>
        <v>100</v>
      </c>
      <c r="X40" s="1236"/>
      <c r="Y40" s="3346"/>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09"/>
      <c r="Q41" s="508" t="str">
        <f t="shared" si="11"/>
        <v>进深比</v>
      </c>
      <c r="R41" s="648" t="s">
        <v>14</v>
      </c>
      <c r="S41" s="649">
        <f t="shared" si="12"/>
        <v>100</v>
      </c>
      <c r="T41" s="648" t="s">
        <v>14</v>
      </c>
      <c r="U41" s="649">
        <f t="shared" si="13"/>
        <v>100</v>
      </c>
      <c r="V41" s="648" t="s">
        <v>14</v>
      </c>
      <c r="W41" s="649">
        <f t="shared" si="14"/>
        <v>100</v>
      </c>
      <c r="X41" s="650"/>
      <c r="Y41" s="3346"/>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09"/>
      <c r="Q42" s="1234" t="str">
        <f t="shared" si="11"/>
        <v>内部装修</v>
      </c>
      <c r="R42" s="646" t="s">
        <v>14</v>
      </c>
      <c r="S42" s="647">
        <f t="shared" si="12"/>
        <v>100</v>
      </c>
      <c r="T42" s="646" t="s">
        <v>14</v>
      </c>
      <c r="U42" s="647">
        <f t="shared" si="13"/>
        <v>100</v>
      </c>
      <c r="V42" s="646" t="s">
        <v>14</v>
      </c>
      <c r="W42" s="647">
        <f t="shared" si="14"/>
        <v>100</v>
      </c>
      <c r="X42" s="1236"/>
      <c r="Y42" s="3346"/>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09"/>
      <c r="Q43" s="1234" t="str">
        <f t="shared" si="11"/>
        <v>内部装修维护情况</v>
      </c>
      <c r="R43" s="646" t="s">
        <v>14</v>
      </c>
      <c r="S43" s="647">
        <f t="shared" si="12"/>
        <v>100</v>
      </c>
      <c r="T43" s="646" t="s">
        <v>14</v>
      </c>
      <c r="U43" s="647">
        <f t="shared" si="13"/>
        <v>100</v>
      </c>
      <c r="V43" s="646" t="s">
        <v>14</v>
      </c>
      <c r="W43" s="647">
        <f t="shared" si="14"/>
        <v>100</v>
      </c>
      <c r="X43" s="1236"/>
      <c r="Y43" s="3346"/>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09"/>
      <c r="Q44" s="507">
        <f t="shared" si="11"/>
        <v>111</v>
      </c>
      <c r="R44" s="643" t="s">
        <v>14</v>
      </c>
      <c r="S44" s="644">
        <f t="shared" si="12"/>
        <v>100</v>
      </c>
      <c r="T44" s="643" t="s">
        <v>14</v>
      </c>
      <c r="U44" s="644">
        <f t="shared" si="13"/>
        <v>100</v>
      </c>
      <c r="V44" s="643" t="s">
        <v>14</v>
      </c>
      <c r="W44" s="644">
        <f t="shared" si="14"/>
        <v>100</v>
      </c>
      <c r="X44" s="645"/>
      <c r="Y44" s="3346"/>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09"/>
      <c r="Q45" s="1234">
        <f t="shared" si="11"/>
        <v>111</v>
      </c>
      <c r="R45" s="646" t="s">
        <v>14</v>
      </c>
      <c r="S45" s="647">
        <f t="shared" si="12"/>
        <v>100</v>
      </c>
      <c r="T45" s="646" t="s">
        <v>14</v>
      </c>
      <c r="U45" s="647">
        <f t="shared" si="13"/>
        <v>100</v>
      </c>
      <c r="V45" s="646" t="s">
        <v>14</v>
      </c>
      <c r="W45" s="647">
        <f t="shared" si="14"/>
        <v>100</v>
      </c>
      <c r="X45" s="1236"/>
      <c r="Y45" s="3346"/>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0"/>
      <c r="Q46" s="1234">
        <f t="shared" si="11"/>
        <v>111</v>
      </c>
      <c r="R46" s="646" t="s">
        <v>14</v>
      </c>
      <c r="S46" s="647">
        <f t="shared" si="12"/>
        <v>100</v>
      </c>
      <c r="T46" s="646" t="s">
        <v>14</v>
      </c>
      <c r="U46" s="647">
        <f t="shared" si="13"/>
        <v>100</v>
      </c>
      <c r="V46" s="646" t="s">
        <v>14</v>
      </c>
      <c r="W46" s="647">
        <f t="shared" si="14"/>
        <v>100</v>
      </c>
      <c r="X46" s="1236"/>
      <c r="Y46" s="3411"/>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38" t="str">
        <f>A47</f>
        <v>成交单价（元/平方米）</v>
      </c>
      <c r="Q47" s="3338"/>
      <c r="R47" s="3342">
        <f>E47</f>
        <v>0</v>
      </c>
      <c r="S47" s="3342"/>
      <c r="T47" s="3342">
        <f>G47</f>
        <v>0</v>
      </c>
      <c r="U47" s="3342"/>
      <c r="V47" s="3342">
        <f>I47</f>
        <v>0</v>
      </c>
      <c r="W47" s="3342"/>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8" t="str">
        <f>A48</f>
        <v>比较价值（元/平方米）</v>
      </c>
      <c r="Q48" s="333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35" t="str">
        <f>A49</f>
        <v>估价对象XX用房的比较价值（楼面单价，元/平方米）</v>
      </c>
      <c r="Q49" s="3336"/>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2024-5</v>
      </c>
      <c r="D58" s="1078">
        <f>EDATE(C58,-1)</f>
        <v>45383</v>
      </c>
      <c r="E58" s="1078">
        <f t="shared" ref="E58:N58" si="16">EDATE(D58,-1)</f>
        <v>45352</v>
      </c>
      <c r="F58" s="1078">
        <f t="shared" si="16"/>
        <v>45323</v>
      </c>
      <c r="G58" s="1078">
        <f t="shared" si="16"/>
        <v>45292</v>
      </c>
      <c r="H58" s="1078">
        <f t="shared" si="16"/>
        <v>45261</v>
      </c>
      <c r="I58" s="1078">
        <f t="shared" si="16"/>
        <v>45231</v>
      </c>
      <c r="J58" s="1078">
        <f t="shared" si="16"/>
        <v>45200</v>
      </c>
      <c r="K58" s="1078">
        <f t="shared" si="16"/>
        <v>45170</v>
      </c>
      <c r="L58" s="1078">
        <f t="shared" si="16"/>
        <v>45139</v>
      </c>
      <c r="M58" s="1078">
        <f t="shared" si="16"/>
        <v>45108</v>
      </c>
      <c r="N58" s="1078">
        <f t="shared" si="16"/>
        <v>45078</v>
      </c>
      <c r="O58" s="1078">
        <f>EDATE(N58,-1)</f>
        <v>45047</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420" t="s">
        <v>1772</v>
      </c>
      <c r="Q4" s="3421"/>
      <c r="R4" s="3415" t="s">
        <v>1768</v>
      </c>
      <c r="S4" s="3416"/>
      <c r="T4" s="3415" t="s">
        <v>1769</v>
      </c>
      <c r="U4" s="3416"/>
      <c r="V4" s="3424" t="s">
        <v>1770</v>
      </c>
      <c r="W4" s="3424"/>
      <c r="X4" s="1725"/>
      <c r="Y4" s="3415" t="s">
        <v>1772</v>
      </c>
      <c r="Z4" s="3416"/>
      <c r="AA4" s="3414" t="s">
        <v>1768</v>
      </c>
      <c r="AB4" s="3414" t="s">
        <v>1769</v>
      </c>
      <c r="AC4" s="3417" t="s">
        <v>1770</v>
      </c>
    </row>
    <row r="5" spans="1:29" ht="15">
      <c r="A5" s="323"/>
      <c r="B5" s="324"/>
      <c r="C5" s="3368" t="s">
        <v>1670</v>
      </c>
      <c r="D5" s="3369"/>
      <c r="E5" s="3360" t="s">
        <v>1671</v>
      </c>
      <c r="F5" s="3361"/>
      <c r="G5" s="3368" t="s">
        <v>1672</v>
      </c>
      <c r="H5" s="3369"/>
      <c r="I5" s="3368" t="s">
        <v>1673</v>
      </c>
      <c r="J5" s="3369"/>
      <c r="K5" s="514"/>
      <c r="L5" s="2403"/>
      <c r="M5" s="2404"/>
      <c r="N5" s="2404"/>
      <c r="O5" s="2404"/>
      <c r="P5" s="3422"/>
      <c r="Q5" s="3357"/>
      <c r="R5" s="3366"/>
      <c r="S5" s="3367"/>
      <c r="T5" s="3366"/>
      <c r="U5" s="3367"/>
      <c r="V5" s="3342"/>
      <c r="W5" s="3342"/>
      <c r="X5" s="1236"/>
      <c r="Y5" s="3366"/>
      <c r="Z5" s="3367"/>
      <c r="AA5" s="3348"/>
      <c r="AB5" s="3348"/>
      <c r="AC5" s="341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423"/>
      <c r="Q6" s="3359"/>
      <c r="R6" s="3366"/>
      <c r="S6" s="3367"/>
      <c r="T6" s="3375"/>
      <c r="U6" s="3376"/>
      <c r="V6" s="3342"/>
      <c r="W6" s="3342"/>
      <c r="X6" s="1236"/>
      <c r="Y6" s="3375"/>
      <c r="Z6" s="3376"/>
      <c r="AA6" s="3349"/>
      <c r="AB6" s="3349"/>
      <c r="AC6" s="3419"/>
    </row>
    <row r="7" spans="1:29" s="77" customFormat="1" ht="15.75" thickBot="1">
      <c r="A7" s="327" t="s">
        <v>1676</v>
      </c>
      <c r="B7" s="328"/>
      <c r="C7" s="329">
        <f>'数据-取费表'!B2</f>
        <v>45440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5"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5" t="s">
        <v>1680</v>
      </c>
      <c r="Q8" s="3341"/>
      <c r="R8" s="643" t="s">
        <v>14</v>
      </c>
      <c r="S8" s="644">
        <f t="shared" si="0"/>
        <v>100</v>
      </c>
      <c r="T8" s="643" t="s">
        <v>14</v>
      </c>
      <c r="U8" s="644">
        <f t="shared" si="1"/>
        <v>100</v>
      </c>
      <c r="V8" s="643" t="s">
        <v>14</v>
      </c>
      <c r="W8" s="644">
        <f t="shared" si="2"/>
        <v>100</v>
      </c>
      <c r="X8" s="645"/>
      <c r="Y8" s="3340" t="s">
        <v>1680</v>
      </c>
      <c r="Z8" s="3341"/>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3"/>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3"/>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3"/>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3"/>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2" t="s">
        <v>1688</v>
      </c>
      <c r="Q15" s="1234" t="str">
        <f t="shared" si="6"/>
        <v>办公集聚程度</v>
      </c>
      <c r="R15" s="646" t="s">
        <v>14</v>
      </c>
      <c r="S15" s="647">
        <f t="shared" si="0"/>
        <v>100</v>
      </c>
      <c r="T15" s="646" t="s">
        <v>14</v>
      </c>
      <c r="U15" s="647">
        <f t="shared" si="1"/>
        <v>100</v>
      </c>
      <c r="V15" s="646" t="s">
        <v>14</v>
      </c>
      <c r="W15" s="647">
        <f t="shared" si="2"/>
        <v>100</v>
      </c>
      <c r="X15" s="1236"/>
      <c r="Y15" s="3343"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3"/>
      <c r="Q16" s="1234"/>
      <c r="R16" s="646"/>
      <c r="S16" s="647"/>
      <c r="T16" s="646"/>
      <c r="U16" s="647"/>
      <c r="V16" s="646"/>
      <c r="W16" s="647"/>
      <c r="X16" s="1236"/>
      <c r="Y16" s="3344"/>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3"/>
      <c r="Q18" s="1234"/>
      <c r="R18" s="646"/>
      <c r="S18" s="647"/>
      <c r="T18" s="646"/>
      <c r="U18" s="647"/>
      <c r="V18" s="646"/>
      <c r="W18" s="647"/>
      <c r="X18" s="1236"/>
      <c r="Y18" s="3344"/>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3"/>
      <c r="Q20" s="1234"/>
      <c r="R20" s="646"/>
      <c r="S20" s="647"/>
      <c r="T20" s="646"/>
      <c r="U20" s="647"/>
      <c r="V20" s="646"/>
      <c r="W20" s="647"/>
      <c r="X20" s="1236"/>
      <c r="Y20" s="3344"/>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3"/>
      <c r="Q22" s="1234"/>
      <c r="R22" s="646"/>
      <c r="S22" s="647"/>
      <c r="T22" s="646"/>
      <c r="U22" s="647"/>
      <c r="V22" s="646"/>
      <c r="W22" s="647"/>
      <c r="X22" s="1236"/>
      <c r="Y22" s="3344"/>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3"/>
      <c r="Q23" s="1234" t="str">
        <f>B23</f>
        <v>环境质量</v>
      </c>
      <c r="R23" s="646" t="s">
        <v>14</v>
      </c>
      <c r="S23" s="647">
        <f>F23</f>
        <v>100</v>
      </c>
      <c r="T23" s="646" t="s">
        <v>14</v>
      </c>
      <c r="U23" s="647">
        <f>H23</f>
        <v>100</v>
      </c>
      <c r="V23" s="646" t="s">
        <v>14</v>
      </c>
      <c r="W23" s="647">
        <f>J23</f>
        <v>100</v>
      </c>
      <c r="X23" s="1236"/>
      <c r="Y23" s="3344"/>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3"/>
      <c r="Q24" s="1234"/>
      <c r="R24" s="646"/>
      <c r="S24" s="647"/>
      <c r="T24" s="646"/>
      <c r="U24" s="647"/>
      <c r="V24" s="646"/>
      <c r="W24" s="647"/>
      <c r="X24" s="1236"/>
      <c r="Y24" s="3344"/>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3"/>
      <c r="Q25" s="1234" t="str">
        <f>B25</f>
        <v>毗邻道路的类型与等级</v>
      </c>
      <c r="R25" s="646" t="s">
        <v>14</v>
      </c>
      <c r="S25" s="647">
        <f>F25</f>
        <v>100</v>
      </c>
      <c r="T25" s="646" t="s">
        <v>14</v>
      </c>
      <c r="U25" s="647">
        <f>H25</f>
        <v>100</v>
      </c>
      <c r="V25" s="646" t="s">
        <v>14</v>
      </c>
      <c r="W25" s="647">
        <f>J25</f>
        <v>100</v>
      </c>
      <c r="X25" s="1236"/>
      <c r="Y25" s="3344"/>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3"/>
      <c r="Q26" s="1234"/>
      <c r="R26" s="646"/>
      <c r="S26" s="647"/>
      <c r="T26" s="646"/>
      <c r="U26" s="647"/>
      <c r="V26" s="646"/>
      <c r="W26" s="647"/>
      <c r="X26" s="1236"/>
      <c r="Y26" s="3344"/>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3"/>
      <c r="Q27" s="1234" t="str">
        <f t="shared" ref="Q27:Q47" si="11">B27</f>
        <v>楼层</v>
      </c>
      <c r="R27" s="646" t="s">
        <v>14</v>
      </c>
      <c r="S27" s="647">
        <f>F27</f>
        <v>100</v>
      </c>
      <c r="T27" s="646" t="s">
        <v>14</v>
      </c>
      <c r="U27" s="647">
        <f>H27</f>
        <v>100</v>
      </c>
      <c r="V27" s="646" t="s">
        <v>14</v>
      </c>
      <c r="W27" s="647">
        <f>J27</f>
        <v>100</v>
      </c>
      <c r="X27" s="1236"/>
      <c r="Y27" s="3344"/>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3"/>
      <c r="Q28" s="507" t="str">
        <f t="shared" si="11"/>
        <v>朝向</v>
      </c>
      <c r="R28" s="643" t="s">
        <v>14</v>
      </c>
      <c r="S28" s="644">
        <f>F28</f>
        <v>100</v>
      </c>
      <c r="T28" s="643" t="s">
        <v>14</v>
      </c>
      <c r="U28" s="644">
        <f>H28</f>
        <v>100</v>
      </c>
      <c r="V28" s="643" t="s">
        <v>14</v>
      </c>
      <c r="W28" s="644">
        <f>J28</f>
        <v>100</v>
      </c>
      <c r="X28" s="645"/>
      <c r="Y28" s="3344"/>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3"/>
      <c r="Q29" s="1234">
        <f t="shared" si="11"/>
        <v>111</v>
      </c>
      <c r="R29" s="646" t="s">
        <v>14</v>
      </c>
      <c r="S29" s="647">
        <f t="shared" ref="S29:S47" si="12">F29</f>
        <v>100</v>
      </c>
      <c r="T29" s="646" t="s">
        <v>14</v>
      </c>
      <c r="U29" s="647">
        <f t="shared" ref="U29:U47" si="13">H29</f>
        <v>100</v>
      </c>
      <c r="V29" s="646" t="s">
        <v>14</v>
      </c>
      <c r="W29" s="647">
        <f t="shared" ref="W29:W47" si="14">J29</f>
        <v>100</v>
      </c>
      <c r="X29" s="1236"/>
      <c r="Y29" s="3344"/>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44"/>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44"/>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3"/>
      <c r="Q32" s="1234">
        <f t="shared" si="11"/>
        <v>111</v>
      </c>
      <c r="R32" s="646" t="s">
        <v>14</v>
      </c>
      <c r="S32" s="647">
        <f t="shared" si="12"/>
        <v>100</v>
      </c>
      <c r="T32" s="646" t="s">
        <v>14</v>
      </c>
      <c r="U32" s="647">
        <f t="shared" si="13"/>
        <v>100</v>
      </c>
      <c r="V32" s="646" t="s">
        <v>14</v>
      </c>
      <c r="W32" s="647">
        <f t="shared" si="14"/>
        <v>100</v>
      </c>
      <c r="X32" s="1236"/>
      <c r="Y32" s="3344"/>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8" t="s">
        <v>1693</v>
      </c>
      <c r="Q33" s="1234" t="str">
        <f t="shared" si="11"/>
        <v>建筑类型</v>
      </c>
      <c r="R33" s="646" t="s">
        <v>14</v>
      </c>
      <c r="S33" s="647">
        <f t="shared" si="12"/>
        <v>100</v>
      </c>
      <c r="T33" s="646" t="s">
        <v>14</v>
      </c>
      <c r="U33" s="647">
        <f t="shared" si="13"/>
        <v>100</v>
      </c>
      <c r="V33" s="646" t="s">
        <v>14</v>
      </c>
      <c r="W33" s="647">
        <f t="shared" si="14"/>
        <v>100</v>
      </c>
      <c r="X33" s="1236"/>
      <c r="Y33" s="3346"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09"/>
      <c r="Q34" s="508" t="str">
        <f t="shared" si="11"/>
        <v>项目建筑规模</v>
      </c>
      <c r="R34" s="648" t="s">
        <v>14</v>
      </c>
      <c r="S34" s="649" t="e">
        <f t="shared" si="12"/>
        <v>#N/A</v>
      </c>
      <c r="T34" s="648" t="s">
        <v>14</v>
      </c>
      <c r="U34" s="649" t="e">
        <f t="shared" si="13"/>
        <v>#N/A</v>
      </c>
      <c r="V34" s="648" t="s">
        <v>14</v>
      </c>
      <c r="W34" s="649" t="e">
        <f t="shared" si="14"/>
        <v>#N/A</v>
      </c>
      <c r="X34" s="650"/>
      <c r="Y34" s="3346"/>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09"/>
      <c r="Q35" s="1234" t="str">
        <f t="shared" si="11"/>
        <v>建筑结构</v>
      </c>
      <c r="R35" s="646" t="s">
        <v>14</v>
      </c>
      <c r="S35" s="647">
        <f t="shared" si="12"/>
        <v>100</v>
      </c>
      <c r="T35" s="646" t="s">
        <v>14</v>
      </c>
      <c r="U35" s="647">
        <f t="shared" si="13"/>
        <v>100</v>
      </c>
      <c r="V35" s="646" t="s">
        <v>14</v>
      </c>
      <c r="W35" s="647">
        <f t="shared" si="14"/>
        <v>100</v>
      </c>
      <c r="X35" s="1236"/>
      <c r="Y35" s="3346"/>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09"/>
      <c r="Q36" s="1234" t="str">
        <f t="shared" si="11"/>
        <v>公共部分装修</v>
      </c>
      <c r="R36" s="646" t="s">
        <v>14</v>
      </c>
      <c r="S36" s="647">
        <f t="shared" si="12"/>
        <v>100</v>
      </c>
      <c r="T36" s="646" t="s">
        <v>14</v>
      </c>
      <c r="U36" s="647">
        <f t="shared" si="13"/>
        <v>100</v>
      </c>
      <c r="V36" s="646" t="s">
        <v>14</v>
      </c>
      <c r="W36" s="647">
        <f t="shared" si="14"/>
        <v>100</v>
      </c>
      <c r="X36" s="1236"/>
      <c r="Y36" s="3346"/>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09"/>
      <c r="Q37" s="1234" t="str">
        <f t="shared" si="11"/>
        <v>成新度</v>
      </c>
      <c r="R37" s="646" t="s">
        <v>14</v>
      </c>
      <c r="S37" s="647" t="e">
        <f t="shared" si="12"/>
        <v>#N/A</v>
      </c>
      <c r="T37" s="646" t="s">
        <v>14</v>
      </c>
      <c r="U37" s="647" t="e">
        <f t="shared" si="13"/>
        <v>#N/A</v>
      </c>
      <c r="V37" s="646" t="s">
        <v>14</v>
      </c>
      <c r="W37" s="647" t="e">
        <f t="shared" si="14"/>
        <v>#N/A</v>
      </c>
      <c r="X37" s="1236"/>
      <c r="Y37" s="3346"/>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09"/>
      <c r="Q38" s="507" t="str">
        <f t="shared" si="11"/>
        <v>写字楼等级</v>
      </c>
      <c r="R38" s="643" t="s">
        <v>14</v>
      </c>
      <c r="S38" s="644">
        <f t="shared" si="12"/>
        <v>100</v>
      </c>
      <c r="T38" s="643" t="s">
        <v>14</v>
      </c>
      <c r="U38" s="644">
        <f t="shared" si="13"/>
        <v>100</v>
      </c>
      <c r="V38" s="643" t="s">
        <v>14</v>
      </c>
      <c r="W38" s="644">
        <f t="shared" si="14"/>
        <v>100</v>
      </c>
      <c r="X38" s="645"/>
      <c r="Y38" s="3346"/>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09" t="s">
        <v>1693</v>
      </c>
      <c r="Q39" s="1234" t="str">
        <f t="shared" si="11"/>
        <v>物业管理</v>
      </c>
      <c r="R39" s="646" t="s">
        <v>14</v>
      </c>
      <c r="S39" s="647">
        <f t="shared" si="12"/>
        <v>100</v>
      </c>
      <c r="T39" s="646" t="s">
        <v>14</v>
      </c>
      <c r="U39" s="647">
        <f t="shared" si="13"/>
        <v>100</v>
      </c>
      <c r="V39" s="646" t="s">
        <v>14</v>
      </c>
      <c r="W39" s="647">
        <f t="shared" si="14"/>
        <v>100</v>
      </c>
      <c r="X39" s="1236"/>
      <c r="Y39" s="3346"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09"/>
      <c r="Q40" s="1234" t="str">
        <f t="shared" si="11"/>
        <v>市政基础设施</v>
      </c>
      <c r="R40" s="646" t="s">
        <v>14</v>
      </c>
      <c r="S40" s="647">
        <f t="shared" si="12"/>
        <v>100</v>
      </c>
      <c r="T40" s="646" t="s">
        <v>14</v>
      </c>
      <c r="U40" s="647">
        <f t="shared" si="13"/>
        <v>100</v>
      </c>
      <c r="V40" s="646" t="s">
        <v>14</v>
      </c>
      <c r="W40" s="647">
        <f t="shared" si="14"/>
        <v>100</v>
      </c>
      <c r="X40" s="1236"/>
      <c r="Y40" s="3346"/>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09"/>
      <c r="Q41" s="1234" t="str">
        <f t="shared" si="11"/>
        <v>层高</v>
      </c>
      <c r="R41" s="646" t="s">
        <v>14</v>
      </c>
      <c r="S41" s="647">
        <f t="shared" si="12"/>
        <v>100</v>
      </c>
      <c r="T41" s="646" t="s">
        <v>14</v>
      </c>
      <c r="U41" s="647">
        <f t="shared" si="13"/>
        <v>100</v>
      </c>
      <c r="V41" s="646" t="s">
        <v>14</v>
      </c>
      <c r="W41" s="647">
        <f t="shared" si="14"/>
        <v>100</v>
      </c>
      <c r="X41" s="1236"/>
      <c r="Y41" s="3346"/>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09"/>
      <c r="Q42" s="508" t="str">
        <f t="shared" si="11"/>
        <v>单套建筑面积</v>
      </c>
      <c r="R42" s="648" t="s">
        <v>14</v>
      </c>
      <c r="S42" s="649">
        <f t="shared" si="12"/>
        <v>100</v>
      </c>
      <c r="T42" s="648" t="s">
        <v>14</v>
      </c>
      <c r="U42" s="649">
        <f t="shared" si="13"/>
        <v>100</v>
      </c>
      <c r="V42" s="648" t="s">
        <v>14</v>
      </c>
      <c r="W42" s="649">
        <f t="shared" si="14"/>
        <v>100</v>
      </c>
      <c r="X42" s="650"/>
      <c r="Y42" s="3346"/>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09"/>
      <c r="Q43" s="1234" t="str">
        <f t="shared" si="11"/>
        <v>内部装修</v>
      </c>
      <c r="R43" s="646" t="s">
        <v>14</v>
      </c>
      <c r="S43" s="647">
        <f t="shared" si="12"/>
        <v>100</v>
      </c>
      <c r="T43" s="646" t="s">
        <v>14</v>
      </c>
      <c r="U43" s="647">
        <f t="shared" si="13"/>
        <v>100</v>
      </c>
      <c r="V43" s="646" t="s">
        <v>14</v>
      </c>
      <c r="W43" s="647">
        <f t="shared" si="14"/>
        <v>100</v>
      </c>
      <c r="X43" s="1236"/>
      <c r="Y43" s="3346"/>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09"/>
      <c r="Q44" s="1234" t="str">
        <f t="shared" si="11"/>
        <v>内部装修维护情况</v>
      </c>
      <c r="R44" s="646" t="s">
        <v>14</v>
      </c>
      <c r="S44" s="647">
        <f t="shared" si="12"/>
        <v>100</v>
      </c>
      <c r="T44" s="646" t="s">
        <v>14</v>
      </c>
      <c r="U44" s="647">
        <f t="shared" si="13"/>
        <v>100</v>
      </c>
      <c r="V44" s="646" t="s">
        <v>14</v>
      </c>
      <c r="W44" s="647">
        <f t="shared" si="14"/>
        <v>100</v>
      </c>
      <c r="X44" s="1236"/>
      <c r="Y44" s="3346"/>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09"/>
      <c r="Q45" s="507">
        <f t="shared" si="11"/>
        <v>111</v>
      </c>
      <c r="R45" s="643" t="s">
        <v>14</v>
      </c>
      <c r="S45" s="644">
        <f t="shared" si="12"/>
        <v>100</v>
      </c>
      <c r="T45" s="643" t="s">
        <v>14</v>
      </c>
      <c r="U45" s="644">
        <f t="shared" si="13"/>
        <v>100</v>
      </c>
      <c r="V45" s="643" t="s">
        <v>14</v>
      </c>
      <c r="W45" s="644">
        <f t="shared" si="14"/>
        <v>100</v>
      </c>
      <c r="X45" s="645"/>
      <c r="Y45" s="3346"/>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09"/>
      <c r="Q46" s="1234">
        <f t="shared" si="11"/>
        <v>111</v>
      </c>
      <c r="R46" s="646" t="s">
        <v>14</v>
      </c>
      <c r="S46" s="647">
        <f t="shared" si="12"/>
        <v>100</v>
      </c>
      <c r="T46" s="646" t="s">
        <v>14</v>
      </c>
      <c r="U46" s="647">
        <f t="shared" si="13"/>
        <v>100</v>
      </c>
      <c r="V46" s="646" t="s">
        <v>14</v>
      </c>
      <c r="W46" s="647">
        <f t="shared" si="14"/>
        <v>100</v>
      </c>
      <c r="X46" s="1236"/>
      <c r="Y46" s="3346"/>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0"/>
      <c r="Q47" s="1234">
        <f t="shared" si="11"/>
        <v>111</v>
      </c>
      <c r="R47" s="646" t="s">
        <v>14</v>
      </c>
      <c r="S47" s="647">
        <f t="shared" si="12"/>
        <v>100</v>
      </c>
      <c r="T47" s="646" t="s">
        <v>14</v>
      </c>
      <c r="U47" s="647">
        <f t="shared" si="13"/>
        <v>100</v>
      </c>
      <c r="V47" s="646" t="s">
        <v>14</v>
      </c>
      <c r="W47" s="647">
        <f t="shared" si="14"/>
        <v>100</v>
      </c>
      <c r="X47" s="1236"/>
      <c r="Y47" s="3411"/>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63" t="str">
        <f>A48</f>
        <v>成交单价（元/平方米）</v>
      </c>
      <c r="Q48" s="3338"/>
      <c r="R48" s="3342">
        <f>E48</f>
        <v>0</v>
      </c>
      <c r="S48" s="3342"/>
      <c r="T48" s="3342">
        <f>G48</f>
        <v>0</v>
      </c>
      <c r="U48" s="3342"/>
      <c r="V48" s="3342">
        <f>I48</f>
        <v>0</v>
      </c>
      <c r="W48" s="3342"/>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3" t="str">
        <f>A49</f>
        <v>比较价值（元/平方米）</v>
      </c>
      <c r="Q49" s="3338"/>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2024-5</v>
      </c>
      <c r="D59" s="1078">
        <f>EDATE(C59,-1)</f>
        <v>45383</v>
      </c>
      <c r="E59" s="1078">
        <f>EDATE(D59,-1)</f>
        <v>45352</v>
      </c>
      <c r="F59" s="1078">
        <f t="shared" ref="F59:O59" si="16">EDATE(E59,-1)</f>
        <v>45323</v>
      </c>
      <c r="G59" s="1078">
        <f t="shared" si="16"/>
        <v>45292</v>
      </c>
      <c r="H59" s="1078">
        <f t="shared" si="16"/>
        <v>45261</v>
      </c>
      <c r="I59" s="1078">
        <f t="shared" si="16"/>
        <v>45231</v>
      </c>
      <c r="J59" s="1078">
        <f t="shared" si="16"/>
        <v>45200</v>
      </c>
      <c r="K59" s="1078">
        <f t="shared" si="16"/>
        <v>45170</v>
      </c>
      <c r="L59" s="1078">
        <f t="shared" si="16"/>
        <v>45139</v>
      </c>
      <c r="M59" s="1078">
        <f t="shared" si="16"/>
        <v>45108</v>
      </c>
      <c r="N59" s="1078">
        <f t="shared" si="16"/>
        <v>45078</v>
      </c>
      <c r="O59" s="1078">
        <f t="shared" si="16"/>
        <v>45047</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839"/>
      <c r="M4" s="840"/>
      <c r="N4" s="840"/>
      <c r="O4" s="840"/>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839"/>
      <c r="M5" s="840"/>
      <c r="N5" s="840"/>
      <c r="O5" s="840"/>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839"/>
      <c r="M6" s="840"/>
      <c r="N6" s="840"/>
      <c r="O6" s="840"/>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41"/>
      <c r="M7" s="842"/>
      <c r="N7" s="842"/>
      <c r="O7" s="842"/>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40" t="s">
        <v>1680</v>
      </c>
      <c r="Q8" s="3341"/>
      <c r="R8" s="643" t="s">
        <v>14</v>
      </c>
      <c r="S8" s="644">
        <f t="shared" si="0"/>
        <v>100</v>
      </c>
      <c r="T8" s="643" t="s">
        <v>14</v>
      </c>
      <c r="U8" s="644">
        <f t="shared" si="1"/>
        <v>100</v>
      </c>
      <c r="V8" s="643" t="s">
        <v>14</v>
      </c>
      <c r="W8" s="644">
        <f t="shared" si="2"/>
        <v>100</v>
      </c>
      <c r="X8" s="645"/>
      <c r="Y8" s="3340" t="s">
        <v>1680</v>
      </c>
      <c r="Z8" s="3341"/>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8"/>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3" t="s">
        <v>1688</v>
      </c>
      <c r="Q15" s="1234" t="str">
        <f t="shared" si="6"/>
        <v>产业集聚程度</v>
      </c>
      <c r="R15" s="646" t="s">
        <v>14</v>
      </c>
      <c r="S15" s="647">
        <f t="shared" si="0"/>
        <v>100</v>
      </c>
      <c r="T15" s="646" t="s">
        <v>14</v>
      </c>
      <c r="U15" s="647">
        <f t="shared" si="1"/>
        <v>100</v>
      </c>
      <c r="V15" s="646" t="s">
        <v>14</v>
      </c>
      <c r="W15" s="647">
        <f t="shared" si="2"/>
        <v>100</v>
      </c>
      <c r="X15" s="1236"/>
      <c r="Y15" s="3343"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4"/>
      <c r="Q16" s="1234"/>
      <c r="R16" s="646"/>
      <c r="S16" s="647"/>
      <c r="T16" s="646"/>
      <c r="U16" s="647"/>
      <c r="V16" s="646"/>
      <c r="W16" s="647"/>
      <c r="X16" s="1236"/>
      <c r="Y16" s="3344"/>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4"/>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4"/>
      <c r="Q18" s="1234"/>
      <c r="R18" s="646"/>
      <c r="S18" s="647"/>
      <c r="T18" s="646"/>
      <c r="U18" s="647"/>
      <c r="V18" s="646"/>
      <c r="W18" s="647"/>
      <c r="X18" s="1236"/>
      <c r="Y18" s="3344"/>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4"/>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4"/>
      <c r="Q20" s="1234"/>
      <c r="R20" s="646"/>
      <c r="S20" s="647"/>
      <c r="T20" s="646"/>
      <c r="U20" s="647"/>
      <c r="V20" s="646"/>
      <c r="W20" s="647"/>
      <c r="X20" s="1236"/>
      <c r="Y20" s="3344"/>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4"/>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4"/>
      <c r="Q22" s="1234"/>
      <c r="R22" s="646"/>
      <c r="S22" s="647"/>
      <c r="T22" s="646"/>
      <c r="U22" s="647"/>
      <c r="V22" s="646"/>
      <c r="W22" s="647"/>
      <c r="X22" s="1236"/>
      <c r="Y22" s="3344"/>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4"/>
      <c r="Q23" s="1234" t="str">
        <f>B23</f>
        <v>环境质量</v>
      </c>
      <c r="R23" s="646" t="s">
        <v>14</v>
      </c>
      <c r="S23" s="647">
        <f>F23</f>
        <v>100</v>
      </c>
      <c r="T23" s="646" t="s">
        <v>14</v>
      </c>
      <c r="U23" s="647">
        <f>H23</f>
        <v>100</v>
      </c>
      <c r="V23" s="646" t="s">
        <v>14</v>
      </c>
      <c r="W23" s="647">
        <f>J23</f>
        <v>100</v>
      </c>
      <c r="X23" s="1236"/>
      <c r="Y23" s="3344"/>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4"/>
      <c r="Q24" s="1234"/>
      <c r="R24" s="646"/>
      <c r="S24" s="647"/>
      <c r="T24" s="646"/>
      <c r="U24" s="647"/>
      <c r="V24" s="646"/>
      <c r="W24" s="647"/>
      <c r="X24" s="1236"/>
      <c r="Y24" s="3344"/>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4"/>
      <c r="Q25" s="1234">
        <f>B25</f>
        <v>111</v>
      </c>
      <c r="R25" s="646" t="s">
        <v>14</v>
      </c>
      <c r="S25" s="647">
        <f>F25</f>
        <v>100</v>
      </c>
      <c r="T25" s="646" t="s">
        <v>14</v>
      </c>
      <c r="U25" s="647">
        <f>H25</f>
        <v>100</v>
      </c>
      <c r="V25" s="646" t="s">
        <v>14</v>
      </c>
      <c r="W25" s="647">
        <f>J25</f>
        <v>100</v>
      </c>
      <c r="X25" s="1236"/>
      <c r="Y25" s="3344"/>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4"/>
      <c r="Q26" s="1234">
        <f t="shared" ref="Q26:Q40" si="11">B26</f>
        <v>111</v>
      </c>
      <c r="R26" s="646" t="s">
        <v>14</v>
      </c>
      <c r="S26" s="647">
        <f>F26</f>
        <v>100</v>
      </c>
      <c r="T26" s="646" t="s">
        <v>14</v>
      </c>
      <c r="U26" s="647">
        <f>H26</f>
        <v>100</v>
      </c>
      <c r="V26" s="646" t="s">
        <v>14</v>
      </c>
      <c r="W26" s="647">
        <f>J26</f>
        <v>100</v>
      </c>
      <c r="X26" s="1236"/>
      <c r="Y26" s="3344"/>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4"/>
      <c r="Q27" s="507">
        <f t="shared" si="11"/>
        <v>111</v>
      </c>
      <c r="R27" s="643" t="s">
        <v>14</v>
      </c>
      <c r="S27" s="644">
        <f>F27</f>
        <v>100</v>
      </c>
      <c r="T27" s="643" t="s">
        <v>14</v>
      </c>
      <c r="U27" s="644">
        <f>H27</f>
        <v>100</v>
      </c>
      <c r="V27" s="643" t="s">
        <v>14</v>
      </c>
      <c r="W27" s="644">
        <f>J27</f>
        <v>100</v>
      </c>
      <c r="X27" s="645"/>
      <c r="Y27" s="3344"/>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4"/>
      <c r="Q28" s="1234">
        <f t="shared" si="11"/>
        <v>111</v>
      </c>
      <c r="R28" s="646" t="s">
        <v>14</v>
      </c>
      <c r="S28" s="647">
        <f t="shared" ref="S28:S40" si="12">F28</f>
        <v>100</v>
      </c>
      <c r="T28" s="646" t="s">
        <v>14</v>
      </c>
      <c r="U28" s="647">
        <f t="shared" ref="U28:U40" si="13">H28</f>
        <v>100</v>
      </c>
      <c r="V28" s="646" t="s">
        <v>14</v>
      </c>
      <c r="W28" s="647">
        <f t="shared" ref="W28:W40" si="14">J28</f>
        <v>100</v>
      </c>
      <c r="X28" s="1236"/>
      <c r="Y28" s="3344"/>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5" t="s">
        <v>1693</v>
      </c>
      <c r="Q29" s="1234" t="str">
        <f t="shared" si="11"/>
        <v>建筑类型</v>
      </c>
      <c r="R29" s="646" t="s">
        <v>14</v>
      </c>
      <c r="S29" s="647">
        <f t="shared" si="12"/>
        <v>100</v>
      </c>
      <c r="T29" s="646" t="s">
        <v>14</v>
      </c>
      <c r="U29" s="647">
        <f t="shared" si="13"/>
        <v>100</v>
      </c>
      <c r="V29" s="646" t="s">
        <v>14</v>
      </c>
      <c r="W29" s="647">
        <f t="shared" si="14"/>
        <v>100</v>
      </c>
      <c r="X29" s="1236"/>
      <c r="Y29" s="3346"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6"/>
      <c r="Q30" s="508" t="str">
        <f t="shared" si="11"/>
        <v>项目建筑规模</v>
      </c>
      <c r="R30" s="648" t="s">
        <v>14</v>
      </c>
      <c r="S30" s="649" t="e">
        <f t="shared" si="12"/>
        <v>#N/A</v>
      </c>
      <c r="T30" s="648" t="s">
        <v>14</v>
      </c>
      <c r="U30" s="649" t="e">
        <f t="shared" si="13"/>
        <v>#N/A</v>
      </c>
      <c r="V30" s="648" t="s">
        <v>14</v>
      </c>
      <c r="W30" s="649" t="e">
        <f t="shared" si="14"/>
        <v>#N/A</v>
      </c>
      <c r="X30" s="650"/>
      <c r="Y30" s="3346"/>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6"/>
      <c r="Q31" s="1234" t="str">
        <f t="shared" si="11"/>
        <v>建筑结构</v>
      </c>
      <c r="R31" s="646" t="s">
        <v>14</v>
      </c>
      <c r="S31" s="647">
        <f t="shared" si="12"/>
        <v>100</v>
      </c>
      <c r="T31" s="646" t="s">
        <v>14</v>
      </c>
      <c r="U31" s="647">
        <f t="shared" si="13"/>
        <v>100</v>
      </c>
      <c r="V31" s="646" t="s">
        <v>14</v>
      </c>
      <c r="W31" s="647">
        <f t="shared" si="14"/>
        <v>100</v>
      </c>
      <c r="X31" s="1236"/>
      <c r="Y31" s="3346"/>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6"/>
      <c r="Q32" s="1234" t="str">
        <f t="shared" si="11"/>
        <v>公共部分装修</v>
      </c>
      <c r="R32" s="646" t="s">
        <v>14</v>
      </c>
      <c r="S32" s="647">
        <f t="shared" si="12"/>
        <v>100</v>
      </c>
      <c r="T32" s="646" t="s">
        <v>14</v>
      </c>
      <c r="U32" s="647">
        <f t="shared" si="13"/>
        <v>100</v>
      </c>
      <c r="V32" s="646" t="s">
        <v>14</v>
      </c>
      <c r="W32" s="647">
        <f t="shared" si="14"/>
        <v>100</v>
      </c>
      <c r="X32" s="1236"/>
      <c r="Y32" s="3346"/>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6"/>
      <c r="Q33" s="1234" t="str">
        <f t="shared" si="11"/>
        <v>成新度</v>
      </c>
      <c r="R33" s="646" t="s">
        <v>14</v>
      </c>
      <c r="S33" s="647" t="e">
        <f t="shared" si="12"/>
        <v>#N/A</v>
      </c>
      <c r="T33" s="646" t="s">
        <v>14</v>
      </c>
      <c r="U33" s="647" t="e">
        <f t="shared" si="13"/>
        <v>#N/A</v>
      </c>
      <c r="V33" s="646" t="s">
        <v>14</v>
      </c>
      <c r="W33" s="647" t="e">
        <f t="shared" si="14"/>
        <v>#N/A</v>
      </c>
      <c r="X33" s="1236"/>
      <c r="Y33" s="3346"/>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6"/>
      <c r="Q34" s="507" t="str">
        <f t="shared" si="11"/>
        <v>物业管理</v>
      </c>
      <c r="R34" s="643" t="s">
        <v>14</v>
      </c>
      <c r="S34" s="644">
        <f t="shared" si="12"/>
        <v>100</v>
      </c>
      <c r="T34" s="643" t="s">
        <v>14</v>
      </c>
      <c r="U34" s="644">
        <f t="shared" si="13"/>
        <v>100</v>
      </c>
      <c r="V34" s="643" t="s">
        <v>14</v>
      </c>
      <c r="W34" s="644">
        <f t="shared" si="14"/>
        <v>100</v>
      </c>
      <c r="X34" s="645"/>
      <c r="Y34" s="3346"/>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6" t="s">
        <v>1693</v>
      </c>
      <c r="Q35" s="1234" t="str">
        <f t="shared" si="11"/>
        <v>市政基础设施</v>
      </c>
      <c r="R35" s="646" t="s">
        <v>14</v>
      </c>
      <c r="S35" s="647">
        <f t="shared" si="12"/>
        <v>100</v>
      </c>
      <c r="T35" s="646" t="s">
        <v>14</v>
      </c>
      <c r="U35" s="647">
        <f t="shared" si="13"/>
        <v>100</v>
      </c>
      <c r="V35" s="646" t="s">
        <v>14</v>
      </c>
      <c r="W35" s="647">
        <f t="shared" si="14"/>
        <v>100</v>
      </c>
      <c r="X35" s="1236"/>
      <c r="Y35" s="3346"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6"/>
      <c r="Q36" s="1234" t="str">
        <f t="shared" si="11"/>
        <v>内部装修</v>
      </c>
      <c r="R36" s="646" t="s">
        <v>14</v>
      </c>
      <c r="S36" s="647">
        <f t="shared" si="12"/>
        <v>100</v>
      </c>
      <c r="T36" s="646" t="s">
        <v>14</v>
      </c>
      <c r="U36" s="647">
        <f t="shared" si="13"/>
        <v>100</v>
      </c>
      <c r="V36" s="646" t="s">
        <v>14</v>
      </c>
      <c r="W36" s="647">
        <f t="shared" si="14"/>
        <v>100</v>
      </c>
      <c r="X36" s="1236"/>
      <c r="Y36" s="3346"/>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6"/>
      <c r="Q37" s="1234" t="str">
        <f t="shared" si="11"/>
        <v>内部装修状况</v>
      </c>
      <c r="R37" s="646" t="s">
        <v>14</v>
      </c>
      <c r="S37" s="647">
        <f t="shared" si="12"/>
        <v>100</v>
      </c>
      <c r="T37" s="646" t="s">
        <v>14</v>
      </c>
      <c r="U37" s="647">
        <f t="shared" si="13"/>
        <v>100</v>
      </c>
      <c r="V37" s="646" t="s">
        <v>14</v>
      </c>
      <c r="W37" s="647">
        <f t="shared" si="14"/>
        <v>100</v>
      </c>
      <c r="X37" s="1236"/>
      <c r="Y37" s="3346"/>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6"/>
      <c r="Q38" s="508">
        <f t="shared" si="11"/>
        <v>111</v>
      </c>
      <c r="R38" s="648" t="s">
        <v>14</v>
      </c>
      <c r="S38" s="649">
        <f t="shared" si="12"/>
        <v>100</v>
      </c>
      <c r="T38" s="648" t="s">
        <v>14</v>
      </c>
      <c r="U38" s="649">
        <f t="shared" si="13"/>
        <v>100</v>
      </c>
      <c r="V38" s="648" t="s">
        <v>14</v>
      </c>
      <c r="W38" s="649">
        <f t="shared" si="14"/>
        <v>100</v>
      </c>
      <c r="X38" s="650"/>
      <c r="Y38" s="3346"/>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6"/>
      <c r="Q39" s="1234">
        <f t="shared" si="11"/>
        <v>111</v>
      </c>
      <c r="R39" s="646" t="s">
        <v>14</v>
      </c>
      <c r="S39" s="647">
        <f t="shared" si="12"/>
        <v>100</v>
      </c>
      <c r="T39" s="646" t="s">
        <v>14</v>
      </c>
      <c r="U39" s="647">
        <f t="shared" si="13"/>
        <v>100</v>
      </c>
      <c r="V39" s="646" t="s">
        <v>14</v>
      </c>
      <c r="W39" s="647">
        <f t="shared" si="14"/>
        <v>100</v>
      </c>
      <c r="X39" s="1236"/>
      <c r="Y39" s="3346"/>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1"/>
      <c r="Q40" s="1234">
        <f t="shared" si="11"/>
        <v>111</v>
      </c>
      <c r="R40" s="646" t="s">
        <v>14</v>
      </c>
      <c r="S40" s="647">
        <f t="shared" si="12"/>
        <v>100</v>
      </c>
      <c r="T40" s="646" t="s">
        <v>14</v>
      </c>
      <c r="U40" s="647">
        <f t="shared" si="13"/>
        <v>100</v>
      </c>
      <c r="V40" s="646" t="s">
        <v>14</v>
      </c>
      <c r="W40" s="647">
        <f t="shared" si="14"/>
        <v>100</v>
      </c>
      <c r="X40" s="1236"/>
      <c r="Y40" s="3411"/>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38" t="str">
        <f>A41</f>
        <v>成交单价（元/平方米）</v>
      </c>
      <c r="Q41" s="3338"/>
      <c r="R41" s="3342">
        <f>E41</f>
        <v>0</v>
      </c>
      <c r="S41" s="3342"/>
      <c r="T41" s="3342">
        <f>G41</f>
        <v>0</v>
      </c>
      <c r="U41" s="3342"/>
      <c r="V41" s="3342">
        <f>I41</f>
        <v>0</v>
      </c>
      <c r="W41" s="3342"/>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8" t="str">
        <f>A42</f>
        <v>比较价值（元/平方米）</v>
      </c>
      <c r="Q42" s="3338"/>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35" t="str">
        <f>A43</f>
        <v>估价对象XX用房的比较价值（楼面单价，元/平方米）</v>
      </c>
      <c r="Q43" s="3336"/>
      <c r="R43" s="3407" t="e">
        <f>IF(F1="售价",ROUND(IF(D42="简单平均",AVERAGE(R42:V42),R42*F42+T42*H42+V42*J42),0),ROUND(IF(D42="简单平均",AVERAGE(R42:V42),R42*F42+T42*H42+V42*J42),1))</f>
        <v>#DIV/0!</v>
      </c>
      <c r="S43" s="3407"/>
      <c r="T43" s="3407"/>
      <c r="U43" s="3407"/>
      <c r="V43" s="3407"/>
      <c r="W43" s="3407"/>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2024-5</v>
      </c>
      <c r="D52" s="1078">
        <f>EDATE(C52,-1)</f>
        <v>45383</v>
      </c>
      <c r="E52" s="1078">
        <f t="shared" ref="E52:O52" si="16">EDATE(D52,-1)</f>
        <v>45352</v>
      </c>
      <c r="F52" s="1078">
        <f t="shared" si="16"/>
        <v>45323</v>
      </c>
      <c r="G52" s="1078">
        <f t="shared" si="16"/>
        <v>45292</v>
      </c>
      <c r="H52" s="1078">
        <f t="shared" si="16"/>
        <v>45261</v>
      </c>
      <c r="I52" s="1078">
        <f t="shared" si="16"/>
        <v>45231</v>
      </c>
      <c r="J52" s="1078">
        <f t="shared" si="16"/>
        <v>45200</v>
      </c>
      <c r="K52" s="1078">
        <f t="shared" si="16"/>
        <v>45170</v>
      </c>
      <c r="L52" s="1078">
        <f t="shared" si="16"/>
        <v>45139</v>
      </c>
      <c r="M52" s="1078">
        <f t="shared" si="16"/>
        <v>45108</v>
      </c>
      <c r="N52" s="1078">
        <f t="shared" si="16"/>
        <v>45078</v>
      </c>
      <c r="O52" s="1078">
        <f t="shared" si="16"/>
        <v>45047</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40" t="s">
        <v>1677</v>
      </c>
      <c r="Q7" s="3372"/>
      <c r="R7" s="643" t="s">
        <v>14</v>
      </c>
      <c r="S7" s="644">
        <f t="shared" ref="S7:S14" si="0">F7</f>
        <v>0</v>
      </c>
      <c r="T7" s="643" t="s">
        <v>14</v>
      </c>
      <c r="U7" s="644">
        <f t="shared" ref="U7:U14" si="1">H7</f>
        <v>0</v>
      </c>
      <c r="V7" s="643" t="s">
        <v>14</v>
      </c>
      <c r="W7" s="644">
        <f t="shared" ref="W7:W14"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8" t="s">
        <v>1683</v>
      </c>
      <c r="Q9" s="507" t="str">
        <f t="shared" ref="Q9:Q14" si="6">B9</f>
        <v>用途</v>
      </c>
      <c r="R9" s="643" t="s">
        <v>14</v>
      </c>
      <c r="S9" s="644">
        <f t="shared" si="0"/>
        <v>100</v>
      </c>
      <c r="T9" s="643" t="s">
        <v>14</v>
      </c>
      <c r="U9" s="644">
        <f t="shared" si="1"/>
        <v>100</v>
      </c>
      <c r="V9" s="643" t="s">
        <v>14</v>
      </c>
      <c r="W9" s="644">
        <f t="shared" si="2"/>
        <v>100</v>
      </c>
      <c r="X9" s="645"/>
      <c r="Y9" s="3308"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8"/>
      <c r="Q11" s="507">
        <f t="shared" si="6"/>
        <v>111</v>
      </c>
      <c r="R11" s="643" t="s">
        <v>14</v>
      </c>
      <c r="S11" s="644">
        <f t="shared" si="0"/>
        <v>100</v>
      </c>
      <c r="T11" s="643" t="s">
        <v>14</v>
      </c>
      <c r="U11" s="644">
        <f t="shared" si="1"/>
        <v>100</v>
      </c>
      <c r="V11" s="643" t="s">
        <v>14</v>
      </c>
      <c r="W11" s="644">
        <f t="shared" si="2"/>
        <v>100</v>
      </c>
      <c r="X11" s="645"/>
      <c r="Y11" s="3308"/>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3" t="s">
        <v>1688</v>
      </c>
      <c r="Q14" s="1234" t="str">
        <f t="shared" si="6"/>
        <v>交通便捷度</v>
      </c>
      <c r="R14" s="646" t="s">
        <v>14</v>
      </c>
      <c r="S14" s="647">
        <f t="shared" si="0"/>
        <v>100</v>
      </c>
      <c r="T14" s="646" t="s">
        <v>14</v>
      </c>
      <c r="U14" s="647">
        <f t="shared" si="1"/>
        <v>100</v>
      </c>
      <c r="V14" s="646" t="s">
        <v>14</v>
      </c>
      <c r="W14" s="647">
        <f t="shared" si="2"/>
        <v>100</v>
      </c>
      <c r="X14" s="1236"/>
      <c r="Y14" s="3343"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4"/>
      <c r="Q15" s="1234"/>
      <c r="R15" s="646"/>
      <c r="S15" s="647"/>
      <c r="T15" s="646"/>
      <c r="U15" s="647"/>
      <c r="V15" s="646"/>
      <c r="W15" s="647"/>
      <c r="X15" s="1236"/>
      <c r="Y15" s="3344"/>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4"/>
      <c r="Q16" s="1234" t="str">
        <f>B16</f>
        <v>公共配套设施</v>
      </c>
      <c r="R16" s="646" t="s">
        <v>14</v>
      </c>
      <c r="S16" s="647">
        <f>F16</f>
        <v>100</v>
      </c>
      <c r="T16" s="646" t="s">
        <v>14</v>
      </c>
      <c r="U16" s="647">
        <f>H16</f>
        <v>100</v>
      </c>
      <c r="V16" s="646" t="s">
        <v>14</v>
      </c>
      <c r="W16" s="647">
        <f>J16</f>
        <v>100</v>
      </c>
      <c r="X16" s="1236"/>
      <c r="Y16" s="3344"/>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4"/>
      <c r="Q17" s="1234"/>
      <c r="R17" s="646"/>
      <c r="S17" s="647"/>
      <c r="T17" s="646"/>
      <c r="U17" s="647"/>
      <c r="V17" s="646"/>
      <c r="W17" s="647"/>
      <c r="X17" s="1236"/>
      <c r="Y17" s="3344"/>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4"/>
      <c r="Q18" s="1234" t="str">
        <f>B18</f>
        <v>基础设施水平</v>
      </c>
      <c r="R18" s="646" t="s">
        <v>14</v>
      </c>
      <c r="S18" s="647">
        <f>F18</f>
        <v>100</v>
      </c>
      <c r="T18" s="646" t="s">
        <v>14</v>
      </c>
      <c r="U18" s="647">
        <f>H18</f>
        <v>100</v>
      </c>
      <c r="V18" s="646" t="s">
        <v>14</v>
      </c>
      <c r="W18" s="647">
        <f>J18</f>
        <v>100</v>
      </c>
      <c r="X18" s="1236"/>
      <c r="Y18" s="3344"/>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4"/>
      <c r="Q19" s="1234"/>
      <c r="R19" s="646"/>
      <c r="S19" s="647"/>
      <c r="T19" s="646"/>
      <c r="U19" s="647"/>
      <c r="V19" s="646"/>
      <c r="W19" s="647"/>
      <c r="X19" s="1236"/>
      <c r="Y19" s="3344"/>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4"/>
      <c r="Q20" s="1234" t="str">
        <f>B20</f>
        <v>自然及人文环境</v>
      </c>
      <c r="R20" s="646" t="s">
        <v>14</v>
      </c>
      <c r="S20" s="647">
        <f>F20</f>
        <v>100</v>
      </c>
      <c r="T20" s="646" t="s">
        <v>14</v>
      </c>
      <c r="U20" s="647">
        <f>H20</f>
        <v>100</v>
      </c>
      <c r="V20" s="646" t="s">
        <v>14</v>
      </c>
      <c r="W20" s="647">
        <f>J20</f>
        <v>100</v>
      </c>
      <c r="X20" s="1236"/>
      <c r="Y20" s="3344"/>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4"/>
      <c r="Q21" s="1234"/>
      <c r="R21" s="646"/>
      <c r="S21" s="647"/>
      <c r="T21" s="646"/>
      <c r="U21" s="647"/>
      <c r="V21" s="646"/>
      <c r="W21" s="647"/>
      <c r="X21" s="1236"/>
      <c r="Y21" s="3344"/>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4"/>
      <c r="Q22" s="1234" t="str">
        <f>B22</f>
        <v>楼层</v>
      </c>
      <c r="R22" s="646" t="s">
        <v>14</v>
      </c>
      <c r="S22" s="647">
        <f>F22</f>
        <v>100</v>
      </c>
      <c r="T22" s="646" t="s">
        <v>14</v>
      </c>
      <c r="U22" s="647">
        <f>H22</f>
        <v>100</v>
      </c>
      <c r="V22" s="646" t="s">
        <v>14</v>
      </c>
      <c r="W22" s="647">
        <f>J22</f>
        <v>100</v>
      </c>
      <c r="X22" s="1236"/>
      <c r="Y22" s="3344"/>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4"/>
      <c r="Q23" s="1234">
        <f>B23</f>
        <v>111</v>
      </c>
      <c r="R23" s="646" t="s">
        <v>14</v>
      </c>
      <c r="S23" s="647">
        <f>F23</f>
        <v>100</v>
      </c>
      <c r="T23" s="646" t="s">
        <v>14</v>
      </c>
      <c r="U23" s="647">
        <f>H23</f>
        <v>100</v>
      </c>
      <c r="V23" s="646" t="s">
        <v>14</v>
      </c>
      <c r="W23" s="647">
        <f>J23</f>
        <v>100</v>
      </c>
      <c r="X23" s="1236"/>
      <c r="Y23" s="3344"/>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4"/>
      <c r="Q24" s="1234">
        <f t="shared" ref="Q24:Q36" si="11">B24</f>
        <v>111</v>
      </c>
      <c r="R24" s="646" t="s">
        <v>14</v>
      </c>
      <c r="S24" s="647">
        <f>F24</f>
        <v>100</v>
      </c>
      <c r="T24" s="646" t="s">
        <v>14</v>
      </c>
      <c r="U24" s="647">
        <f>H24</f>
        <v>100</v>
      </c>
      <c r="V24" s="646" t="s">
        <v>14</v>
      </c>
      <c r="W24" s="647">
        <f>J24</f>
        <v>100</v>
      </c>
      <c r="X24" s="1236"/>
      <c r="Y24" s="3344"/>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4"/>
      <c r="Q25" s="507">
        <f t="shared" si="11"/>
        <v>111</v>
      </c>
      <c r="R25" s="643" t="s">
        <v>14</v>
      </c>
      <c r="S25" s="644">
        <f>F25</f>
        <v>100</v>
      </c>
      <c r="T25" s="643" t="s">
        <v>14</v>
      </c>
      <c r="U25" s="644">
        <f>H25</f>
        <v>100</v>
      </c>
      <c r="V25" s="643" t="s">
        <v>14</v>
      </c>
      <c r="W25" s="644">
        <f>J25</f>
        <v>100</v>
      </c>
      <c r="X25" s="645"/>
      <c r="Y25" s="3344"/>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5"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6"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6"/>
      <c r="Q27" s="508" t="str">
        <f t="shared" si="11"/>
        <v>项目停车位配比</v>
      </c>
      <c r="R27" s="648" t="s">
        <v>14</v>
      </c>
      <c r="S27" s="649">
        <f t="shared" si="12"/>
        <v>100</v>
      </c>
      <c r="T27" s="648" t="s">
        <v>14</v>
      </c>
      <c r="U27" s="649">
        <f t="shared" si="13"/>
        <v>100</v>
      </c>
      <c r="V27" s="648" t="s">
        <v>14</v>
      </c>
      <c r="W27" s="649">
        <f t="shared" si="14"/>
        <v>100</v>
      </c>
      <c r="X27" s="650"/>
      <c r="Y27" s="3346"/>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6"/>
      <c r="Q28" s="1234" t="str">
        <f t="shared" si="11"/>
        <v>公共部分装修</v>
      </c>
      <c r="R28" s="646" t="s">
        <v>14</v>
      </c>
      <c r="S28" s="647">
        <f t="shared" si="12"/>
        <v>100</v>
      </c>
      <c r="T28" s="646" t="s">
        <v>14</v>
      </c>
      <c r="U28" s="647">
        <f t="shared" si="13"/>
        <v>100</v>
      </c>
      <c r="V28" s="646" t="s">
        <v>14</v>
      </c>
      <c r="W28" s="647">
        <f t="shared" si="14"/>
        <v>100</v>
      </c>
      <c r="X28" s="1236"/>
      <c r="Y28" s="3346"/>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6"/>
      <c r="Q29" s="1234" t="str">
        <f t="shared" si="11"/>
        <v>成新率</v>
      </c>
      <c r="R29" s="646" t="s">
        <v>14</v>
      </c>
      <c r="S29" s="647" t="e">
        <f t="shared" si="12"/>
        <v>#N/A</v>
      </c>
      <c r="T29" s="646" t="s">
        <v>14</v>
      </c>
      <c r="U29" s="647" t="e">
        <f t="shared" si="13"/>
        <v>#N/A</v>
      </c>
      <c r="V29" s="646" t="s">
        <v>14</v>
      </c>
      <c r="W29" s="647" t="e">
        <f t="shared" si="14"/>
        <v>#N/A</v>
      </c>
      <c r="X29" s="1236"/>
      <c r="Y29" s="3346"/>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6"/>
      <c r="Q30" s="1234" t="str">
        <f t="shared" si="11"/>
        <v>物业等级</v>
      </c>
      <c r="R30" s="646" t="s">
        <v>14</v>
      </c>
      <c r="S30" s="647">
        <f t="shared" si="12"/>
        <v>100</v>
      </c>
      <c r="T30" s="646" t="s">
        <v>14</v>
      </c>
      <c r="U30" s="647">
        <f t="shared" si="13"/>
        <v>100</v>
      </c>
      <c r="V30" s="646" t="s">
        <v>14</v>
      </c>
      <c r="W30" s="647">
        <f t="shared" si="14"/>
        <v>100</v>
      </c>
      <c r="X30" s="1236"/>
      <c r="Y30" s="3346"/>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6"/>
      <c r="Q31" s="507" t="str">
        <f t="shared" si="11"/>
        <v>停车位面积</v>
      </c>
      <c r="R31" s="643" t="s">
        <v>14</v>
      </c>
      <c r="S31" s="644" t="e">
        <f t="shared" si="12"/>
        <v>#N/A</v>
      </c>
      <c r="T31" s="643" t="s">
        <v>14</v>
      </c>
      <c r="U31" s="644" t="e">
        <f t="shared" si="13"/>
        <v>#N/A</v>
      </c>
      <c r="V31" s="643" t="s">
        <v>14</v>
      </c>
      <c r="W31" s="644" t="e">
        <f t="shared" si="14"/>
        <v>#N/A</v>
      </c>
      <c r="X31" s="645"/>
      <c r="Y31" s="3346"/>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6" t="s">
        <v>1693</v>
      </c>
      <c r="Q32" s="1234" t="str">
        <f t="shared" si="11"/>
        <v>车位类型</v>
      </c>
      <c r="R32" s="646" t="s">
        <v>14</v>
      </c>
      <c r="S32" s="647">
        <f t="shared" si="12"/>
        <v>100</v>
      </c>
      <c r="T32" s="646" t="s">
        <v>14</v>
      </c>
      <c r="U32" s="647">
        <f t="shared" si="13"/>
        <v>100</v>
      </c>
      <c r="V32" s="646" t="s">
        <v>14</v>
      </c>
      <c r="W32" s="647">
        <f t="shared" si="14"/>
        <v>100</v>
      </c>
      <c r="X32" s="1236"/>
      <c r="Y32" s="3346"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6"/>
      <c r="Q33" s="1234" t="str">
        <f t="shared" si="11"/>
        <v>是否直接入户</v>
      </c>
      <c r="R33" s="646" t="s">
        <v>14</v>
      </c>
      <c r="S33" s="647">
        <f t="shared" si="12"/>
        <v>100</v>
      </c>
      <c r="T33" s="646" t="s">
        <v>14</v>
      </c>
      <c r="U33" s="647">
        <f t="shared" si="13"/>
        <v>100</v>
      </c>
      <c r="V33" s="646" t="s">
        <v>14</v>
      </c>
      <c r="W33" s="647">
        <f t="shared" si="14"/>
        <v>100</v>
      </c>
      <c r="X33" s="1236"/>
      <c r="Y33" s="3346"/>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6"/>
      <c r="Q34" s="1234">
        <f t="shared" si="11"/>
        <v>111</v>
      </c>
      <c r="R34" s="646" t="s">
        <v>14</v>
      </c>
      <c r="S34" s="647">
        <f t="shared" si="12"/>
        <v>100</v>
      </c>
      <c r="T34" s="646" t="s">
        <v>14</v>
      </c>
      <c r="U34" s="647">
        <f t="shared" si="13"/>
        <v>100</v>
      </c>
      <c r="V34" s="646" t="s">
        <v>14</v>
      </c>
      <c r="W34" s="647">
        <f t="shared" si="14"/>
        <v>100</v>
      </c>
      <c r="X34" s="1236"/>
      <c r="Y34" s="3346"/>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6"/>
      <c r="Q35" s="508">
        <f t="shared" si="11"/>
        <v>111</v>
      </c>
      <c r="R35" s="648" t="s">
        <v>14</v>
      </c>
      <c r="S35" s="649">
        <f t="shared" si="12"/>
        <v>100</v>
      </c>
      <c r="T35" s="648" t="s">
        <v>14</v>
      </c>
      <c r="U35" s="649">
        <f t="shared" si="13"/>
        <v>100</v>
      </c>
      <c r="V35" s="648" t="s">
        <v>14</v>
      </c>
      <c r="W35" s="649">
        <f t="shared" si="14"/>
        <v>100</v>
      </c>
      <c r="X35" s="650"/>
      <c r="Y35" s="3346"/>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6"/>
      <c r="Q36" s="1234">
        <f t="shared" si="11"/>
        <v>111</v>
      </c>
      <c r="R36" s="646" t="s">
        <v>14</v>
      </c>
      <c r="S36" s="647">
        <f t="shared" si="12"/>
        <v>100</v>
      </c>
      <c r="T36" s="646" t="s">
        <v>14</v>
      </c>
      <c r="U36" s="647">
        <f t="shared" si="13"/>
        <v>100</v>
      </c>
      <c r="V36" s="646" t="s">
        <v>14</v>
      </c>
      <c r="W36" s="647">
        <f t="shared" si="14"/>
        <v>100</v>
      </c>
      <c r="X36" s="1236"/>
      <c r="Y36" s="3346"/>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38" t="str">
        <f>A37</f>
        <v>成交单价</v>
      </c>
      <c r="Q37" s="3338"/>
      <c r="R37" s="3342">
        <f>E37</f>
        <v>0</v>
      </c>
      <c r="S37" s="3342"/>
      <c r="T37" s="3342">
        <f>G37</f>
        <v>0</v>
      </c>
      <c r="U37" s="3342"/>
      <c r="V37" s="3342">
        <f>I37</f>
        <v>0</v>
      </c>
      <c r="W37" s="3342"/>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8" t="str">
        <f>A38</f>
        <v>比较价值（元/平方米）</v>
      </c>
      <c r="Q38" s="3338"/>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35" t="str">
        <f>A39</f>
        <v>估价对象XX用房的比较价值（楼面单价，元/平方米）</v>
      </c>
      <c r="Q39" s="3336"/>
      <c r="R39" s="3429" t="e">
        <f>IF(F1="售价",ROUND(IF(D38="简单平均",AVERAGE(R38:W38),R38*F38+T38*H38+V38*J38),0),ROUND(IF(D38="简单平均",AVERAGE(R38:V38),R38*F38+T38*H38+V38*J38),1))</f>
        <v>#DIV/0!</v>
      </c>
      <c r="S39" s="3429"/>
      <c r="T39" s="3429"/>
      <c r="U39" s="3429"/>
      <c r="V39" s="3429"/>
      <c r="W39" s="3429"/>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2024-5</v>
      </c>
      <c r="D48" s="1078">
        <f>EDATE(C48,-1)</f>
        <v>45383</v>
      </c>
      <c r="E48" s="1078">
        <f t="shared" ref="E48:O48" si="16">EDATE(D48,-1)</f>
        <v>45352</v>
      </c>
      <c r="F48" s="1078">
        <f t="shared" si="16"/>
        <v>45323</v>
      </c>
      <c r="G48" s="1078">
        <f t="shared" si="16"/>
        <v>45292</v>
      </c>
      <c r="H48" s="1078">
        <f t="shared" si="16"/>
        <v>45261</v>
      </c>
      <c r="I48" s="1078">
        <f t="shared" si="16"/>
        <v>45231</v>
      </c>
      <c r="J48" s="1078">
        <f t="shared" si="16"/>
        <v>45200</v>
      </c>
      <c r="K48" s="1078">
        <f t="shared" si="16"/>
        <v>45170</v>
      </c>
      <c r="L48" s="1078">
        <f t="shared" si="16"/>
        <v>45139</v>
      </c>
      <c r="M48" s="1078">
        <f t="shared" si="16"/>
        <v>45108</v>
      </c>
      <c r="N48" s="1078">
        <f t="shared" si="16"/>
        <v>45078</v>
      </c>
      <c r="O48" s="1078">
        <f t="shared" si="16"/>
        <v>45047</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40" t="s">
        <v>1677</v>
      </c>
      <c r="Q7" s="3372"/>
      <c r="R7" s="643" t="s">
        <v>14</v>
      </c>
      <c r="S7" s="644">
        <f t="shared" ref="S7:S14" si="0">F7</f>
        <v>0</v>
      </c>
      <c r="T7" s="643" t="s">
        <v>14</v>
      </c>
      <c r="U7" s="644">
        <f t="shared" ref="U7:U14" si="1">H7</f>
        <v>0</v>
      </c>
      <c r="V7" s="643" t="s">
        <v>14</v>
      </c>
      <c r="W7" s="644">
        <f t="shared" ref="W7:W14"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8" t="s">
        <v>1683</v>
      </c>
      <c r="Q9" s="507" t="str">
        <f t="shared" ref="Q9:Q14" si="6">B9</f>
        <v>用途</v>
      </c>
      <c r="R9" s="643" t="s">
        <v>14</v>
      </c>
      <c r="S9" s="644">
        <f t="shared" si="0"/>
        <v>100</v>
      </c>
      <c r="T9" s="643" t="s">
        <v>14</v>
      </c>
      <c r="U9" s="644">
        <f t="shared" si="1"/>
        <v>100</v>
      </c>
      <c r="V9" s="643" t="s">
        <v>14</v>
      </c>
      <c r="W9" s="644">
        <f t="shared" si="2"/>
        <v>100</v>
      </c>
      <c r="X9" s="645"/>
      <c r="Y9" s="3308"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8"/>
      <c r="Q11" s="507">
        <f t="shared" si="6"/>
        <v>111</v>
      </c>
      <c r="R11" s="643" t="s">
        <v>14</v>
      </c>
      <c r="S11" s="644">
        <f t="shared" si="0"/>
        <v>100</v>
      </c>
      <c r="T11" s="643" t="s">
        <v>14</v>
      </c>
      <c r="U11" s="644">
        <f t="shared" si="1"/>
        <v>100</v>
      </c>
      <c r="V11" s="643" t="s">
        <v>14</v>
      </c>
      <c r="W11" s="644">
        <f t="shared" si="2"/>
        <v>100</v>
      </c>
      <c r="X11" s="645"/>
      <c r="Y11" s="3308"/>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3" t="s">
        <v>1688</v>
      </c>
      <c r="Q14" s="1234" t="str">
        <f t="shared" si="6"/>
        <v>交通便捷度</v>
      </c>
      <c r="R14" s="646" t="s">
        <v>14</v>
      </c>
      <c r="S14" s="647">
        <f t="shared" si="0"/>
        <v>100</v>
      </c>
      <c r="T14" s="646" t="s">
        <v>14</v>
      </c>
      <c r="U14" s="647">
        <f t="shared" si="1"/>
        <v>100</v>
      </c>
      <c r="V14" s="646" t="s">
        <v>14</v>
      </c>
      <c r="W14" s="647">
        <f t="shared" si="2"/>
        <v>100</v>
      </c>
      <c r="X14" s="1236"/>
      <c r="Y14" s="3343"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4"/>
      <c r="Q15" s="1234"/>
      <c r="R15" s="646"/>
      <c r="S15" s="647"/>
      <c r="T15" s="646"/>
      <c r="U15" s="647"/>
      <c r="V15" s="646"/>
      <c r="W15" s="647"/>
      <c r="X15" s="1236"/>
      <c r="Y15" s="3344"/>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4"/>
      <c r="Q16" s="1234" t="str">
        <f>B16</f>
        <v>公共配套设施</v>
      </c>
      <c r="R16" s="646" t="s">
        <v>14</v>
      </c>
      <c r="S16" s="647">
        <f>F16</f>
        <v>100</v>
      </c>
      <c r="T16" s="646" t="s">
        <v>14</v>
      </c>
      <c r="U16" s="647">
        <f>H16</f>
        <v>100</v>
      </c>
      <c r="V16" s="646" t="s">
        <v>14</v>
      </c>
      <c r="W16" s="647">
        <f>J16</f>
        <v>100</v>
      </c>
      <c r="X16" s="1236"/>
      <c r="Y16" s="3344"/>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4"/>
      <c r="Q17" s="1234"/>
      <c r="R17" s="646"/>
      <c r="S17" s="647"/>
      <c r="T17" s="646"/>
      <c r="U17" s="647"/>
      <c r="V17" s="646"/>
      <c r="W17" s="647"/>
      <c r="X17" s="1236"/>
      <c r="Y17" s="3344"/>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4"/>
      <c r="Q18" s="1234" t="str">
        <f>B18</f>
        <v>基础设施水平</v>
      </c>
      <c r="R18" s="646" t="s">
        <v>14</v>
      </c>
      <c r="S18" s="647">
        <f>F18</f>
        <v>100</v>
      </c>
      <c r="T18" s="646" t="s">
        <v>14</v>
      </c>
      <c r="U18" s="647">
        <f>H18</f>
        <v>100</v>
      </c>
      <c r="V18" s="646" t="s">
        <v>14</v>
      </c>
      <c r="W18" s="647">
        <f>J18</f>
        <v>100</v>
      </c>
      <c r="X18" s="1236"/>
      <c r="Y18" s="3344"/>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4"/>
      <c r="Q19" s="1234"/>
      <c r="R19" s="646"/>
      <c r="S19" s="647"/>
      <c r="T19" s="646"/>
      <c r="U19" s="647"/>
      <c r="V19" s="646"/>
      <c r="W19" s="647"/>
      <c r="X19" s="1236"/>
      <c r="Y19" s="3344"/>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4"/>
      <c r="Q20" s="1234" t="str">
        <f>B20</f>
        <v>自然及人文环境</v>
      </c>
      <c r="R20" s="646" t="s">
        <v>14</v>
      </c>
      <c r="S20" s="647">
        <f>F20</f>
        <v>100</v>
      </c>
      <c r="T20" s="646" t="s">
        <v>14</v>
      </c>
      <c r="U20" s="647">
        <f>H20</f>
        <v>100</v>
      </c>
      <c r="V20" s="646" t="s">
        <v>14</v>
      </c>
      <c r="W20" s="647">
        <f>J20</f>
        <v>100</v>
      </c>
      <c r="X20" s="1236"/>
      <c r="Y20" s="3344"/>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4"/>
      <c r="Q21" s="1234"/>
      <c r="R21" s="646"/>
      <c r="S21" s="647"/>
      <c r="T21" s="646"/>
      <c r="U21" s="647"/>
      <c r="V21" s="646"/>
      <c r="W21" s="647"/>
      <c r="X21" s="1236"/>
      <c r="Y21" s="3344"/>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4"/>
      <c r="Q22" s="1234" t="str">
        <f>B22</f>
        <v>楼层</v>
      </c>
      <c r="R22" s="646" t="s">
        <v>14</v>
      </c>
      <c r="S22" s="647">
        <f>F22</f>
        <v>100</v>
      </c>
      <c r="T22" s="646" t="s">
        <v>14</v>
      </c>
      <c r="U22" s="647">
        <f>H22</f>
        <v>100</v>
      </c>
      <c r="V22" s="646" t="s">
        <v>14</v>
      </c>
      <c r="W22" s="647">
        <f>J22</f>
        <v>100</v>
      </c>
      <c r="X22" s="1236"/>
      <c r="Y22" s="3344"/>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4"/>
      <c r="Q23" s="1234">
        <f>B23</f>
        <v>111</v>
      </c>
      <c r="R23" s="646" t="s">
        <v>14</v>
      </c>
      <c r="S23" s="647">
        <f>F23</f>
        <v>100</v>
      </c>
      <c r="T23" s="646" t="s">
        <v>14</v>
      </c>
      <c r="U23" s="647">
        <f>H23</f>
        <v>100</v>
      </c>
      <c r="V23" s="646" t="s">
        <v>14</v>
      </c>
      <c r="W23" s="647">
        <f>J23</f>
        <v>100</v>
      </c>
      <c r="X23" s="1236"/>
      <c r="Y23" s="3344"/>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4"/>
      <c r="Q24" s="1234">
        <f t="shared" ref="Q24:Q34" si="11">B24</f>
        <v>111</v>
      </c>
      <c r="R24" s="646" t="s">
        <v>14</v>
      </c>
      <c r="S24" s="647">
        <f>F24</f>
        <v>100</v>
      </c>
      <c r="T24" s="646" t="s">
        <v>14</v>
      </c>
      <c r="U24" s="647">
        <f>H24</f>
        <v>100</v>
      </c>
      <c r="V24" s="646" t="s">
        <v>14</v>
      </c>
      <c r="W24" s="647">
        <f>J24</f>
        <v>100</v>
      </c>
      <c r="X24" s="1236"/>
      <c r="Y24" s="3344"/>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4"/>
      <c r="Q25" s="507">
        <f t="shared" si="11"/>
        <v>111</v>
      </c>
      <c r="R25" s="643" t="s">
        <v>14</v>
      </c>
      <c r="S25" s="644">
        <f>F25</f>
        <v>100</v>
      </c>
      <c r="T25" s="643" t="s">
        <v>14</v>
      </c>
      <c r="U25" s="644">
        <f>H25</f>
        <v>100</v>
      </c>
      <c r="V25" s="643" t="s">
        <v>14</v>
      </c>
      <c r="W25" s="644">
        <f>J25</f>
        <v>100</v>
      </c>
      <c r="X25" s="645"/>
      <c r="Y25" s="3344"/>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5"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6"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6"/>
      <c r="Q27" s="508" t="str">
        <f t="shared" si="11"/>
        <v>成新率</v>
      </c>
      <c r="R27" s="648" t="s">
        <v>14</v>
      </c>
      <c r="S27" s="649" t="e">
        <f t="shared" si="12"/>
        <v>#N/A</v>
      </c>
      <c r="T27" s="648" t="s">
        <v>14</v>
      </c>
      <c r="U27" s="649" t="e">
        <f t="shared" si="13"/>
        <v>#N/A</v>
      </c>
      <c r="V27" s="648" t="s">
        <v>14</v>
      </c>
      <c r="W27" s="649" t="e">
        <f t="shared" si="14"/>
        <v>#N/A</v>
      </c>
      <c r="X27" s="650"/>
      <c r="Y27" s="3346"/>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6"/>
      <c r="Q28" s="1234" t="str">
        <f t="shared" si="11"/>
        <v>物业等级</v>
      </c>
      <c r="R28" s="646" t="s">
        <v>14</v>
      </c>
      <c r="S28" s="647">
        <f t="shared" si="12"/>
        <v>100</v>
      </c>
      <c r="T28" s="646" t="s">
        <v>14</v>
      </c>
      <c r="U28" s="647">
        <f t="shared" si="13"/>
        <v>100</v>
      </c>
      <c r="V28" s="646" t="s">
        <v>14</v>
      </c>
      <c r="W28" s="647">
        <f t="shared" si="14"/>
        <v>100</v>
      </c>
      <c r="X28" s="1236"/>
      <c r="Y28" s="3346"/>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6"/>
      <c r="Q29" s="1234" t="str">
        <f t="shared" si="11"/>
        <v>有无电梯</v>
      </c>
      <c r="R29" s="646" t="s">
        <v>14</v>
      </c>
      <c r="S29" s="647">
        <f t="shared" si="12"/>
        <v>100</v>
      </c>
      <c r="T29" s="646" t="s">
        <v>14</v>
      </c>
      <c r="U29" s="647">
        <f t="shared" si="13"/>
        <v>100</v>
      </c>
      <c r="V29" s="646" t="s">
        <v>14</v>
      </c>
      <c r="W29" s="647">
        <f t="shared" si="14"/>
        <v>100</v>
      </c>
      <c r="X29" s="1236"/>
      <c r="Y29" s="3346"/>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6"/>
      <c r="Q30" s="1234" t="str">
        <f t="shared" si="11"/>
        <v>建筑面积</v>
      </c>
      <c r="R30" s="646" t="s">
        <v>14</v>
      </c>
      <c r="S30" s="647" t="e">
        <f t="shared" si="12"/>
        <v>#N/A</v>
      </c>
      <c r="T30" s="646" t="s">
        <v>14</v>
      </c>
      <c r="U30" s="647" t="e">
        <f t="shared" si="13"/>
        <v>#N/A</v>
      </c>
      <c r="V30" s="646" t="s">
        <v>14</v>
      </c>
      <c r="W30" s="647" t="e">
        <f t="shared" si="14"/>
        <v>#N/A</v>
      </c>
      <c r="X30" s="1236"/>
      <c r="Y30" s="3346"/>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6"/>
      <c r="Q31" s="507" t="str">
        <f t="shared" si="11"/>
        <v>是否封闭</v>
      </c>
      <c r="R31" s="643" t="s">
        <v>14</v>
      </c>
      <c r="S31" s="644">
        <f t="shared" si="12"/>
        <v>100</v>
      </c>
      <c r="T31" s="643" t="s">
        <v>14</v>
      </c>
      <c r="U31" s="644">
        <f t="shared" si="13"/>
        <v>100</v>
      </c>
      <c r="V31" s="643" t="s">
        <v>14</v>
      </c>
      <c r="W31" s="644">
        <f t="shared" si="14"/>
        <v>100</v>
      </c>
      <c r="X31" s="645"/>
      <c r="Y31" s="3346"/>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6" t="s">
        <v>1693</v>
      </c>
      <c r="Q32" s="1234">
        <f t="shared" si="11"/>
        <v>111</v>
      </c>
      <c r="R32" s="646" t="s">
        <v>14</v>
      </c>
      <c r="S32" s="647">
        <f t="shared" si="12"/>
        <v>100</v>
      </c>
      <c r="T32" s="646" t="s">
        <v>14</v>
      </c>
      <c r="U32" s="647">
        <f t="shared" si="13"/>
        <v>100</v>
      </c>
      <c r="V32" s="646" t="s">
        <v>14</v>
      </c>
      <c r="W32" s="647">
        <f t="shared" si="14"/>
        <v>100</v>
      </c>
      <c r="X32" s="1236"/>
      <c r="Y32" s="3346"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6"/>
      <c r="Q33" s="1234">
        <f t="shared" si="11"/>
        <v>111</v>
      </c>
      <c r="R33" s="646" t="s">
        <v>14</v>
      </c>
      <c r="S33" s="647">
        <f t="shared" si="12"/>
        <v>100</v>
      </c>
      <c r="T33" s="646" t="s">
        <v>14</v>
      </c>
      <c r="U33" s="647">
        <f t="shared" si="13"/>
        <v>100</v>
      </c>
      <c r="V33" s="646" t="s">
        <v>14</v>
      </c>
      <c r="W33" s="647">
        <f t="shared" si="14"/>
        <v>100</v>
      </c>
      <c r="X33" s="1236"/>
      <c r="Y33" s="3346"/>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6"/>
      <c r="Q34" s="1234">
        <f t="shared" si="11"/>
        <v>111</v>
      </c>
      <c r="R34" s="646" t="s">
        <v>14</v>
      </c>
      <c r="S34" s="647">
        <f t="shared" si="12"/>
        <v>100</v>
      </c>
      <c r="T34" s="646" t="s">
        <v>14</v>
      </c>
      <c r="U34" s="647">
        <f t="shared" si="13"/>
        <v>100</v>
      </c>
      <c r="V34" s="646" t="s">
        <v>14</v>
      </c>
      <c r="W34" s="647">
        <f t="shared" si="14"/>
        <v>100</v>
      </c>
      <c r="X34" s="1236"/>
      <c r="Y34" s="3346"/>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38" t="str">
        <f>A35</f>
        <v>成交单价（元/平方米）</v>
      </c>
      <c r="Q35" s="3338"/>
      <c r="R35" s="3342">
        <f>E35</f>
        <v>0</v>
      </c>
      <c r="S35" s="3342"/>
      <c r="T35" s="3342">
        <f>G35</f>
        <v>0</v>
      </c>
      <c r="U35" s="3342"/>
      <c r="V35" s="3342">
        <f>I35</f>
        <v>0</v>
      </c>
      <c r="W35" s="3342"/>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8" t="str">
        <f>A36</f>
        <v>比较价值（元/平方米）</v>
      </c>
      <c r="Q36" s="3338"/>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35" t="str">
        <f>A37</f>
        <v>估价对象XX用房的比较价值（楼面单价，元/平方米）</v>
      </c>
      <c r="Q37" s="3336"/>
      <c r="R37" s="3429" t="e">
        <f>IF(F1="售价",ROUND(IF(D36="简单平均",AVERAGE(R36:W36),R36*F36+T36*H36+V36*J36),0),ROUND(IF(D36="简单平均",AVERAGE(R36:V36),R36*F36+T36*H36+V36*J36),1))</f>
        <v>#DIV/0!</v>
      </c>
      <c r="S37" s="3429"/>
      <c r="T37" s="3429"/>
      <c r="U37" s="3429"/>
      <c r="V37" s="3429"/>
      <c r="W37" s="3429"/>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2024-5</v>
      </c>
      <c r="D46" s="1078">
        <f>EDATE(C46,-1)</f>
        <v>45383</v>
      </c>
      <c r="E46" s="1078">
        <f t="shared" ref="E46:O46" si="16">EDATE(D46,-1)</f>
        <v>45352</v>
      </c>
      <c r="F46" s="1078">
        <f t="shared" si="16"/>
        <v>45323</v>
      </c>
      <c r="G46" s="1078">
        <f t="shared" si="16"/>
        <v>45292</v>
      </c>
      <c r="H46" s="1078">
        <f t="shared" si="16"/>
        <v>45261</v>
      </c>
      <c r="I46" s="1078">
        <f t="shared" si="16"/>
        <v>45231</v>
      </c>
      <c r="J46" s="1078">
        <f t="shared" si="16"/>
        <v>45200</v>
      </c>
      <c r="K46" s="1078">
        <f t="shared" si="16"/>
        <v>45170</v>
      </c>
      <c r="L46" s="1078">
        <f t="shared" si="16"/>
        <v>45139</v>
      </c>
      <c r="M46" s="1078">
        <f t="shared" si="16"/>
        <v>45108</v>
      </c>
      <c r="N46" s="1078">
        <f t="shared" si="16"/>
        <v>45078</v>
      </c>
      <c r="O46" s="1078">
        <f t="shared" si="16"/>
        <v>45047</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3" t="s">
        <v>2080</v>
      </c>
      <c r="D1" s="3434"/>
      <c r="E1" s="3434"/>
      <c r="F1" s="3434"/>
      <c r="G1" s="3434"/>
      <c r="H1" s="3434"/>
      <c r="I1" s="3434"/>
      <c r="J1" s="3434"/>
      <c r="K1" s="3434"/>
      <c r="L1" s="3434"/>
      <c r="M1" s="3434"/>
      <c r="N1" s="3434"/>
      <c r="O1" s="3434"/>
      <c r="P1" s="3434"/>
      <c r="Q1" s="3434"/>
      <c r="R1" s="3434"/>
      <c r="S1" s="3435"/>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0" t="s">
        <v>27</v>
      </c>
      <c r="D22" s="3431"/>
      <c r="E22" s="3431"/>
      <c r="F22" s="3431"/>
      <c r="G22" s="3431"/>
      <c r="H22" s="3431"/>
      <c r="I22" s="3431"/>
      <c r="J22" s="3431"/>
      <c r="K22" s="3431"/>
      <c r="L22" s="3431"/>
      <c r="M22" s="3431"/>
      <c r="N22" s="3431"/>
      <c r="O22" s="3431"/>
      <c r="P22" s="3431"/>
      <c r="Q22" s="3432"/>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1259</v>
      </c>
      <c r="C2" s="1901" t="s">
        <v>2070</v>
      </c>
      <c r="D2" s="1901" t="s">
        <v>2071</v>
      </c>
      <c r="E2" s="2315">
        <f ca="1">SUMIF(E6:E13,"&lt;&gt;#ref!",E6:E13)</f>
        <v>13334.3</v>
      </c>
      <c r="F2" s="2461"/>
      <c r="G2" s="2461"/>
      <c r="H2" s="2461"/>
      <c r="I2" s="2461"/>
      <c r="J2" s="2461"/>
      <c r="K2" s="2461"/>
      <c r="L2" s="2461"/>
      <c r="M2" s="2461"/>
      <c r="N2" s="2461"/>
      <c r="O2" s="2461"/>
      <c r="P2" s="2461"/>
    </row>
    <row r="3" spans="1:16" ht="15.75">
      <c r="A3" s="1901" t="s">
        <v>2072</v>
      </c>
      <c r="B3" s="2305">
        <f ca="1">ROUND(B2*10000/E2,0)</f>
        <v>944</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1259</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3" t="s">
        <v>2607</v>
      </c>
      <c r="B20" s="3436" t="s">
        <v>2628</v>
      </c>
      <c r="C20" s="2759" t="s">
        <v>2439</v>
      </c>
      <c r="D20" s="2760"/>
      <c r="E20" s="2761">
        <v>1</v>
      </c>
      <c r="F20" s="2762" t="s">
        <v>2440</v>
      </c>
      <c r="G20" s="2762"/>
    </row>
    <row r="21" spans="1:13" ht="19.5" customHeight="1">
      <c r="A21" s="3444"/>
      <c r="B21" s="3437"/>
      <c r="C21" s="2763" t="s">
        <v>2441</v>
      </c>
      <c r="D21" s="2764"/>
      <c r="E21" s="2765">
        <v>1</v>
      </c>
      <c r="F21" s="2762" t="s">
        <v>2442</v>
      </c>
      <c r="G21" s="2762"/>
    </row>
    <row r="22" spans="1:13" ht="19.5" customHeight="1">
      <c r="A22" s="3444"/>
      <c r="B22" s="3437"/>
      <c r="C22" s="2763" t="s">
        <v>2443</v>
      </c>
      <c r="D22" s="2764"/>
      <c r="E22" s="2765">
        <v>0.9</v>
      </c>
      <c r="F22" s="2762" t="s">
        <v>2444</v>
      </c>
      <c r="G22" s="2762"/>
    </row>
    <row r="23" spans="1:13" ht="19.5" customHeight="1">
      <c r="A23" s="3444"/>
      <c r="B23" s="3437"/>
      <c r="C23" s="2763" t="s">
        <v>2445</v>
      </c>
      <c r="D23" s="2764"/>
      <c r="E23" s="2765">
        <v>0.9</v>
      </c>
      <c r="F23" s="2762" t="s">
        <v>2446</v>
      </c>
      <c r="G23" s="2762"/>
    </row>
    <row r="24" spans="1:13" ht="19.5" customHeight="1">
      <c r="A24" s="3444"/>
      <c r="B24" s="3437"/>
      <c r="C24" s="2763" t="s">
        <v>2447</v>
      </c>
      <c r="D24" s="2764"/>
      <c r="E24" s="2765">
        <v>0.8</v>
      </c>
      <c r="F24" s="2762" t="s">
        <v>2448</v>
      </c>
      <c r="G24" s="2762"/>
    </row>
    <row r="25" spans="1:13" ht="19.5" customHeight="1" thickBot="1">
      <c r="A25" s="3445"/>
      <c r="B25" s="3438"/>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39" t="s">
        <v>2631</v>
      </c>
      <c r="B27" s="3436" t="s">
        <v>2612</v>
      </c>
      <c r="C27" s="2759" t="s">
        <v>2452</v>
      </c>
      <c r="D27" s="2760"/>
      <c r="E27" s="2761">
        <v>1</v>
      </c>
      <c r="F27" s="2762" t="s">
        <v>2453</v>
      </c>
      <c r="G27" s="2762"/>
    </row>
    <row r="28" spans="1:13" ht="19.5" customHeight="1">
      <c r="A28" s="3440"/>
      <c r="B28" s="3437"/>
      <c r="C28" s="2763" t="s">
        <v>2454</v>
      </c>
      <c r="D28" s="2764"/>
      <c r="E28" s="2765">
        <v>1</v>
      </c>
      <c r="F28" s="2762" t="s">
        <v>2455</v>
      </c>
      <c r="G28" s="2762"/>
    </row>
    <row r="29" spans="1:13" ht="19.5" customHeight="1">
      <c r="A29" s="3440"/>
      <c r="B29" s="3437"/>
      <c r="C29" s="2763" t="s">
        <v>2456</v>
      </c>
      <c r="D29" s="2764"/>
      <c r="E29" s="2765">
        <v>0.8</v>
      </c>
      <c r="F29" s="2762" t="s">
        <v>2457</v>
      </c>
      <c r="G29" s="2762"/>
    </row>
    <row r="30" spans="1:13" ht="19.5" customHeight="1">
      <c r="A30" s="3440"/>
      <c r="B30" s="3437"/>
      <c r="C30" s="2763" t="s">
        <v>2458</v>
      </c>
      <c r="D30" s="2764"/>
      <c r="E30" s="2765">
        <v>0.8</v>
      </c>
      <c r="F30" s="2762" t="s">
        <v>2459</v>
      </c>
      <c r="G30" s="2762"/>
    </row>
    <row r="31" spans="1:13" ht="19.5" customHeight="1">
      <c r="A31" s="3440"/>
      <c r="B31" s="3437"/>
      <c r="C31" s="2763" t="s">
        <v>2460</v>
      </c>
      <c r="D31" s="2764"/>
      <c r="E31" s="2765">
        <v>0.8</v>
      </c>
      <c r="F31" s="2762" t="s">
        <v>2461</v>
      </c>
      <c r="G31" s="2762"/>
    </row>
    <row r="32" spans="1:13" ht="19.5" customHeight="1">
      <c r="A32" s="3440"/>
      <c r="B32" s="3437"/>
      <c r="C32" s="2763" t="s">
        <v>2462</v>
      </c>
      <c r="D32" s="2764"/>
      <c r="E32" s="2765">
        <v>0.7</v>
      </c>
      <c r="F32" s="2762" t="s">
        <v>2463</v>
      </c>
      <c r="G32" s="2762"/>
    </row>
    <row r="33" spans="1:7" ht="19.5" customHeight="1">
      <c r="A33" s="3440"/>
      <c r="B33" s="3437"/>
      <c r="C33" s="2763" t="s">
        <v>2464</v>
      </c>
      <c r="D33" s="2764"/>
      <c r="E33" s="2765">
        <v>0.8</v>
      </c>
      <c r="F33" s="2762" t="s">
        <v>2465</v>
      </c>
      <c r="G33" s="2762"/>
    </row>
    <row r="34" spans="1:7" ht="19.5" customHeight="1">
      <c r="A34" s="3440"/>
      <c r="B34" s="3437"/>
      <c r="C34" s="2763" t="s">
        <v>2466</v>
      </c>
      <c r="D34" s="2764"/>
      <c r="E34" s="2765">
        <v>0.6</v>
      </c>
      <c r="F34" s="2762" t="s">
        <v>2467</v>
      </c>
      <c r="G34" s="2762"/>
    </row>
    <row r="35" spans="1:7" ht="19.5" customHeight="1">
      <c r="A35" s="3440"/>
      <c r="B35" s="3437"/>
      <c r="C35" s="2763" t="s">
        <v>2468</v>
      </c>
      <c r="D35" s="2764"/>
      <c r="E35" s="2765">
        <v>0.2</v>
      </c>
      <c r="F35" s="2762" t="s">
        <v>2469</v>
      </c>
      <c r="G35" s="2762"/>
    </row>
    <row r="36" spans="1:7" ht="19.5" customHeight="1">
      <c r="A36" s="3440"/>
      <c r="B36" s="3437"/>
      <c r="C36" s="2763" t="s">
        <v>2470</v>
      </c>
      <c r="D36" s="2764"/>
      <c r="E36" s="2765">
        <v>0.2</v>
      </c>
      <c r="F36" s="2762" t="s">
        <v>2471</v>
      </c>
      <c r="G36" s="2762"/>
    </row>
    <row r="37" spans="1:7" ht="19.5" customHeight="1">
      <c r="A37" s="3440"/>
      <c r="B37" s="3442" t="s">
        <v>2632</v>
      </c>
      <c r="C37" s="2763" t="s">
        <v>2472</v>
      </c>
      <c r="D37" s="2764"/>
      <c r="E37" s="2765">
        <v>0.6</v>
      </c>
      <c r="F37" s="2762" t="s">
        <v>2473</v>
      </c>
      <c r="G37" s="2762"/>
    </row>
    <row r="38" spans="1:7" ht="19.5" customHeight="1">
      <c r="A38" s="3440"/>
      <c r="B38" s="3437"/>
      <c r="C38" s="2763" t="s">
        <v>2474</v>
      </c>
      <c r="D38" s="2764"/>
      <c r="E38" s="2765">
        <v>0.6</v>
      </c>
      <c r="F38" s="2762" t="s">
        <v>2475</v>
      </c>
      <c r="G38" s="2762"/>
    </row>
    <row r="39" spans="1:7" ht="19.5" customHeight="1" thickBot="1">
      <c r="A39" s="3441"/>
      <c r="B39" s="3438"/>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3" t="s">
        <v>2610</v>
      </c>
      <c r="B41" s="3436" t="s">
        <v>2634</v>
      </c>
      <c r="C41" s="2759" t="s">
        <v>2479</v>
      </c>
      <c r="D41" s="2760"/>
      <c r="E41" s="2761">
        <v>1</v>
      </c>
      <c r="F41" s="2762" t="s">
        <v>2480</v>
      </c>
      <c r="G41" s="2762"/>
    </row>
    <row r="42" spans="1:7" ht="19.5" customHeight="1">
      <c r="A42" s="3444"/>
      <c r="B42" s="3437"/>
      <c r="C42" s="2763" t="s">
        <v>2481</v>
      </c>
      <c r="D42" s="2764"/>
      <c r="E42" s="2765">
        <v>1</v>
      </c>
      <c r="F42" s="2762" t="s">
        <v>2482</v>
      </c>
      <c r="G42" s="2762"/>
    </row>
    <row r="43" spans="1:7" ht="19.5" customHeight="1">
      <c r="A43" s="3444"/>
      <c r="B43" s="3446"/>
      <c r="C43" s="2763" t="s">
        <v>2483</v>
      </c>
      <c r="D43" s="2764"/>
      <c r="E43" s="2765">
        <v>1.5</v>
      </c>
      <c r="F43" s="2762" t="s">
        <v>2484</v>
      </c>
      <c r="G43" s="2762"/>
    </row>
    <row r="44" spans="1:7" ht="19.5" customHeight="1">
      <c r="A44" s="3444"/>
      <c r="B44" s="2774" t="s">
        <v>2635</v>
      </c>
      <c r="C44" s="2763" t="s">
        <v>2636</v>
      </c>
      <c r="D44" s="2764"/>
      <c r="E44" s="2765">
        <v>2</v>
      </c>
      <c r="F44" s="2762" t="s">
        <v>2485</v>
      </c>
      <c r="G44" s="2762"/>
    </row>
    <row r="45" spans="1:7" ht="19.5" customHeight="1">
      <c r="A45" s="3444"/>
      <c r="B45" s="3442" t="s">
        <v>2637</v>
      </c>
      <c r="C45" s="2763" t="s">
        <v>2486</v>
      </c>
      <c r="D45" s="2764"/>
      <c r="E45" s="2765">
        <v>1</v>
      </c>
      <c r="F45" s="2762" t="s">
        <v>2487</v>
      </c>
      <c r="G45" s="2762"/>
    </row>
    <row r="46" spans="1:7" ht="19.5" customHeight="1">
      <c r="A46" s="3444"/>
      <c r="B46" s="3437"/>
      <c r="C46" s="2763" t="s">
        <v>2488</v>
      </c>
      <c r="D46" s="2764"/>
      <c r="E46" s="2765">
        <v>1</v>
      </c>
      <c r="F46" s="2762" t="s">
        <v>2489</v>
      </c>
      <c r="G46" s="2762"/>
    </row>
    <row r="47" spans="1:7" ht="19.5" customHeight="1">
      <c r="A47" s="3444"/>
      <c r="B47" s="3437"/>
      <c r="C47" s="2763" t="s">
        <v>2490</v>
      </c>
      <c r="D47" s="2764"/>
      <c r="E47" s="2765">
        <v>1</v>
      </c>
      <c r="F47" s="2762" t="s">
        <v>2491</v>
      </c>
      <c r="G47" s="2762"/>
    </row>
    <row r="48" spans="1:7" ht="19.5" customHeight="1">
      <c r="A48" s="3444"/>
      <c r="B48" s="3437"/>
      <c r="C48" s="2763" t="s">
        <v>2492</v>
      </c>
      <c r="D48" s="2764"/>
      <c r="E48" s="2765">
        <v>1</v>
      </c>
      <c r="F48" s="2762" t="s">
        <v>2493</v>
      </c>
      <c r="G48" s="2762"/>
    </row>
    <row r="49" spans="1:7" ht="19.5" customHeight="1">
      <c r="A49" s="3444"/>
      <c r="B49" s="3437"/>
      <c r="C49" s="2763" t="s">
        <v>2494</v>
      </c>
      <c r="D49" s="2764"/>
      <c r="E49" s="2765">
        <v>1</v>
      </c>
      <c r="F49" s="2762" t="s">
        <v>2495</v>
      </c>
      <c r="G49" s="2762"/>
    </row>
    <row r="50" spans="1:7" ht="19.5" customHeight="1">
      <c r="A50" s="3444"/>
      <c r="B50" s="3437"/>
      <c r="C50" s="2763" t="s">
        <v>2496</v>
      </c>
      <c r="D50" s="2764"/>
      <c r="E50" s="2765">
        <v>1</v>
      </c>
      <c r="F50" s="2762" t="s">
        <v>2497</v>
      </c>
      <c r="G50" s="2762"/>
    </row>
    <row r="51" spans="1:7" ht="19.5" customHeight="1" thickBot="1">
      <c r="A51" s="3445"/>
      <c r="B51" s="3438"/>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42" t="s">
        <v>2651</v>
      </c>
      <c r="C73" s="2748" t="s">
        <v>2652</v>
      </c>
      <c r="D73" s="2748" t="s">
        <v>2653</v>
      </c>
      <c r="E73" s="2774">
        <v>0.2</v>
      </c>
      <c r="F73" s="2774">
        <v>25</v>
      </c>
    </row>
    <row r="74" spans="1:7" ht="24">
      <c r="A74" s="2774">
        <v>2</v>
      </c>
      <c r="B74" s="3437"/>
      <c r="C74" s="2748" t="s">
        <v>2654</v>
      </c>
      <c r="D74" s="2748" t="s">
        <v>2655</v>
      </c>
      <c r="E74" s="2774">
        <v>0.2</v>
      </c>
      <c r="F74" s="2774">
        <v>25</v>
      </c>
    </row>
    <row r="75" spans="1:7" ht="24">
      <c r="A75" s="2774">
        <v>3</v>
      </c>
      <c r="B75" s="3437"/>
      <c r="C75" s="2748" t="s">
        <v>2656</v>
      </c>
      <c r="D75" s="2748" t="s">
        <v>2657</v>
      </c>
      <c r="E75" s="2774">
        <v>0.2</v>
      </c>
      <c r="F75" s="2774">
        <v>25</v>
      </c>
    </row>
    <row r="76" spans="1:7" ht="13.5">
      <c r="A76" s="2774">
        <v>4</v>
      </c>
      <c r="B76" s="3437"/>
      <c r="C76" s="2748" t="s">
        <v>2658</v>
      </c>
      <c r="D76" s="2748" t="s">
        <v>2659</v>
      </c>
      <c r="E76" s="2774">
        <v>0.15</v>
      </c>
      <c r="F76" s="2774">
        <v>20</v>
      </c>
    </row>
    <row r="77" spans="1:7" ht="24">
      <c r="A77" s="2774">
        <v>5</v>
      </c>
      <c r="B77" s="3437"/>
      <c r="C77" s="2748" t="s">
        <v>2660</v>
      </c>
      <c r="D77" s="2748" t="s">
        <v>2661</v>
      </c>
      <c r="E77" s="2774">
        <v>0.15</v>
      </c>
      <c r="F77" s="2774">
        <v>20</v>
      </c>
    </row>
    <row r="78" spans="1:7" ht="24">
      <c r="A78" s="2774">
        <v>6</v>
      </c>
      <c r="B78" s="3437"/>
      <c r="C78" s="2748" t="s">
        <v>2662</v>
      </c>
      <c r="D78" s="2748" t="s">
        <v>2663</v>
      </c>
      <c r="E78" s="2774">
        <v>0.15</v>
      </c>
      <c r="F78" s="2774">
        <v>20</v>
      </c>
    </row>
    <row r="79" spans="1:7" ht="24">
      <c r="A79" s="2774">
        <v>7</v>
      </c>
      <c r="B79" s="3437"/>
      <c r="C79" s="2748" t="s">
        <v>2664</v>
      </c>
      <c r="D79" s="2748" t="s">
        <v>2665</v>
      </c>
      <c r="E79" s="2774">
        <v>0.15</v>
      </c>
      <c r="F79" s="2774">
        <v>20</v>
      </c>
    </row>
    <row r="80" spans="1:7" ht="24">
      <c r="A80" s="2774">
        <v>8</v>
      </c>
      <c r="B80" s="3437"/>
      <c r="C80" s="2748" t="s">
        <v>2666</v>
      </c>
      <c r="D80" s="2748" t="s">
        <v>2667</v>
      </c>
      <c r="E80" s="2774">
        <v>0.1</v>
      </c>
      <c r="F80" s="2774">
        <v>15</v>
      </c>
    </row>
    <row r="81" spans="1:6" ht="24">
      <c r="A81" s="2774">
        <v>9</v>
      </c>
      <c r="B81" s="3437"/>
      <c r="C81" s="2748" t="s">
        <v>2668</v>
      </c>
      <c r="D81" s="2748" t="s">
        <v>2669</v>
      </c>
      <c r="E81" s="2774">
        <v>0.1</v>
      </c>
      <c r="F81" s="2774">
        <v>15</v>
      </c>
    </row>
    <row r="82" spans="1:6" ht="24">
      <c r="A82" s="2774">
        <v>10</v>
      </c>
      <c r="B82" s="3437"/>
      <c r="C82" s="2748" t="s">
        <v>2670</v>
      </c>
      <c r="D82" s="2748" t="s">
        <v>2671</v>
      </c>
      <c r="E82" s="2774">
        <v>0.1</v>
      </c>
      <c r="F82" s="2774">
        <v>15</v>
      </c>
    </row>
    <row r="83" spans="1:6" ht="24">
      <c r="A83" s="2774">
        <v>11</v>
      </c>
      <c r="B83" s="3437"/>
      <c r="C83" s="2748" t="s">
        <v>2672</v>
      </c>
      <c r="D83" s="2748" t="s">
        <v>2673</v>
      </c>
      <c r="E83" s="2774">
        <v>0.1</v>
      </c>
      <c r="F83" s="2774">
        <v>15</v>
      </c>
    </row>
    <row r="84" spans="1:6" ht="24">
      <c r="A84" s="2774">
        <v>12</v>
      </c>
      <c r="B84" s="3437"/>
      <c r="C84" s="2748" t="s">
        <v>2674</v>
      </c>
      <c r="D84" s="2748" t="s">
        <v>2675</v>
      </c>
      <c r="E84" s="2774">
        <v>0.1</v>
      </c>
      <c r="F84" s="2774">
        <v>15</v>
      </c>
    </row>
    <row r="85" spans="1:6" ht="13.5">
      <c r="A85" s="2774">
        <v>13</v>
      </c>
      <c r="B85" s="3437"/>
      <c r="C85" s="2748" t="s">
        <v>2676</v>
      </c>
      <c r="D85" s="2748" t="s">
        <v>2677</v>
      </c>
      <c r="E85" s="2774">
        <v>0.1</v>
      </c>
      <c r="F85" s="2774">
        <v>15</v>
      </c>
    </row>
    <row r="86" spans="1:6" ht="13.5">
      <c r="A86" s="2774">
        <v>14</v>
      </c>
      <c r="B86" s="3437"/>
      <c r="C86" s="2748" t="s">
        <v>2678</v>
      </c>
      <c r="D86" s="2748" t="s">
        <v>2679</v>
      </c>
      <c r="E86" s="2774">
        <v>0.1</v>
      </c>
      <c r="F86" s="2774">
        <v>15</v>
      </c>
    </row>
    <row r="87" spans="1:6" ht="13.5">
      <c r="A87" s="2774">
        <v>15</v>
      </c>
      <c r="B87" s="3437"/>
      <c r="C87" s="2748" t="s">
        <v>2680</v>
      </c>
      <c r="D87" s="2748" t="s">
        <v>2681</v>
      </c>
      <c r="E87" s="2774">
        <v>0.1</v>
      </c>
      <c r="F87" s="2774">
        <v>15</v>
      </c>
    </row>
    <row r="88" spans="1:6" ht="24">
      <c r="A88" s="2774">
        <v>16</v>
      </c>
      <c r="B88" s="3437"/>
      <c r="C88" s="2748" t="s">
        <v>2682</v>
      </c>
      <c r="D88" s="2748" t="s">
        <v>2683</v>
      </c>
      <c r="E88" s="2774">
        <v>0.1</v>
      </c>
      <c r="F88" s="2774">
        <v>15</v>
      </c>
    </row>
    <row r="89" spans="1:6" ht="24">
      <c r="A89" s="2774">
        <v>17</v>
      </c>
      <c r="B89" s="3446"/>
      <c r="C89" s="2748" t="s">
        <v>2684</v>
      </c>
      <c r="D89" s="2748" t="s">
        <v>2685</v>
      </c>
      <c r="E89" s="2774">
        <v>0.1</v>
      </c>
      <c r="F89" s="2774">
        <v>15</v>
      </c>
    </row>
    <row r="90" spans="1:6" ht="13.5">
      <c r="A90" s="2774">
        <v>18</v>
      </c>
      <c r="B90" s="3442" t="s">
        <v>2686</v>
      </c>
      <c r="C90" s="2748" t="s">
        <v>2687</v>
      </c>
      <c r="D90" s="2748" t="s">
        <v>2688</v>
      </c>
      <c r="E90" s="2774">
        <v>0.2</v>
      </c>
      <c r="F90" s="2774">
        <v>25</v>
      </c>
    </row>
    <row r="91" spans="1:6" ht="24">
      <c r="A91" s="2774">
        <v>19</v>
      </c>
      <c r="B91" s="3437"/>
      <c r="C91" s="2748" t="s">
        <v>2689</v>
      </c>
      <c r="D91" s="2748" t="s">
        <v>2690</v>
      </c>
      <c r="E91" s="2774">
        <v>0.2</v>
      </c>
      <c r="F91" s="2774">
        <v>25</v>
      </c>
    </row>
    <row r="92" spans="1:6" ht="13.5">
      <c r="A92" s="2774">
        <v>20</v>
      </c>
      <c r="B92" s="3437"/>
      <c r="C92" s="2748" t="s">
        <v>2691</v>
      </c>
      <c r="D92" s="2748" t="s">
        <v>2692</v>
      </c>
      <c r="E92" s="2774">
        <v>0.15</v>
      </c>
      <c r="F92" s="2774">
        <v>20</v>
      </c>
    </row>
    <row r="93" spans="1:6" ht="13.5">
      <c r="A93" s="2774">
        <v>21</v>
      </c>
      <c r="B93" s="3437"/>
      <c r="C93" s="2748" t="s">
        <v>2693</v>
      </c>
      <c r="D93" s="2748" t="s">
        <v>2694</v>
      </c>
      <c r="E93" s="2774">
        <v>0.15</v>
      </c>
      <c r="F93" s="2774">
        <v>20</v>
      </c>
    </row>
    <row r="94" spans="1:6" ht="13.5">
      <c r="A94" s="2774">
        <v>22</v>
      </c>
      <c r="B94" s="3437"/>
      <c r="C94" s="2748" t="s">
        <v>2695</v>
      </c>
      <c r="D94" s="2748" t="s">
        <v>2696</v>
      </c>
      <c r="E94" s="2774">
        <v>0.15</v>
      </c>
      <c r="F94" s="2774">
        <v>20</v>
      </c>
    </row>
    <row r="95" spans="1:6" ht="36">
      <c r="A95" s="2774">
        <v>23</v>
      </c>
      <c r="B95" s="3437"/>
      <c r="C95" s="2748" t="s">
        <v>2697</v>
      </c>
      <c r="D95" s="2748" t="s">
        <v>2698</v>
      </c>
      <c r="E95" s="2774">
        <v>0.15</v>
      </c>
      <c r="F95" s="2774">
        <v>20</v>
      </c>
    </row>
    <row r="96" spans="1:6" ht="13.5">
      <c r="A96" s="2774">
        <v>24</v>
      </c>
      <c r="B96" s="3437"/>
      <c r="C96" s="2748" t="s">
        <v>2699</v>
      </c>
      <c r="D96" s="2748" t="s">
        <v>2700</v>
      </c>
      <c r="E96" s="2774">
        <v>0.1</v>
      </c>
      <c r="F96" s="2774">
        <v>15</v>
      </c>
    </row>
    <row r="97" spans="1:6" ht="13.5">
      <c r="A97" s="2774">
        <v>25</v>
      </c>
      <c r="B97" s="3437"/>
      <c r="C97" s="2748" t="s">
        <v>2701</v>
      </c>
      <c r="D97" s="2748" t="s">
        <v>2702</v>
      </c>
      <c r="E97" s="2774">
        <v>0.1</v>
      </c>
      <c r="F97" s="2774">
        <v>15</v>
      </c>
    </row>
    <row r="98" spans="1:6" ht="24">
      <c r="A98" s="2774">
        <v>26</v>
      </c>
      <c r="B98" s="3437"/>
      <c r="C98" s="2748" t="s">
        <v>2703</v>
      </c>
      <c r="D98" s="2748" t="s">
        <v>2704</v>
      </c>
      <c r="E98" s="2774">
        <v>0.1</v>
      </c>
      <c r="F98" s="2774">
        <v>15</v>
      </c>
    </row>
    <row r="99" spans="1:6" ht="24">
      <c r="A99" s="2774">
        <v>27</v>
      </c>
      <c r="B99" s="3437"/>
      <c r="C99" s="2748" t="s">
        <v>2705</v>
      </c>
      <c r="D99" s="2748" t="s">
        <v>2706</v>
      </c>
      <c r="E99" s="2774">
        <v>0.1</v>
      </c>
      <c r="F99" s="2774">
        <v>15</v>
      </c>
    </row>
    <row r="100" spans="1:6" ht="13.5">
      <c r="A100" s="2774">
        <v>28</v>
      </c>
      <c r="B100" s="3437"/>
      <c r="C100" s="2748" t="s">
        <v>2707</v>
      </c>
      <c r="D100" s="2748" t="s">
        <v>2708</v>
      </c>
      <c r="E100" s="2774">
        <v>0.1</v>
      </c>
      <c r="F100" s="2774">
        <v>15</v>
      </c>
    </row>
    <row r="101" spans="1:6" ht="13.5">
      <c r="A101" s="2774">
        <v>29</v>
      </c>
      <c r="B101" s="3437"/>
      <c r="C101" s="2748" t="s">
        <v>2709</v>
      </c>
      <c r="D101" s="2748" t="s">
        <v>2710</v>
      </c>
      <c r="E101" s="2774">
        <v>0.1</v>
      </c>
      <c r="F101" s="2774">
        <v>15</v>
      </c>
    </row>
    <row r="102" spans="1:6" ht="13.5">
      <c r="A102" s="2774">
        <v>30</v>
      </c>
      <c r="B102" s="3437"/>
      <c r="C102" s="2748" t="s">
        <v>2711</v>
      </c>
      <c r="D102" s="2748" t="s">
        <v>2712</v>
      </c>
      <c r="E102" s="2774">
        <v>0.1</v>
      </c>
      <c r="F102" s="2774">
        <v>15</v>
      </c>
    </row>
    <row r="103" spans="1:6" ht="24">
      <c r="A103" s="2774">
        <v>31</v>
      </c>
      <c r="B103" s="3437"/>
      <c r="C103" s="2748" t="s">
        <v>2713</v>
      </c>
      <c r="D103" s="2748" t="s">
        <v>2714</v>
      </c>
      <c r="E103" s="2774">
        <v>0.1</v>
      </c>
      <c r="F103" s="2774">
        <v>15</v>
      </c>
    </row>
    <row r="104" spans="1:6" ht="24">
      <c r="A104" s="2774">
        <v>32</v>
      </c>
      <c r="B104" s="3437"/>
      <c r="C104" s="2748" t="s">
        <v>2715</v>
      </c>
      <c r="D104" s="2748" t="s">
        <v>2716</v>
      </c>
      <c r="E104" s="2774">
        <v>0.1</v>
      </c>
      <c r="F104" s="2774">
        <v>15</v>
      </c>
    </row>
    <row r="105" spans="1:6" ht="24">
      <c r="A105" s="2774">
        <v>33</v>
      </c>
      <c r="B105" s="3437"/>
      <c r="C105" s="2748" t="s">
        <v>2717</v>
      </c>
      <c r="D105" s="2748" t="s">
        <v>2718</v>
      </c>
      <c r="E105" s="2774">
        <v>0.1</v>
      </c>
      <c r="F105" s="2774">
        <v>15</v>
      </c>
    </row>
    <row r="106" spans="1:6" ht="24">
      <c r="A106" s="2774">
        <v>34</v>
      </c>
      <c r="B106" s="3446"/>
      <c r="C106" s="2748" t="s">
        <v>2719</v>
      </c>
      <c r="D106" s="2748" t="s">
        <v>2720</v>
      </c>
      <c r="E106" s="2774">
        <v>0.1</v>
      </c>
      <c r="F106" s="2774">
        <v>15</v>
      </c>
    </row>
    <row r="107" spans="1:6" ht="24">
      <c r="A107" s="2774">
        <v>35</v>
      </c>
      <c r="B107" s="3442" t="s">
        <v>2721</v>
      </c>
      <c r="C107" s="2774" t="s">
        <v>2722</v>
      </c>
      <c r="D107" s="2748" t="s">
        <v>2723</v>
      </c>
      <c r="E107" s="2774">
        <v>0.15</v>
      </c>
      <c r="F107" s="2774">
        <v>20</v>
      </c>
    </row>
    <row r="108" spans="1:6" ht="13.5">
      <c r="A108" s="2774">
        <v>36</v>
      </c>
      <c r="B108" s="3437"/>
      <c r="C108" s="2774" t="s">
        <v>2724</v>
      </c>
      <c r="D108" s="2748" t="s">
        <v>2725</v>
      </c>
      <c r="E108" s="2774">
        <v>0.15</v>
      </c>
      <c r="F108" s="2774">
        <v>20</v>
      </c>
    </row>
    <row r="109" spans="1:6" ht="13.5">
      <c r="A109" s="2774">
        <v>37</v>
      </c>
      <c r="B109" s="3437"/>
      <c r="C109" s="2774" t="s">
        <v>2726</v>
      </c>
      <c r="D109" s="2748" t="s">
        <v>2727</v>
      </c>
      <c r="E109" s="2774">
        <v>0.15</v>
      </c>
      <c r="F109" s="2774">
        <v>20</v>
      </c>
    </row>
    <row r="110" spans="1:6" ht="13.5">
      <c r="A110" s="2774">
        <v>38</v>
      </c>
      <c r="B110" s="3437"/>
      <c r="C110" s="2774" t="s">
        <v>2728</v>
      </c>
      <c r="D110" s="2748" t="s">
        <v>2729</v>
      </c>
      <c r="E110" s="2774">
        <v>0.1</v>
      </c>
      <c r="F110" s="2774">
        <v>15</v>
      </c>
    </row>
    <row r="111" spans="1:6" ht="24">
      <c r="A111" s="2774">
        <v>39</v>
      </c>
      <c r="B111" s="3437"/>
      <c r="C111" s="2774" t="s">
        <v>2730</v>
      </c>
      <c r="D111" s="2748" t="s">
        <v>2731</v>
      </c>
      <c r="E111" s="2774">
        <v>0.1</v>
      </c>
      <c r="F111" s="2774">
        <v>15</v>
      </c>
    </row>
    <row r="112" spans="1:6" ht="24">
      <c r="A112" s="2774">
        <v>40</v>
      </c>
      <c r="B112" s="3446"/>
      <c r="C112" s="2774" t="s">
        <v>2732</v>
      </c>
      <c r="D112" s="2748" t="s">
        <v>2733</v>
      </c>
      <c r="E112" s="2774">
        <v>0.1</v>
      </c>
      <c r="F112" s="2774">
        <v>15</v>
      </c>
    </row>
    <row r="113" spans="1:6" ht="13.5">
      <c r="A113" s="2774">
        <v>41</v>
      </c>
      <c r="B113" s="3447" t="s">
        <v>2734</v>
      </c>
      <c r="C113" s="2774" t="s">
        <v>2735</v>
      </c>
      <c r="D113" s="2748" t="s">
        <v>2736</v>
      </c>
      <c r="E113" s="2774">
        <v>0.1</v>
      </c>
      <c r="F113" s="2774">
        <v>15</v>
      </c>
    </row>
    <row r="114" spans="1:6" ht="13.5">
      <c r="A114" s="2774">
        <v>42</v>
      </c>
      <c r="B114" s="3447"/>
      <c r="C114" s="2774" t="s">
        <v>2737</v>
      </c>
      <c r="D114" s="2748" t="s">
        <v>2738</v>
      </c>
      <c r="E114" s="2774">
        <v>0.1</v>
      </c>
      <c r="F114" s="2774">
        <v>15</v>
      </c>
    </row>
    <row r="115" spans="1:6" ht="24">
      <c r="A115" s="2774">
        <v>43</v>
      </c>
      <c r="B115" s="3447"/>
      <c r="C115" s="2774" t="s">
        <v>2739</v>
      </c>
      <c r="D115" s="2748" t="s">
        <v>2740</v>
      </c>
      <c r="E115" s="2774">
        <v>0.1</v>
      </c>
      <c r="F115" s="2774">
        <v>15</v>
      </c>
    </row>
    <row r="116" spans="1:6" ht="13.5">
      <c r="A116" s="2774">
        <v>44</v>
      </c>
      <c r="B116" s="3442" t="s">
        <v>2741</v>
      </c>
      <c r="C116" s="2774" t="s">
        <v>2742</v>
      </c>
      <c r="D116" s="2748" t="s">
        <v>2743</v>
      </c>
      <c r="E116" s="2774">
        <v>0.1</v>
      </c>
      <c r="F116" s="2774">
        <v>15</v>
      </c>
    </row>
    <row r="117" spans="1:6" ht="24">
      <c r="A117" s="2774">
        <v>45</v>
      </c>
      <c r="B117" s="3446"/>
      <c r="C117" s="2748" t="s">
        <v>2744</v>
      </c>
      <c r="D117" s="2748" t="s">
        <v>2745</v>
      </c>
      <c r="E117" s="2774">
        <v>0.1</v>
      </c>
      <c r="F117" s="2774">
        <v>15</v>
      </c>
    </row>
    <row r="118" spans="1:6" ht="24">
      <c r="A118" s="2774">
        <v>46</v>
      </c>
      <c r="B118" s="3442" t="s">
        <v>2746</v>
      </c>
      <c r="C118" s="2774" t="s">
        <v>2747</v>
      </c>
      <c r="D118" s="2748" t="s">
        <v>2748</v>
      </c>
      <c r="E118" s="2774">
        <v>0.1</v>
      </c>
      <c r="F118" s="2774">
        <v>15</v>
      </c>
    </row>
    <row r="119" spans="1:6" ht="24">
      <c r="A119" s="2774">
        <v>47</v>
      </c>
      <c r="B119" s="3446"/>
      <c r="C119" s="2774" t="s">
        <v>2749</v>
      </c>
      <c r="D119" s="2748" t="s">
        <v>2750</v>
      </c>
      <c r="E119" s="2774">
        <v>0.1</v>
      </c>
      <c r="F119" s="2774">
        <v>15</v>
      </c>
    </row>
    <row r="120" spans="1:6" ht="13.5">
      <c r="A120" s="2774">
        <v>48</v>
      </c>
      <c r="B120" s="3442" t="s">
        <v>2751</v>
      </c>
      <c r="C120" s="2774" t="s">
        <v>2752</v>
      </c>
      <c r="D120" s="2748" t="s">
        <v>2753</v>
      </c>
      <c r="E120" s="2774">
        <v>0.1</v>
      </c>
      <c r="F120" s="2774">
        <v>15</v>
      </c>
    </row>
    <row r="121" spans="1:6" ht="13.5">
      <c r="A121" s="2774">
        <v>49</v>
      </c>
      <c r="B121" s="3446"/>
      <c r="C121" s="2774" t="s">
        <v>2754</v>
      </c>
      <c r="D121" s="2748" t="s">
        <v>2755</v>
      </c>
      <c r="E121" s="2774">
        <v>0.1</v>
      </c>
      <c r="F121" s="2774">
        <v>15</v>
      </c>
    </row>
    <row r="122" spans="1:6" ht="24">
      <c r="A122" s="2774">
        <v>50</v>
      </c>
      <c r="B122" s="3447" t="s">
        <v>2756</v>
      </c>
      <c r="C122" s="2774" t="s">
        <v>2757</v>
      </c>
      <c r="D122" s="2748" t="s">
        <v>2758</v>
      </c>
      <c r="E122" s="2774">
        <v>0.1</v>
      </c>
      <c r="F122" s="2774">
        <v>15</v>
      </c>
    </row>
    <row r="123" spans="1:6" ht="24">
      <c r="A123" s="2774">
        <v>51</v>
      </c>
      <c r="B123" s="3447"/>
      <c r="C123" s="2774" t="s">
        <v>2759</v>
      </c>
      <c r="D123" s="2748" t="s">
        <v>2760</v>
      </c>
      <c r="E123" s="2774">
        <v>0.1</v>
      </c>
      <c r="F123" s="2774">
        <v>15</v>
      </c>
    </row>
    <row r="124" spans="1:6" ht="24">
      <c r="A124" s="2774">
        <v>52</v>
      </c>
      <c r="B124" s="3447" t="s">
        <v>2761</v>
      </c>
      <c r="C124" s="2774" t="s">
        <v>2762</v>
      </c>
      <c r="D124" s="2748" t="s">
        <v>2763</v>
      </c>
      <c r="E124" s="2774">
        <v>0.1</v>
      </c>
      <c r="F124" s="2774">
        <v>15</v>
      </c>
    </row>
    <row r="125" spans="1:6" ht="24">
      <c r="A125" s="2774">
        <v>53</v>
      </c>
      <c r="B125" s="3447"/>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47" t="s">
        <v>2769</v>
      </c>
      <c r="C127" s="2774" t="s">
        <v>2770</v>
      </c>
      <c r="D127" s="2748" t="s">
        <v>2771</v>
      </c>
      <c r="E127" s="2774">
        <v>0.1</v>
      </c>
      <c r="F127" s="2774">
        <v>15</v>
      </c>
    </row>
    <row r="128" spans="1:6" ht="13.5">
      <c r="A128" s="2774">
        <v>56</v>
      </c>
      <c r="B128" s="3447"/>
      <c r="C128" s="2774" t="s">
        <v>2772</v>
      </c>
      <c r="D128" s="2748" t="s">
        <v>2773</v>
      </c>
      <c r="E128" s="2774">
        <v>0.1</v>
      </c>
      <c r="F128" s="2774">
        <v>15</v>
      </c>
    </row>
    <row r="129" spans="1:6" ht="24">
      <c r="A129" s="2774">
        <v>57</v>
      </c>
      <c r="B129" s="3447"/>
      <c r="C129" s="2774" t="s">
        <v>2774</v>
      </c>
      <c r="D129" s="2748" t="s">
        <v>2775</v>
      </c>
      <c r="E129" s="2774">
        <v>0.1</v>
      </c>
      <c r="F129" s="2774">
        <v>15</v>
      </c>
    </row>
    <row r="130" spans="1:6" ht="24">
      <c r="A130" s="2774">
        <v>58</v>
      </c>
      <c r="B130" s="3447" t="s">
        <v>2776</v>
      </c>
      <c r="C130" s="2774" t="s">
        <v>2777</v>
      </c>
      <c r="D130" s="2748" t="s">
        <v>2778</v>
      </c>
      <c r="E130" s="2774">
        <v>0.1</v>
      </c>
      <c r="F130" s="2774">
        <v>15</v>
      </c>
    </row>
    <row r="131" spans="1:6" ht="13.5">
      <c r="A131" s="2774">
        <v>59</v>
      </c>
      <c r="B131" s="3447"/>
      <c r="C131" s="2774" t="s">
        <v>2779</v>
      </c>
      <c r="D131" s="2748" t="s">
        <v>2780</v>
      </c>
      <c r="E131" s="2774">
        <v>0.1</v>
      </c>
      <c r="F131" s="2774">
        <v>15</v>
      </c>
    </row>
    <row r="132" spans="1:6" ht="13.5">
      <c r="A132" s="2774">
        <v>60</v>
      </c>
      <c r="B132" s="3442" t="s">
        <v>2781</v>
      </c>
      <c r="C132" s="2774" t="s">
        <v>2782</v>
      </c>
      <c r="D132" s="2748" t="s">
        <v>2783</v>
      </c>
      <c r="E132" s="2774">
        <v>0.1</v>
      </c>
      <c r="F132" s="2774">
        <v>15</v>
      </c>
    </row>
    <row r="133" spans="1:6" ht="13.5">
      <c r="A133" s="2774">
        <v>61</v>
      </c>
      <c r="B133" s="3446"/>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47" t="s">
        <v>2789</v>
      </c>
      <c r="C135" s="2774" t="s">
        <v>2790</v>
      </c>
      <c r="D135" s="2748" t="s">
        <v>2791</v>
      </c>
      <c r="E135" s="2774">
        <v>0.1</v>
      </c>
      <c r="F135" s="2774">
        <v>15</v>
      </c>
    </row>
    <row r="136" spans="1:6" ht="13.5">
      <c r="A136" s="2774">
        <v>64</v>
      </c>
      <c r="B136" s="3447"/>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25025</v>
      </c>
      <c r="C2" s="2" t="s">
        <v>106</v>
      </c>
      <c r="D2" s="166"/>
      <c r="E2" s="166"/>
      <c r="F2" s="166"/>
      <c r="G2" s="166"/>
    </row>
    <row r="3" spans="1:7" s="167" customFormat="1" ht="18" customHeight="1" thickBot="1">
      <c r="A3" s="170" t="s">
        <v>58</v>
      </c>
      <c r="B3" s="171">
        <f ca="1">ROUND(B2*10000/'数据-汇总表'!E3,0)</f>
        <v>116575</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5.5000000000000007E-2</v>
      </c>
      <c r="D30" s="203" t="s">
        <v>100</v>
      </c>
      <c r="E30" s="208"/>
      <c r="F30" s="204">
        <f>'数据-取费表'!B41</f>
        <v>5.5000000000000007E-2</v>
      </c>
      <c r="G30" s="201" t="s">
        <v>86</v>
      </c>
    </row>
    <row r="31" spans="1:7" ht="16.5" customHeight="1">
      <c r="A31" s="176">
        <v>1</v>
      </c>
      <c r="B31" s="177" t="s">
        <v>101</v>
      </c>
      <c r="C31" s="178">
        <f ca="1">ROUND((C5+C19+C20+C22+C27)/(1-C21-D22-D27-C30/(1+'数据-取费表'!B42)),0)</f>
        <v>24655</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449</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386</v>
      </c>
      <c r="D34" s="184"/>
      <c r="E34" s="187"/>
      <c r="F34" s="224">
        <f>IF('数据-取费表'!B24=0,1,'数据-取费表'!N16)</f>
        <v>1</v>
      </c>
      <c r="G34" s="186" t="s">
        <v>89</v>
      </c>
    </row>
    <row r="35" spans="1:7" ht="13.5" customHeight="1">
      <c r="A35" s="713" t="s">
        <v>351</v>
      </c>
      <c r="B35" s="182" t="s">
        <v>33</v>
      </c>
      <c r="C35" s="187">
        <f>ROUND(C34*F35,0)</f>
        <v>12</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8</v>
      </c>
      <c r="D38" s="187"/>
      <c r="E38" s="187"/>
      <c r="F38" s="226">
        <f>'数据-取费表'!B36</f>
        <v>0.02</v>
      </c>
      <c r="G38" s="186" t="s">
        <v>90</v>
      </c>
    </row>
    <row r="39" spans="1:7" s="181" customFormat="1" ht="13.5" customHeight="1">
      <c r="A39" s="710" t="s">
        <v>338</v>
      </c>
      <c r="B39" s="177" t="s">
        <v>77</v>
      </c>
      <c r="C39" s="199">
        <f>ROUND(C33*F20,0)</f>
        <v>9</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8</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8</v>
      </c>
      <c r="D42" s="205"/>
      <c r="E42" s="205"/>
      <c r="F42" s="206"/>
      <c r="G42" s="3332" t="s">
        <v>94</v>
      </c>
    </row>
    <row r="43" spans="1:7" ht="13.5" customHeight="1">
      <c r="A43" s="713" t="s">
        <v>347</v>
      </c>
      <c r="B43" s="182" t="s">
        <v>426</v>
      </c>
      <c r="C43" s="205">
        <f ca="1">ROUND(IF('数据-取费表'!B22&lt;=1,C39*F22*'数据-取费表'!B21/2,C39*(POWER((1+F22),'数据-取费表'!B21/2)-1)),0)</f>
        <v>0</v>
      </c>
      <c r="D43" s="205"/>
      <c r="E43" s="205"/>
      <c r="F43" s="206"/>
      <c r="G43" s="3333"/>
    </row>
    <row r="44" spans="1:7" ht="13.5" customHeight="1">
      <c r="A44" s="713" t="s">
        <v>348</v>
      </c>
      <c r="B44" s="182" t="s">
        <v>428</v>
      </c>
      <c r="C44" s="205">
        <f ca="1">ROUND(IF('数据-取费表'!B22&lt;=1,C40*F22*'数据-取费表'!B21/2,C40*(POWER((1+F22),'数据-取费表'!B21/2)-1)),4)</f>
        <v>2.9999999999999997E-4</v>
      </c>
      <c r="D44" s="205"/>
      <c r="E44" s="205"/>
      <c r="F44" s="206"/>
      <c r="G44" s="3334"/>
    </row>
    <row r="45" spans="1:7" s="181" customFormat="1" ht="13.5" customHeight="1">
      <c r="A45" s="710" t="s">
        <v>341</v>
      </c>
      <c r="B45" s="211" t="s">
        <v>85</v>
      </c>
      <c r="C45" s="212">
        <f>C46</f>
        <v>23</v>
      </c>
      <c r="D45" s="202">
        <f>C47</f>
        <v>1E-3</v>
      </c>
      <c r="E45" s="203" t="s">
        <v>102</v>
      </c>
      <c r="F45" s="213"/>
      <c r="G45" s="214" t="s">
        <v>434</v>
      </c>
    </row>
    <row r="46" spans="1:7" s="181" customFormat="1" ht="13.5" customHeight="1">
      <c r="A46" s="713" t="s">
        <v>349</v>
      </c>
      <c r="B46" s="215" t="s">
        <v>427</v>
      </c>
      <c r="C46" s="216">
        <f>ROUND((C33+C39)*F27,0)</f>
        <v>23</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5.5000000000000007E-2</v>
      </c>
      <c r="D48" s="203" t="s">
        <v>103</v>
      </c>
      <c r="E48" s="199"/>
      <c r="F48" s="204"/>
      <c r="G48" s="201" t="s">
        <v>96</v>
      </c>
    </row>
    <row r="49" spans="1:7" ht="16.5" customHeight="1">
      <c r="A49" s="710" t="s">
        <v>343</v>
      </c>
      <c r="B49" s="177" t="s">
        <v>104</v>
      </c>
      <c r="C49" s="199">
        <f ca="1">ROUND((C33+C39+C41+C45)/(1-C40-D41-D45-C48/(1+'数据-取费表'!B42)),0)</f>
        <v>528</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370</v>
      </c>
      <c r="D51" s="199"/>
      <c r="E51" s="199"/>
      <c r="F51" s="231"/>
      <c r="G51" s="201" t="s">
        <v>37</v>
      </c>
    </row>
    <row r="52" spans="1:7" s="175" customFormat="1" ht="16.5" thickBot="1">
      <c r="A52" s="232" t="s">
        <v>38</v>
      </c>
      <c r="B52" s="233"/>
      <c r="C52" s="234">
        <f ca="1">C31+C51</f>
        <v>25025</v>
      </c>
      <c r="D52" s="233"/>
      <c r="E52" s="233"/>
      <c r="F52" s="233"/>
      <c r="G52" s="235"/>
    </row>
    <row r="55" spans="1:7" ht="15">
      <c r="B55" s="237" t="s">
        <v>39</v>
      </c>
      <c r="C55" s="238"/>
    </row>
    <row r="56" spans="1:7">
      <c r="B56" s="240" t="s">
        <v>40</v>
      </c>
      <c r="C56" s="241">
        <f ca="1">ROUND(C51/C52,3)</f>
        <v>1.4999999999999999E-2</v>
      </c>
    </row>
    <row r="57" spans="1:7">
      <c r="B57" s="240" t="s">
        <v>41</v>
      </c>
      <c r="C57" s="242">
        <f ca="1">1-C56</f>
        <v>0.98499999999999999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61"/>
      <c r="B4" s="3154" t="s">
        <v>917</v>
      </c>
      <c r="C4" s="3154"/>
      <c r="D4" s="3154"/>
      <c r="E4" s="1361"/>
    </row>
    <row r="5" spans="1:5" ht="16.5" thickTop="1">
      <c r="B5" s="3152" t="s">
        <v>909</v>
      </c>
      <c r="C5" s="1362" t="s">
        <v>910</v>
      </c>
      <c r="D5" s="776">
        <f ca="1">结果表!H101</f>
        <v>2923</v>
      </c>
    </row>
    <row r="6" spans="1:5" ht="15.75">
      <c r="B6" s="3152"/>
      <c r="C6" s="1362" t="s">
        <v>911</v>
      </c>
      <c r="D6" s="776" t="str">
        <f ca="1">NUMBERSTRING(INT(D5*10000),2)&amp;"元整"</f>
        <v>贰仟玖佰贰拾叁万元整</v>
      </c>
    </row>
    <row r="7" spans="1:5" ht="15.75">
      <c r="B7" s="3157"/>
      <c r="C7" s="1363" t="s">
        <v>912</v>
      </c>
      <c r="D7" s="777">
        <f ca="1">结果表!H102</f>
        <v>13616</v>
      </c>
    </row>
    <row r="8" spans="1:5" ht="15.75">
      <c r="B8" s="3158" t="str">
        <f>结果表!E103</f>
        <v>2.估价师知悉的法定优先受偿款</v>
      </c>
      <c r="C8" s="1364" t="s">
        <v>913</v>
      </c>
      <c r="D8" s="777">
        <f>结果表!H103</f>
        <v>0</v>
      </c>
    </row>
    <row r="9" spans="1:5" ht="15.75">
      <c r="B9" s="3160"/>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1" t="str">
        <f>结果表!E107</f>
        <v>3.房地产抵押价值</v>
      </c>
      <c r="C13" s="1367" t="s">
        <v>910</v>
      </c>
      <c r="D13" s="779">
        <f ca="1">结果表!H107</f>
        <v>2923</v>
      </c>
    </row>
    <row r="14" spans="1:5" ht="15.75">
      <c r="B14" s="3152"/>
      <c r="C14" s="1362" t="s">
        <v>911</v>
      </c>
      <c r="D14" s="776" t="str">
        <f ca="1">NUMBERSTRING(INT(D13*10000),2)&amp;"元整"</f>
        <v>贰仟玖佰贰拾叁万元整</v>
      </c>
    </row>
    <row r="15" spans="1:5" ht="15">
      <c r="B15" s="3157"/>
      <c r="C15" s="1363" t="s">
        <v>921</v>
      </c>
      <c r="D15" s="785">
        <f ca="1">结果表!H108</f>
        <v>13616</v>
      </c>
    </row>
    <row r="16" spans="1:5" ht="15">
      <c r="B16" s="3158" t="str">
        <f>结果表!E109</f>
        <v>——</v>
      </c>
      <c r="C16" s="1367" t="s">
        <v>922</v>
      </c>
      <c r="D16" s="1368" t="str">
        <f>结果表!H109</f>
        <v>——</v>
      </c>
    </row>
    <row r="17" spans="1:5" ht="15.75">
      <c r="B17" s="3159"/>
      <c r="C17" s="1362" t="s">
        <v>923</v>
      </c>
      <c r="D17" s="776" t="e">
        <f>NUMBERSTRING(INT(D16*10000),2)&amp;"元整"</f>
        <v>#VALUE!</v>
      </c>
    </row>
    <row r="18" spans="1:5" ht="15">
      <c r="B18" s="3160"/>
      <c r="C18" s="1363" t="s">
        <v>912</v>
      </c>
      <c r="D18" s="785" t="str">
        <f>结果表!H110</f>
        <v>——</v>
      </c>
    </row>
    <row r="19" spans="1:5" ht="15.75">
      <c r="B19" s="3151" t="str">
        <f>结果表!E111</f>
        <v>——</v>
      </c>
      <c r="C19" s="1367" t="s">
        <v>910</v>
      </c>
      <c r="D19" s="777" t="str">
        <f>结果表!H111</f>
        <v>——</v>
      </c>
    </row>
    <row r="20" spans="1:5" ht="15.75">
      <c r="B20" s="3152"/>
      <c r="C20" s="1362" t="s">
        <v>923</v>
      </c>
      <c r="D20" s="776" t="e">
        <f>NUMBERSTRING(INT(D19*10000),2)&amp;"元整"</f>
        <v>#VALUE!</v>
      </c>
    </row>
    <row r="21" spans="1:5" ht="15.75" thickBot="1">
      <c r="B21" s="3153"/>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50" t="s">
        <v>2839</v>
      </c>
      <c r="B1" s="3450"/>
      <c r="C1" s="3450"/>
      <c r="D1" s="3450"/>
      <c r="E1" s="3450"/>
      <c r="F1" s="3450"/>
      <c r="G1" s="3451"/>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8"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49"/>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2" t="s">
        <v>3181</v>
      </c>
      <c r="B1" s="3452"/>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ht="14.25">
      <c r="A1" s="3453" t="s">
        <v>3232</v>
      </c>
      <c r="B1" s="3453"/>
      <c r="C1" s="3453"/>
      <c r="D1" s="3453"/>
      <c r="E1" s="3453"/>
      <c r="F1" s="3454"/>
    </row>
    <row r="2" spans="1:6" ht="14.25">
      <c r="A2" s="2919" t="s">
        <v>3233</v>
      </c>
    </row>
    <row r="3" spans="1:6" ht="14.25">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45440</v>
      </c>
      <c r="B1" s="2846" t="s">
        <v>3371</v>
      </c>
      <c r="C1" s="2847"/>
      <c r="D1" s="2847"/>
      <c r="E1" s="2847"/>
      <c r="F1" s="2847"/>
      <c r="G1" s="2847"/>
      <c r="H1" s="2847"/>
      <c r="I1" s="2847"/>
      <c r="J1" s="2813"/>
      <c r="K1" s="2847" t="s">
        <v>454</v>
      </c>
      <c r="L1" s="2847"/>
      <c r="M1" s="2847"/>
      <c r="N1" s="2847"/>
      <c r="O1" s="2847"/>
      <c r="P1" s="2847"/>
      <c r="Q1" s="2813"/>
      <c r="R1" s="3455" t="s">
        <v>456</v>
      </c>
      <c r="S1" s="3456"/>
      <c r="T1" s="3456"/>
      <c r="U1" s="3456"/>
      <c r="V1" s="3456"/>
      <c r="W1" s="3456"/>
      <c r="X1" s="2813"/>
      <c r="Y1" s="3455" t="s">
        <v>457</v>
      </c>
      <c r="Z1" s="3456"/>
      <c r="AA1" s="3456"/>
      <c r="AB1" s="3456"/>
      <c r="AC1" s="3456"/>
      <c r="AD1" s="3456"/>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5" t="s">
        <v>2827</v>
      </c>
      <c r="S23" s="3456"/>
      <c r="T23" s="3456"/>
      <c r="U23" s="3456"/>
      <c r="V23" s="3456"/>
      <c r="W23" s="3456"/>
      <c r="X23" s="2813"/>
      <c r="Y23" s="3455" t="s">
        <v>2828</v>
      </c>
      <c r="Z23" s="3456"/>
      <c r="AA23" s="3456"/>
      <c r="AB23" s="3456"/>
      <c r="AC23" s="3456"/>
      <c r="AD23" s="3456"/>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60" t="s">
        <v>452</v>
      </c>
      <c r="C1" s="3460"/>
      <c r="D1" s="3460"/>
      <c r="E1" s="3460"/>
      <c r="F1" s="3460"/>
      <c r="G1" s="3456" t="s">
        <v>453</v>
      </c>
      <c r="H1" s="3456"/>
      <c r="I1" s="3456"/>
      <c r="J1" s="3456"/>
      <c r="K1" s="3456"/>
      <c r="L1" s="3456"/>
      <c r="N1" s="3456" t="s">
        <v>454</v>
      </c>
      <c r="O1" s="3456"/>
      <c r="P1" s="3456"/>
      <c r="Q1" s="3456"/>
      <c r="S1" s="3456" t="s">
        <v>455</v>
      </c>
      <c r="T1" s="3456"/>
      <c r="U1" s="3456"/>
      <c r="V1" s="3456"/>
      <c r="X1" s="3455" t="s">
        <v>456</v>
      </c>
      <c r="Y1" s="3456"/>
      <c r="Z1" s="3456"/>
      <c r="AA1" s="3456"/>
      <c r="AB1" s="3456"/>
      <c r="AD1" s="3455" t="s">
        <v>457</v>
      </c>
      <c r="AE1" s="3456"/>
      <c r="AF1" s="3456"/>
      <c r="AG1" s="3456"/>
      <c r="AH1" s="3456"/>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8">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8"/>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8"/>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5"/>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1">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8"/>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8"/>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5"/>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1">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8"/>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8"/>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59"/>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7">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8"/>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8"/>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59"/>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7">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8"/>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8"/>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59"/>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2">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3"/>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3"/>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4"/>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7">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8"/>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8"/>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59"/>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7">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8">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8">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59">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7">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8">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8">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59">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7">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8">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8">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59">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7">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8">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8">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59">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7">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8">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8">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59">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7">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8">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8">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59">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7">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8">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8">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59">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7">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8">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8">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59">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7">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8">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8">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59">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7">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8">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8">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59">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45440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1259</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1455</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944</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1122</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3"/>
      <c r="B4" s="3474"/>
      <c r="C4" s="3474"/>
      <c r="D4" s="3475"/>
      <c r="E4" s="3475"/>
      <c r="F4" s="3475"/>
      <c r="G4" s="3475"/>
      <c r="H4" s="3475"/>
      <c r="I4" s="3475"/>
      <c r="J4" s="3476"/>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915</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777</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708</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0" t="s">
        <v>1956</v>
      </c>
      <c r="X8" s="3471"/>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2"/>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2"/>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7" t="s">
        <v>3254</v>
      </c>
      <c r="B20" s="134" t="s">
        <v>1990</v>
      </c>
      <c r="C20" s="2949">
        <f>ROUND(IF(F21="与级别开发程度一致",0,(G21-E21)/C21),0)</f>
        <v>40</v>
      </c>
      <c r="D20" s="2964" t="s">
        <v>1994</v>
      </c>
      <c r="E20" s="2965"/>
      <c r="F20" s="3483" t="s">
        <v>1991</v>
      </c>
      <c r="G20" s="3484"/>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78"/>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813" t="s">
        <v>1998</v>
      </c>
      <c r="E23" s="696">
        <v>44197</v>
      </c>
      <c r="F23" s="1813" t="s">
        <v>1999</v>
      </c>
      <c r="G23" s="697">
        <f>'数据-取费表'!B2</f>
        <v>45440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13</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0.87609999999999999</v>
      </c>
      <c r="D24" s="1819" t="s">
        <v>2003</v>
      </c>
      <c r="E24" s="1222">
        <f>存贷款利率!E24/100</f>
        <v>4.3499999999999997E-2</v>
      </c>
      <c r="F24" s="1819" t="s">
        <v>1995</v>
      </c>
      <c r="G24" s="703">
        <f>SUMIF(M30:Q30,E2,M33:Q33)</f>
        <v>0.05</v>
      </c>
      <c r="H24" s="1819" t="s">
        <v>2004</v>
      </c>
      <c r="I24" s="704">
        <f>SUMIF('数据-取费表'!C6:C15,E2,'数据-取费表'!F6:F15)/COUNTIF('数据-取费表'!C6:C15,E2)</f>
        <v>32.96</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1259</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944</v>
      </c>
      <c r="D33" s="1857">
        <f>'数据-基础表'!A3</f>
        <v>13334.3</v>
      </c>
      <c r="E33" s="706">
        <f>ROUND(C33*D33/10000,0)</f>
        <v>1259</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142</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1"/>
      <c r="B37" s="1872" t="s">
        <v>2032</v>
      </c>
      <c r="C37" s="142">
        <f>ROUND(D5*C22*C23*C24*C28*F37,0)</f>
        <v>472</v>
      </c>
      <c r="D37" s="1857"/>
      <c r="E37" s="138">
        <f>ROUND(C37*D37/10000,0)</f>
        <v>0</v>
      </c>
      <c r="F37" s="138">
        <f>SUMIF(修正!A57:A68,G2,修正!B57:B68)</f>
        <v>0.5</v>
      </c>
      <c r="G37" s="138">
        <f>ROUND(IF(E2="工业",C37*$M$42,C37*$M$41),0)</f>
        <v>71</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2"/>
      <c r="B38" s="1801" t="s">
        <v>2033</v>
      </c>
      <c r="C38" s="142">
        <f>ROUND(D5*C22*C23*C24*C28*F38,0)</f>
        <v>189</v>
      </c>
      <c r="D38" s="1857"/>
      <c r="E38" s="138">
        <f t="shared" ref="E38:E42" si="4">ROUND(C38*D38/10000,0)</f>
        <v>0</v>
      </c>
      <c r="F38" s="138">
        <f>SUMIF(修正!A57:A68,G2,修正!C57:C68)</f>
        <v>0.2</v>
      </c>
      <c r="G38" s="138">
        <f>ROUND(IF(E2="工业",C38*$M$42,C38*$M$41),0)</f>
        <v>28</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2"/>
      <c r="B39" s="1801" t="s">
        <v>3259</v>
      </c>
      <c r="C39" s="142">
        <f>ROUND(D5*C22*C23*C24*C28*F39,0)</f>
        <v>189</v>
      </c>
      <c r="D39" s="1857"/>
      <c r="E39" s="138">
        <f t="shared" si="4"/>
        <v>0</v>
      </c>
      <c r="F39" s="138">
        <f>SUMIF(修正!A57:A68,G2,修正!D57:D68)</f>
        <v>0.2</v>
      </c>
      <c r="G39" s="138">
        <f>ROUND(IF(E2="工业",C39*$M$42,C39*$M$41),0)</f>
        <v>28</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189</v>
      </c>
      <c r="D40" s="1857"/>
      <c r="E40" s="138">
        <f t="shared" si="4"/>
        <v>0</v>
      </c>
      <c r="F40" s="142">
        <f>SUMIF(修正!A57:A68,G2,修正!E57:E68)</f>
        <v>0.2</v>
      </c>
      <c r="G40" s="138">
        <f>ROUND(IF(E2="工业",C40*$M$42,C40*$M$41),0)</f>
        <v>28</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189</v>
      </c>
      <c r="D41" s="1857"/>
      <c r="E41" s="138">
        <f t="shared" si="4"/>
        <v>0</v>
      </c>
      <c r="F41" s="142">
        <f>SUMIF(修正!A57:A68,G2,修正!F57:F68)</f>
        <v>0.2</v>
      </c>
      <c r="G41" s="138">
        <f>ROUND(IF(E2="工业",C41*$M$42,C41*$M$41),0)</f>
        <v>28</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94</v>
      </c>
      <c r="D42" s="1862"/>
      <c r="E42" s="154">
        <f t="shared" si="4"/>
        <v>0</v>
      </c>
      <c r="F42" s="702">
        <f>SUMIF(修正!A57:A68,G2,修正!G57:G68)</f>
        <v>0.1</v>
      </c>
      <c r="G42" s="154">
        <f>ROUND(IF(E2="工业",C42*$M$42,C42*$M$41),0)</f>
        <v>14</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0.87609999999999999</v>
      </c>
      <c r="D44" s="138" t="s">
        <v>1995</v>
      </c>
      <c r="E44" s="1908">
        <f>G24</f>
        <v>0.05</v>
      </c>
      <c r="F44" s="138" t="s">
        <v>2004</v>
      </c>
      <c r="G44" s="150">
        <f>项目基本情况!H15</f>
        <v>32.96</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79" t="s">
        <v>3294</v>
      </c>
      <c r="B103" s="3479"/>
      <c r="C103" s="3479"/>
      <c r="D103" s="3479"/>
      <c r="E103" s="3479"/>
      <c r="F103" s="3479"/>
      <c r="G103" s="3479"/>
      <c r="H103" s="3479"/>
      <c r="I103" s="3479"/>
      <c r="J103" s="3479"/>
      <c r="K103" s="1583"/>
      <c r="L103" s="1583"/>
      <c r="M103" s="1583"/>
      <c r="N103" s="1583"/>
    </row>
    <row r="104" spans="1:14">
      <c r="A104" s="3480" t="s">
        <v>3295</v>
      </c>
      <c r="B104" s="3480" t="s">
        <v>3296</v>
      </c>
      <c r="C104" s="3008" t="s">
        <v>3297</v>
      </c>
      <c r="D104" s="3009"/>
      <c r="E104" s="3009"/>
      <c r="F104" s="3009"/>
      <c r="G104" s="3009"/>
      <c r="H104" s="3009"/>
      <c r="I104" s="3009"/>
      <c r="J104" s="3010"/>
      <c r="K104" s="3011"/>
      <c r="L104" s="3011"/>
      <c r="M104" s="3011"/>
      <c r="N104" s="3011"/>
    </row>
    <row r="105" spans="1:14">
      <c r="A105" s="3480"/>
      <c r="B105" s="3480"/>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6"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7"/>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7"/>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7"/>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7"/>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7"/>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8"/>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69" t="s">
        <v>3311</v>
      </c>
      <c r="B113" s="3469"/>
      <c r="C113" s="3469"/>
      <c r="D113" s="3469"/>
      <c r="E113" s="3469"/>
      <c r="F113" s="3469"/>
      <c r="G113" s="3469"/>
      <c r="H113" s="3469"/>
      <c r="I113" s="3469"/>
      <c r="J113" s="3469"/>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建筑物价值</v>
      </c>
      <c r="G2" s="3162"/>
      <c r="H2" s="3162" t="str">
        <f>IF(项目基本情况!B9="房地产市场价值","房地产市场价值","房地产价值")</f>
        <v>房地产价值</v>
      </c>
      <c r="I2" s="3162"/>
    </row>
    <row r="3" spans="1:9" ht="15">
      <c r="A3" s="3163"/>
      <c r="B3" s="3163"/>
      <c r="C3" s="3163"/>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2639</v>
      </c>
      <c r="E4" s="780">
        <f ca="1">结果表!E118</f>
        <v>12293</v>
      </c>
      <c r="F4" s="780">
        <f ca="1">结果表!F118</f>
        <v>284</v>
      </c>
      <c r="G4" s="780">
        <f ca="1">结果表!G118</f>
        <v>1323</v>
      </c>
      <c r="H4" s="780">
        <f ca="1">结果表!H118</f>
        <v>2923</v>
      </c>
      <c r="I4" s="780">
        <f ca="1">结果表!I118</f>
        <v>13616</v>
      </c>
    </row>
    <row r="5" spans="1:9" ht="30" customHeight="1">
      <c r="A5" s="3163" t="s">
        <v>927</v>
      </c>
      <c r="B5" s="3163"/>
      <c r="C5" s="3163"/>
      <c r="D5" s="3163" t="str">
        <f ca="1">结果表!D119</f>
        <v>贰仟陆佰叁拾玖万元整</v>
      </c>
      <c r="E5" s="3163"/>
      <c r="F5" s="3163" t="str">
        <f ca="1">结果表!F119</f>
        <v>贰佰捌拾肆万元整</v>
      </c>
      <c r="G5" s="3163"/>
      <c r="H5" s="3163" t="str">
        <f ca="1">结果表!H119</f>
        <v>贰仟玖佰贰拾叁万元整</v>
      </c>
      <c r="I5" s="3163"/>
    </row>
    <row r="6" spans="1:9" ht="15.75">
      <c r="A6" s="3164" t="str">
        <f>结果表!A120</f>
        <v>估价师知悉的法定优先受偿款</v>
      </c>
      <c r="B6" s="3164"/>
      <c r="C6" s="3164"/>
      <c r="D6" s="3164">
        <f>结果表!D120</f>
        <v>0</v>
      </c>
      <c r="E6" s="3164"/>
      <c r="F6" s="3164"/>
      <c r="G6" s="3164"/>
      <c r="H6" s="3164"/>
      <c r="I6" s="3164"/>
    </row>
    <row r="7" spans="1:9" ht="15">
      <c r="A7" s="3163" t="s">
        <v>927</v>
      </c>
      <c r="B7" s="3163"/>
      <c r="C7" s="3163"/>
      <c r="D7" s="3165" t="str">
        <f>结果表!D121</f>
        <v>零元整</v>
      </c>
      <c r="E7" s="3166"/>
      <c r="F7" s="3166"/>
      <c r="G7" s="3166"/>
      <c r="H7" s="3166"/>
      <c r="I7" s="3167"/>
    </row>
    <row r="8" spans="1:9" ht="15.75">
      <c r="A8" s="3164" t="str">
        <f>结果表!A122</f>
        <v>房地产抵押价值</v>
      </c>
      <c r="B8" s="3164"/>
      <c r="C8" s="3164"/>
      <c r="D8" s="3164">
        <f ca="1">结果表!D122</f>
        <v>2923</v>
      </c>
      <c r="E8" s="3164"/>
      <c r="F8" s="3164"/>
      <c r="G8" s="3164"/>
      <c r="H8" s="3164"/>
      <c r="I8" s="3164"/>
    </row>
    <row r="9" spans="1:9" ht="15">
      <c r="A9" s="3163" t="s">
        <v>927</v>
      </c>
      <c r="B9" s="3163"/>
      <c r="C9" s="3163"/>
      <c r="D9" s="3163" t="str">
        <f ca="1">结果表!D123</f>
        <v>贰仟玖佰贰拾叁万元整</v>
      </c>
      <c r="E9" s="3163"/>
      <c r="F9" s="3163"/>
      <c r="G9" s="3163"/>
      <c r="H9" s="3163"/>
      <c r="I9" s="3163"/>
    </row>
    <row r="10" spans="1:9" ht="15.75">
      <c r="A10" s="3164" t="str">
        <f>结果表!A124</f>
        <v/>
      </c>
      <c r="B10" s="3164"/>
      <c r="C10" s="3164"/>
      <c r="D10" s="3164" t="str">
        <f>结果表!D124</f>
        <v>——</v>
      </c>
      <c r="E10" s="3164"/>
      <c r="F10" s="3164"/>
      <c r="G10" s="3164"/>
      <c r="H10" s="3164"/>
      <c r="I10" s="3164"/>
    </row>
    <row r="11" spans="1:9" ht="15">
      <c r="A11" s="3163" t="s">
        <v>927</v>
      </c>
      <c r="B11" s="3163"/>
      <c r="C11" s="3163"/>
      <c r="D11" s="3163" t="e">
        <f>结果表!D125</f>
        <v>#VALUE!</v>
      </c>
      <c r="E11" s="3163"/>
      <c r="F11" s="3163"/>
      <c r="G11" s="3163"/>
      <c r="H11" s="3163"/>
      <c r="I11" s="3163"/>
    </row>
    <row r="12" spans="1:9" ht="15.75">
      <c r="A12" s="3164" t="str">
        <f>结果表!A126</f>
        <v/>
      </c>
      <c r="B12" s="3164"/>
      <c r="C12" s="3164"/>
      <c r="D12" s="3164" t="str">
        <f>结果表!D126</f>
        <v>——</v>
      </c>
      <c r="E12" s="3164"/>
      <c r="F12" s="3164"/>
      <c r="G12" s="3164"/>
      <c r="H12" s="3164"/>
      <c r="I12" s="3164"/>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70" t="s">
        <v>949</v>
      </c>
      <c r="B1" s="3170"/>
      <c r="C1" s="3170"/>
      <c r="D1" s="3170"/>
    </row>
    <row r="2" spans="1:4" ht="18">
      <c r="A2" s="3171" t="s">
        <v>933</v>
      </c>
      <c r="B2" s="3171"/>
      <c r="C2" s="3171"/>
      <c r="D2" s="3171"/>
    </row>
    <row r="3" spans="1:4" ht="18.75">
      <c r="A3" s="1377" t="s">
        <v>934</v>
      </c>
      <c r="B3" s="1377" t="s">
        <v>935</v>
      </c>
      <c r="C3" s="1377" t="s">
        <v>936</v>
      </c>
      <c r="D3" s="1377" t="s">
        <v>937</v>
      </c>
    </row>
    <row r="4" spans="1:4" ht="56.25" customHeight="1">
      <c r="A4" s="1378">
        <f>项目基本情况!B4</f>
        <v>0</v>
      </c>
      <c r="B4" s="1379">
        <f>项目基本情况!C4</f>
        <v>0</v>
      </c>
      <c r="C4" s="1380"/>
      <c r="D4" s="1381" t="s">
        <v>938</v>
      </c>
    </row>
    <row r="5" spans="1:4" ht="56.25" customHeight="1">
      <c r="A5" s="1378">
        <f>项目基本情况!D4</f>
        <v>0</v>
      </c>
      <c r="B5" s="1379">
        <f>项目基本情况!E4</f>
        <v>0</v>
      </c>
      <c r="C5" s="1382"/>
      <c r="D5" s="1381" t="s">
        <v>938</v>
      </c>
    </row>
    <row r="6" spans="1:4" ht="18">
      <c r="A6" s="3171" t="s">
        <v>939</v>
      </c>
      <c r="B6" s="3171"/>
      <c r="C6" s="3171"/>
      <c r="D6" s="3171"/>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2"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943</v>
      </c>
      <c r="B16" s="3176"/>
      <c r="C16" s="3176"/>
      <c r="D16" s="3176"/>
    </row>
    <row r="17" spans="1:4" ht="144" customHeight="1">
      <c r="A17" s="3176" t="s">
        <v>944</v>
      </c>
      <c r="B17" s="3176"/>
      <c r="C17" s="3176"/>
      <c r="D17" s="3176"/>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4" t="s">
        <v>956</v>
      </c>
      <c r="B15" s="3179" t="s">
        <v>109</v>
      </c>
      <c r="C15" s="3180"/>
    </row>
    <row r="16" spans="1:7" ht="13.5">
      <c r="A16" s="3185"/>
      <c r="B16" s="3179" t="s">
        <v>42</v>
      </c>
      <c r="C16" s="3180"/>
    </row>
    <row r="17" spans="1:3" ht="13.5">
      <c r="A17" s="3185"/>
      <c r="B17" s="3182" t="s">
        <v>957</v>
      </c>
      <c r="C17" s="1399" t="s">
        <v>956</v>
      </c>
    </row>
    <row r="18" spans="1:3" ht="13.5">
      <c r="A18" s="3185"/>
      <c r="B18" s="3182"/>
      <c r="C18" s="1399" t="s">
        <v>958</v>
      </c>
    </row>
    <row r="19" spans="1:3" ht="13.5">
      <c r="A19" s="3185"/>
      <c r="B19" s="3182"/>
      <c r="C19" s="1399" t="s">
        <v>959</v>
      </c>
    </row>
    <row r="20" spans="1:3" ht="13.5">
      <c r="A20" s="3186"/>
      <c r="B20" s="3181" t="s">
        <v>960</v>
      </c>
      <c r="C20" s="3180"/>
    </row>
    <row r="21" spans="1:3" ht="13.5">
      <c r="A21" s="1400" t="s">
        <v>961</v>
      </c>
      <c r="B21" s="1401"/>
      <c r="C21" s="1402"/>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399" t="s">
        <v>967</v>
      </c>
    </row>
    <row r="26" spans="1:3" ht="13.5">
      <c r="A26" s="3183"/>
      <c r="B26" s="3182"/>
      <c r="C26" s="1399" t="s">
        <v>968</v>
      </c>
    </row>
    <row r="27" spans="1:3" ht="13.5">
      <c r="A27" s="3183"/>
      <c r="B27" s="3182"/>
      <c r="C27" s="1399" t="s">
        <v>969</v>
      </c>
    </row>
    <row r="28" spans="1:3" ht="13.5">
      <c r="A28" s="3183"/>
      <c r="B28" s="3182"/>
      <c r="C28" s="1399" t="s">
        <v>970</v>
      </c>
    </row>
    <row r="29" spans="1:3" ht="13.5">
      <c r="A29" s="3183"/>
      <c r="B29" s="3182"/>
      <c r="C29" s="1399" t="s">
        <v>971</v>
      </c>
    </row>
    <row r="30" spans="1:3" ht="13.5">
      <c r="A30" s="3183"/>
      <c r="B30" s="3182"/>
      <c r="C30" s="1399" t="s">
        <v>972</v>
      </c>
    </row>
    <row r="31" spans="1:3" ht="13.5">
      <c r="A31" s="3183"/>
      <c r="B31" s="3182"/>
      <c r="C31" s="1399" t="s">
        <v>973</v>
      </c>
    </row>
    <row r="32" spans="1:3" ht="13.5">
      <c r="A32" s="3183"/>
      <c r="B32" s="3182"/>
      <c r="C32" s="1399" t="s">
        <v>974</v>
      </c>
    </row>
    <row r="33" spans="1:3" ht="13.5">
      <c r="A33" s="3183"/>
      <c r="B33" s="3182"/>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45442</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7" t="s">
        <v>2156</v>
      </c>
      <c r="B17" s="3187"/>
      <c r="C17" s="3187"/>
      <c r="D17" s="3187"/>
      <c r="E17" s="3187"/>
      <c r="F17" s="3187"/>
      <c r="G17" s="3187"/>
      <c r="H17" s="3187"/>
    </row>
    <row r="18" spans="1:8" ht="24" customHeight="1">
      <c r="A18" s="3188" t="s">
        <v>2157</v>
      </c>
      <c r="B18" s="3188"/>
      <c r="C18" s="3188"/>
      <c r="D18" s="2077"/>
      <c r="E18" s="3189" t="s">
        <v>2158</v>
      </c>
      <c r="F18" s="3188"/>
      <c r="G18" s="3188"/>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2024-05-30T05:48:37Z</dcterms:modified>
</cp:coreProperties>
</file>