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房鹏举\2024\报告\万柳亿城中心\最终\万柳亿城中心102\"/>
    </mc:Choice>
  </mc:AlternateContent>
  <bookViews>
    <workbookView xWindow="0" yWindow="0" windowWidth="19200" windowHeight="11280" tabRatio="899" firstSheet="12"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租金" sheetId="82" r:id="rId29"/>
    <sheet name="案例" sheetId="81"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28" hidden="1">'比较法-租金'!$A$1:$L$50</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8">'比较法-租金'!$A$1:$K$55,'比较法-租金'!$A$58:$M$132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8">'比较法-租金'!$B$119:$M$119</definedName>
    <definedName name="办公层高">'比较法-办公'!$B$119:$M$119</definedName>
    <definedName name="办公朝向" localSheetId="28">'比较法-租金'!$B$91:$M$91</definedName>
    <definedName name="办公朝向">'比较法-办公'!$B$91:$M$91</definedName>
    <definedName name="办公道路级别" localSheetId="28">'比较法-租金'!$B$87:$M$87</definedName>
    <definedName name="办公道路级别">'比较法-办公'!$B$87:$M$87</definedName>
    <definedName name="办公公共部分装修" localSheetId="28">'比较法-租金'!$B$108:$M$108</definedName>
    <definedName name="办公公共部分装修">'比较法-办公'!$B$108:$M$108</definedName>
    <definedName name="办公基础设施水平" localSheetId="28">'比较法-租金'!$B$117:$M$117</definedName>
    <definedName name="办公基础设施水平">'比较法-办公'!$B$117:$M$117</definedName>
    <definedName name="办公集聚程度">定义!$M$1:$M$6</definedName>
    <definedName name="办公建筑结构" localSheetId="28">'比较法-租金'!$B$106:$M$106</definedName>
    <definedName name="办公建筑结构">'比较法-办公'!$B$106:$M$106</definedName>
    <definedName name="办公建筑类型" localSheetId="28">'比较法-租金'!$B$101:$M$101</definedName>
    <definedName name="办公建筑类型">'比较法-办公'!$B$101:$M$101</definedName>
    <definedName name="办公交易情况" localSheetId="28">'比较法-租金'!$A$62:$M$62</definedName>
    <definedName name="办公交易情况">'比较法-办公'!$A$62:$M$62</definedName>
    <definedName name="办公楼层" localSheetId="28">'比较法-租金'!$B$89:$M$89</definedName>
    <definedName name="办公楼层">'比较法-办公'!$B$89:$M$89</definedName>
    <definedName name="办公内部装修" localSheetId="28">'比较法-租金'!$B$123:$M$123</definedName>
    <definedName name="办公内部装修">'比较法-办公'!$B$123:$M$123</definedName>
    <definedName name="办公物业管理" localSheetId="28">'比较法-租金'!$B$115:$M$115</definedName>
    <definedName name="办公物业管理">'比较法-办公'!$B$115:$M$115</definedName>
    <definedName name="办公用途" localSheetId="28">'比较法-租金'!$B$64:$M$64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8">'比较法-租金'!$B$113:$M$113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E34" i="82" l="1"/>
  <c r="H105" i="34"/>
  <c r="N18" i="1" l="1"/>
  <c r="N20" i="1" s="1"/>
  <c r="I48" i="82" l="1"/>
  <c r="J43" i="82"/>
  <c r="AC43" i="82" s="1"/>
  <c r="I34" i="82"/>
  <c r="I27" i="82"/>
  <c r="I5" i="82"/>
  <c r="G48" i="82"/>
  <c r="G34" i="82"/>
  <c r="G27" i="82"/>
  <c r="G5" i="82"/>
  <c r="E48" i="82"/>
  <c r="E27" i="82"/>
  <c r="E5" i="82"/>
  <c r="B131" i="82"/>
  <c r="H47" i="82" s="1"/>
  <c r="B129" i="82"/>
  <c r="B127" i="82"/>
  <c r="H45" i="82" s="1"/>
  <c r="D126" i="82"/>
  <c r="E126" i="82" s="1"/>
  <c r="F126" i="82" s="1"/>
  <c r="G126" i="82" s="1"/>
  <c r="F124" i="82"/>
  <c r="G124" i="82" s="1"/>
  <c r="H124" i="82" s="1"/>
  <c r="I124" i="82" s="1"/>
  <c r="J124" i="82" s="1"/>
  <c r="K124" i="82" s="1"/>
  <c r="L124" i="82" s="1"/>
  <c r="M124" i="82" s="1"/>
  <c r="D124" i="82"/>
  <c r="E124" i="82" s="1"/>
  <c r="D120" i="82"/>
  <c r="E120" i="82" s="1"/>
  <c r="F120" i="82" s="1"/>
  <c r="G120" i="82" s="1"/>
  <c r="H120" i="82" s="1"/>
  <c r="I120" i="82" s="1"/>
  <c r="J120" i="82" s="1"/>
  <c r="K120" i="82" s="1"/>
  <c r="L120" i="82" s="1"/>
  <c r="M120" i="82" s="1"/>
  <c r="D118" i="82"/>
  <c r="E118" i="82" s="1"/>
  <c r="F118" i="82" s="1"/>
  <c r="G118" i="82" s="1"/>
  <c r="F116" i="82"/>
  <c r="G116" i="82" s="1"/>
  <c r="H116" i="82" s="1"/>
  <c r="I116" i="82" s="1"/>
  <c r="J116" i="82" s="1"/>
  <c r="K116" i="82" s="1"/>
  <c r="L116" i="82" s="1"/>
  <c r="M116" i="82" s="1"/>
  <c r="D116" i="82"/>
  <c r="E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F109" i="82" s="1"/>
  <c r="G109" i="82" s="1"/>
  <c r="H109" i="82" s="1"/>
  <c r="I109" i="82" s="1"/>
  <c r="J109" i="82" s="1"/>
  <c r="K109" i="82" s="1"/>
  <c r="L109" i="82" s="1"/>
  <c r="M109" i="82" s="1"/>
  <c r="E107" i="82"/>
  <c r="F107" i="82" s="1"/>
  <c r="G107" i="82" s="1"/>
  <c r="H107" i="82" s="1"/>
  <c r="I107" i="82" s="1"/>
  <c r="J107" i="82" s="1"/>
  <c r="K107" i="82" s="1"/>
  <c r="L107" i="82" s="1"/>
  <c r="M107" i="82" s="1"/>
  <c r="D107" i="82"/>
  <c r="F105" i="82"/>
  <c r="G105" i="82" s="1"/>
  <c r="H105" i="82" s="1"/>
  <c r="C105" i="82"/>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H31" i="82" s="1"/>
  <c r="AB31" i="82" s="1"/>
  <c r="B95" i="82"/>
  <c r="B93" i="82"/>
  <c r="H29" i="82" s="1"/>
  <c r="AB29" i="82" s="1"/>
  <c r="D92" i="82"/>
  <c r="E92" i="82" s="1"/>
  <c r="F92" i="82" s="1"/>
  <c r="G92" i="82" s="1"/>
  <c r="H92" i="82" s="1"/>
  <c r="I92" i="82" s="1"/>
  <c r="J92" i="82" s="1"/>
  <c r="K92" i="82" s="1"/>
  <c r="L92" i="82" s="1"/>
  <c r="M92" i="82" s="1"/>
  <c r="B91" i="82"/>
  <c r="F90" i="82"/>
  <c r="G90" i="82" s="1"/>
  <c r="H90" i="82" s="1"/>
  <c r="I90" i="82" s="1"/>
  <c r="J90" i="82" s="1"/>
  <c r="K90" i="82" s="1"/>
  <c r="L90" i="82" s="1"/>
  <c r="M90" i="82" s="1"/>
  <c r="D90" i="82"/>
  <c r="E90" i="82" s="1"/>
  <c r="B89" i="82"/>
  <c r="E88" i="82"/>
  <c r="F88" i="82" s="1"/>
  <c r="G88" i="82" s="1"/>
  <c r="H88" i="82" s="1"/>
  <c r="I88" i="82" s="1"/>
  <c r="J88" i="82" s="1"/>
  <c r="K88" i="82" s="1"/>
  <c r="L88" i="82" s="1"/>
  <c r="M88" i="82" s="1"/>
  <c r="D88" i="82"/>
  <c r="E86" i="82"/>
  <c r="F86" i="82" s="1"/>
  <c r="G86" i="82" s="1"/>
  <c r="D86" i="82"/>
  <c r="D84" i="82"/>
  <c r="E84" i="82" s="1"/>
  <c r="F84" i="82" s="1"/>
  <c r="G84" i="82" s="1"/>
  <c r="D82" i="82"/>
  <c r="E82" i="82" s="1"/>
  <c r="F82" i="82" s="1"/>
  <c r="G82" i="82" s="1"/>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P50" i="82"/>
  <c r="P49" i="82"/>
  <c r="K49" i="82"/>
  <c r="P48" i="82"/>
  <c r="Q47" i="82"/>
  <c r="Z47" i="82" s="1"/>
  <c r="J47" i="82"/>
  <c r="AC47" i="82" s="1"/>
  <c r="Q46" i="82"/>
  <c r="Z46" i="82" s="1"/>
  <c r="J46" i="82"/>
  <c r="AC46" i="82" s="1"/>
  <c r="H46" i="82"/>
  <c r="AB46" i="82" s="1"/>
  <c r="F46" i="82"/>
  <c r="AA46" i="82" s="1"/>
  <c r="Q45" i="82"/>
  <c r="Z45" i="82" s="1"/>
  <c r="F45" i="82"/>
  <c r="AA45" i="82" s="1"/>
  <c r="Q44" i="82"/>
  <c r="Z44" i="82" s="1"/>
  <c r="H44" i="82"/>
  <c r="AB44" i="82" s="1"/>
  <c r="Q43" i="82"/>
  <c r="Z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F40" i="82"/>
  <c r="AA40" i="82" s="1"/>
  <c r="Q39" i="82"/>
  <c r="Z39" i="82" s="1"/>
  <c r="J39" i="82"/>
  <c r="AC39" i="82" s="1"/>
  <c r="H39" i="82"/>
  <c r="AB39" i="82" s="1"/>
  <c r="F39" i="82"/>
  <c r="AA39" i="82" s="1"/>
  <c r="Q38" i="82"/>
  <c r="Z38" i="82" s="1"/>
  <c r="J38" i="82"/>
  <c r="AC38" i="82" s="1"/>
  <c r="H38" i="82"/>
  <c r="AB38" i="82" s="1"/>
  <c r="F38" i="82"/>
  <c r="AA38" i="82" s="1"/>
  <c r="Q37" i="82"/>
  <c r="Z37" i="82" s="1"/>
  <c r="Q36" i="82"/>
  <c r="Z36" i="82" s="1"/>
  <c r="J36" i="82"/>
  <c r="AC36" i="82" s="1"/>
  <c r="F36" i="82"/>
  <c r="AA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J31" i="82"/>
  <c r="AC31" i="82" s="1"/>
  <c r="F31" i="82"/>
  <c r="AA31" i="82" s="1"/>
  <c r="U30" i="82"/>
  <c r="Q30" i="82"/>
  <c r="Z30" i="82" s="1"/>
  <c r="J30" i="82"/>
  <c r="AC30" i="82" s="1"/>
  <c r="H30" i="82"/>
  <c r="AB30" i="82" s="1"/>
  <c r="F30" i="82"/>
  <c r="AA30" i="82" s="1"/>
  <c r="Q29" i="82"/>
  <c r="Z29" i="82" s="1"/>
  <c r="J29" i="82"/>
  <c r="AC29" i="82" s="1"/>
  <c r="F29" i="82"/>
  <c r="AA29" i="82" s="1"/>
  <c r="Q28" i="82"/>
  <c r="Z28" i="82" s="1"/>
  <c r="J28" i="82"/>
  <c r="AC28" i="82" s="1"/>
  <c r="H28" i="82"/>
  <c r="AB28" i="82" s="1"/>
  <c r="F28" i="82"/>
  <c r="AA28" i="82" s="1"/>
  <c r="Q27" i="82"/>
  <c r="Z27" i="82" s="1"/>
  <c r="F27" i="82"/>
  <c r="AA27" i="82" s="1"/>
  <c r="Q25" i="82"/>
  <c r="Z25" i="82" s="1"/>
  <c r="J25" i="82"/>
  <c r="AC25" i="82" s="1"/>
  <c r="H25" i="82"/>
  <c r="AB25" i="82" s="1"/>
  <c r="F25" i="82"/>
  <c r="AA25" i="82" s="1"/>
  <c r="Q23" i="82"/>
  <c r="Z23" i="82" s="1"/>
  <c r="J23" i="82"/>
  <c r="AC23" i="82" s="1"/>
  <c r="H23" i="82"/>
  <c r="AB23" i="82" s="1"/>
  <c r="F23" i="82"/>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U8" i="82" s="1"/>
  <c r="F8" i="82"/>
  <c r="AA8" i="82" s="1"/>
  <c r="I34" i="34"/>
  <c r="I27" i="34"/>
  <c r="I5" i="34"/>
  <c r="I48" i="34"/>
  <c r="G48" i="34"/>
  <c r="G34" i="34"/>
  <c r="G5" i="34"/>
  <c r="G27" i="34"/>
  <c r="E48" i="34"/>
  <c r="E34" i="34"/>
  <c r="E27" i="34"/>
  <c r="E5" i="34"/>
  <c r="C37" i="34"/>
  <c r="C105" i="34"/>
  <c r="F105" i="34"/>
  <c r="G105" i="34" s="1"/>
  <c r="N6" i="1"/>
  <c r="Y6" i="1" s="1"/>
  <c r="D2" i="82"/>
  <c r="W8" i="82" l="1"/>
  <c r="S8" i="82"/>
  <c r="H36" i="82"/>
  <c r="AB36" i="82" s="1"/>
  <c r="J45" i="82"/>
  <c r="AC45" i="82" s="1"/>
  <c r="F47" i="82"/>
  <c r="AA47" i="82" s="1"/>
  <c r="J27" i="82"/>
  <c r="W31" i="82"/>
  <c r="C37" i="82"/>
  <c r="H37" i="82" s="1"/>
  <c r="H27" i="82"/>
  <c r="U27" i="82" s="1"/>
  <c r="W27" i="82"/>
  <c r="AC27" i="82"/>
  <c r="S9" i="82"/>
  <c r="W9" i="82"/>
  <c r="U15" i="82"/>
  <c r="U17" i="82"/>
  <c r="U19" i="82"/>
  <c r="U21" i="82"/>
  <c r="S25" i="82"/>
  <c r="S29" i="82"/>
  <c r="AB8" i="82"/>
  <c r="U10" i="82"/>
  <c r="S11" i="82"/>
  <c r="W11" i="82"/>
  <c r="U12" i="82"/>
  <c r="S13" i="82"/>
  <c r="W13" i="82"/>
  <c r="U14" i="82"/>
  <c r="U9" i="82"/>
  <c r="S10" i="82"/>
  <c r="W10" i="82"/>
  <c r="U11" i="82"/>
  <c r="S12" i="82"/>
  <c r="W12" i="82"/>
  <c r="U13" i="82"/>
  <c r="S14" i="82"/>
  <c r="W14" i="82"/>
  <c r="S15" i="82"/>
  <c r="W15" i="82"/>
  <c r="S17" i="82"/>
  <c r="W17" i="82"/>
  <c r="S19" i="82"/>
  <c r="W19" i="82"/>
  <c r="S21" i="82"/>
  <c r="W21" i="82"/>
  <c r="AA23" i="82"/>
  <c r="S23" i="82"/>
  <c r="U23" i="82"/>
  <c r="W25" i="82"/>
  <c r="AB27" i="82"/>
  <c r="S27" i="82"/>
  <c r="U28" i="82"/>
  <c r="W29" i="82"/>
  <c r="S31" i="82"/>
  <c r="AB37" i="82"/>
  <c r="U37" i="82"/>
  <c r="AB45" i="82"/>
  <c r="U45" i="82"/>
  <c r="AB47" i="82"/>
  <c r="U47" i="82"/>
  <c r="W23" i="82"/>
  <c r="U25" i="82"/>
  <c r="S28" i="82"/>
  <c r="W28" i="82"/>
  <c r="U29" i="82"/>
  <c r="S30" i="82"/>
  <c r="W30" i="82"/>
  <c r="U31" i="82"/>
  <c r="S32" i="82"/>
  <c r="W32" i="82"/>
  <c r="U33" i="82"/>
  <c r="U35" i="82"/>
  <c r="S36" i="82"/>
  <c r="W36" i="82"/>
  <c r="F37" i="82"/>
  <c r="J37" i="82"/>
  <c r="U38" i="82"/>
  <c r="S39" i="82"/>
  <c r="W39" i="82"/>
  <c r="H40" i="82"/>
  <c r="S41" i="82"/>
  <c r="W41" i="82"/>
  <c r="U42" i="82"/>
  <c r="U43" i="82"/>
  <c r="F44" i="82"/>
  <c r="J44" i="82"/>
  <c r="S46" i="82"/>
  <c r="W46" i="82"/>
  <c r="E55" i="82"/>
  <c r="F55" i="82" s="1"/>
  <c r="I55" i="82"/>
  <c r="J55" i="82" s="1"/>
  <c r="R48" i="82"/>
  <c r="V48" i="82"/>
  <c r="U32" i="82"/>
  <c r="S33" i="82"/>
  <c r="W33" i="82"/>
  <c r="S35" i="82"/>
  <c r="W35" i="82"/>
  <c r="U36" i="82"/>
  <c r="S38" i="82"/>
  <c r="W38" i="82"/>
  <c r="U39" i="82"/>
  <c r="S40" i="82"/>
  <c r="W40" i="82"/>
  <c r="U41" i="82"/>
  <c r="S42" i="82"/>
  <c r="W42" i="82"/>
  <c r="S43" i="82"/>
  <c r="W43" i="82"/>
  <c r="U44" i="82"/>
  <c r="S45" i="82"/>
  <c r="W45" i="82"/>
  <c r="U46" i="82"/>
  <c r="S47" i="82"/>
  <c r="W47" i="82"/>
  <c r="G55" i="82"/>
  <c r="H55" i="82" s="1"/>
  <c r="T48" i="82"/>
  <c r="AC44" i="82" l="1"/>
  <c r="W44" i="82"/>
  <c r="AB40" i="82"/>
  <c r="U40" i="82"/>
  <c r="AC37" i="82"/>
  <c r="W37" i="82"/>
  <c r="AA44" i="82"/>
  <c r="S44" i="82"/>
  <c r="AA37" i="82"/>
  <c r="S37" i="82"/>
  <c r="I7" i="7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V3"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O3" i="79"/>
  <c r="Z3" i="79"/>
  <c r="AB3" i="79"/>
  <c r="S3" i="79"/>
  <c r="U3" i="79"/>
  <c r="R12" i="79"/>
  <c r="T12" i="79"/>
  <c r="W12" i="79" s="1"/>
  <c r="V12" i="79"/>
  <c r="S13" i="79"/>
  <c r="U13" i="79"/>
  <c r="R14" i="79"/>
  <c r="T14" i="79"/>
  <c r="W14" i="79" s="1"/>
  <c r="V14" i="79"/>
  <c r="R15" i="79"/>
  <c r="V15" i="79"/>
  <c r="S16" i="79"/>
  <c r="U16" i="79"/>
  <c r="T25" i="79"/>
  <c r="W25" i="79" s="1"/>
  <c r="L3" i="79"/>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s="1"/>
  <c r="O39" i="71"/>
  <c r="Y39" i="71" s="1"/>
  <c r="Z39" i="71" s="1"/>
  <c r="N39" i="71"/>
  <c r="Q38" i="71"/>
  <c r="AB38" i="71" s="1"/>
  <c r="P38" i="71"/>
  <c r="AA38" i="71" s="1"/>
  <c r="O38" i="71"/>
  <c r="N38" i="71"/>
  <c r="Q37" i="71"/>
  <c r="F38" i="71" s="1"/>
  <c r="F39" i="71" s="1"/>
  <c r="F40" i="71" s="1"/>
  <c r="V40" i="71" s="1"/>
  <c r="P37" i="71"/>
  <c r="O37" i="71"/>
  <c r="N37" i="71"/>
  <c r="B38" i="71" s="1"/>
  <c r="B39" i="71" s="1"/>
  <c r="D37" i="71"/>
  <c r="Q36" i="71"/>
  <c r="P36" i="71"/>
  <c r="O36" i="71"/>
  <c r="Y36" i="71"/>
  <c r="Z36" i="71" s="1"/>
  <c r="N36" i="71"/>
  <c r="Q35" i="71"/>
  <c r="AB35" i="71" s="1"/>
  <c r="P35" i="71"/>
  <c r="O35" i="71"/>
  <c r="N35" i="71"/>
  <c r="X34" i="71" s="1"/>
  <c r="Q34" i="71"/>
  <c r="P34" i="71"/>
  <c r="AA34" i="71" s="1"/>
  <c r="O34" i="71"/>
  <c r="Y34" i="71"/>
  <c r="Z34" i="71" s="1"/>
  <c r="N34" i="71"/>
  <c r="Q33" i="71"/>
  <c r="F34" i="71" s="1"/>
  <c r="F35" i="71" s="1"/>
  <c r="F36" i="71" s="1"/>
  <c r="V36" i="71" s="1"/>
  <c r="P33" i="71"/>
  <c r="O33" i="71"/>
  <c r="C34" i="71" s="1"/>
  <c r="D34" i="71" s="1"/>
  <c r="N33" i="71"/>
  <c r="D33" i="71"/>
  <c r="Q32" i="71"/>
  <c r="P32" i="71"/>
  <c r="O32" i="71"/>
  <c r="Y32" i="71"/>
  <c r="Z32" i="71" s="1"/>
  <c r="N32" i="71"/>
  <c r="Q31" i="71"/>
  <c r="AB31" i="71" s="1"/>
  <c r="P31" i="71"/>
  <c r="O31" i="71"/>
  <c r="N31" i="71"/>
  <c r="Q30" i="71"/>
  <c r="P30" i="71"/>
  <c r="O30" i="71"/>
  <c r="N30" i="71"/>
  <c r="Q29" i="71"/>
  <c r="P29" i="71"/>
  <c r="E30" i="71" s="1"/>
  <c r="O29" i="71"/>
  <c r="N29" i="71"/>
  <c r="D29" i="71"/>
  <c r="O28" i="71"/>
  <c r="C28" i="71" s="1"/>
  <c r="N28" i="71"/>
  <c r="X26" i="71" s="1"/>
  <c r="B30" i="71"/>
  <c r="B31" i="71" s="1"/>
  <c r="X29" i="71"/>
  <c r="B34" i="71"/>
  <c r="B35" i="71" s="1"/>
  <c r="X33" i="71"/>
  <c r="E38" i="71"/>
  <c r="AA37" i="71"/>
  <c r="E34" i="71"/>
  <c r="AA33" i="71"/>
  <c r="Y29" i="71"/>
  <c r="Z29" i="71" s="1"/>
  <c r="AA30" i="71"/>
  <c r="AA32" i="71"/>
  <c r="C35" i="71"/>
  <c r="X35" i="71"/>
  <c r="C38" i="71"/>
  <c r="D38" i="71" s="1"/>
  <c r="Y25" i="71"/>
  <c r="Z25" i="71" s="1"/>
  <c r="Y27" i="71"/>
  <c r="Z27" i="71" s="1"/>
  <c r="B28" i="71"/>
  <c r="B27" i="71" s="1"/>
  <c r="B26" i="71" s="1"/>
  <c r="X28" i="71"/>
  <c r="C39" i="71"/>
  <c r="C40" i="71" s="1"/>
  <c r="C47" i="71"/>
  <c r="D47" i="71" s="1"/>
  <c r="D50" i="71"/>
  <c r="P28" i="71"/>
  <c r="E55" i="71"/>
  <c r="E56" i="71" s="1"/>
  <c r="U56" i="71" s="1"/>
  <c r="E60" i="71"/>
  <c r="U60" i="71" s="1"/>
  <c r="E63" i="71"/>
  <c r="E64" i="71" s="1"/>
  <c r="U64" i="71" s="1"/>
  <c r="Q65" i="71"/>
  <c r="U68" i="71"/>
  <c r="E67" i="71"/>
  <c r="P67" i="71" s="1"/>
  <c r="Q28" i="71"/>
  <c r="C59" i="71"/>
  <c r="C60" i="71" s="1"/>
  <c r="D60" i="71" s="1"/>
  <c r="D62" i="71"/>
  <c r="Q67" i="71"/>
  <c r="T68" i="71"/>
  <c r="O68" i="71"/>
  <c r="D68" i="71"/>
  <c r="C67" i="71"/>
  <c r="Q68" i="71"/>
  <c r="E71" i="71"/>
  <c r="E70" i="71" s="1"/>
  <c r="D72" i="71"/>
  <c r="C75" i="71"/>
  <c r="E75" i="71"/>
  <c r="E74" i="71" s="1"/>
  <c r="D76" i="71"/>
  <c r="E79" i="71"/>
  <c r="E78" i="71" s="1"/>
  <c r="C83" i="71"/>
  <c r="D83" i="71" s="1"/>
  <c r="C87" i="71"/>
  <c r="C86" i="71" s="1"/>
  <c r="D86" i="71" s="1"/>
  <c r="F28" i="71"/>
  <c r="F27" i="71" s="1"/>
  <c r="F26" i="71" s="1"/>
  <c r="AB28" i="71"/>
  <c r="E28" i="71"/>
  <c r="E27" i="71"/>
  <c r="E26" i="71" s="1"/>
  <c r="AA26" i="71"/>
  <c r="C66" i="71"/>
  <c r="D66" i="71" s="1"/>
  <c r="O67" i="71"/>
  <c r="D67" i="71"/>
  <c r="C82" i="71"/>
  <c r="D82" i="71" s="1"/>
  <c r="D75" i="71"/>
  <c r="C74" i="71"/>
  <c r="D74" i="71" s="1"/>
  <c r="D87" i="71"/>
  <c r="D59" i="71"/>
  <c r="E66" i="71"/>
  <c r="P65" i="71" s="1"/>
  <c r="D39" i="71"/>
  <c r="V28" i="71"/>
  <c r="P6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F18" i="35"/>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18" i="36"/>
  <c r="H25" i="40"/>
  <c r="AB25" i="40" s="1"/>
  <c r="J25" i="40"/>
  <c r="AC25" i="40" s="1"/>
  <c r="H29" i="39"/>
  <c r="AB29" i="39" s="1"/>
  <c r="J29" i="39"/>
  <c r="J18" i="36"/>
  <c r="AC18" i="36" s="1"/>
  <c r="H18" i="35"/>
  <c r="G68" i="35"/>
  <c r="J18" i="35"/>
  <c r="F77" i="37"/>
  <c r="G77" i="37" s="1"/>
  <c r="H21" i="37"/>
  <c r="F21" i="37"/>
  <c r="H21" i="34"/>
  <c r="AB21" i="34" s="1"/>
  <c r="H21" i="33"/>
  <c r="U21" i="33" s="1"/>
  <c r="F21" i="33"/>
  <c r="E83" i="21"/>
  <c r="F83" i="21" s="1"/>
  <c r="G83" i="21" s="1"/>
  <c r="H1" i="69"/>
  <c r="W25" i="40"/>
  <c r="U25" i="40"/>
  <c r="U29" i="39"/>
  <c r="W18" i="36"/>
  <c r="AB21" i="37"/>
  <c r="U21" i="37"/>
  <c r="AB21" i="33"/>
  <c r="AA21" i="33"/>
  <c r="S21" i="33"/>
  <c r="AC18" i="35"/>
  <c r="W18" i="35"/>
  <c r="J21" i="37"/>
  <c r="J21" i="34"/>
  <c r="W21" i="34" s="1"/>
  <c r="J21" i="33"/>
  <c r="W21" i="33" s="1"/>
  <c r="H21" i="21"/>
  <c r="U21" i="21" s="1"/>
  <c r="F38" i="69"/>
  <c r="E37" i="69"/>
  <c r="F36" i="69"/>
  <c r="F35" i="69"/>
  <c r="F21" i="69"/>
  <c r="F40" i="69" s="1"/>
  <c r="F20" i="69"/>
  <c r="F39" i="69" s="1"/>
  <c r="E10" i="69"/>
  <c r="E9" i="69"/>
  <c r="C7" i="69"/>
  <c r="AB21" i="21"/>
  <c r="J21" i="21"/>
  <c r="W21" i="21" s="1"/>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C59"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AA42" i="34" s="1"/>
  <c r="J38" i="34"/>
  <c r="W38" i="34" s="1"/>
  <c r="D114" i="34"/>
  <c r="F38" i="34"/>
  <c r="S38" i="34" s="1"/>
  <c r="D112" i="34"/>
  <c r="E112" i="34" s="1"/>
  <c r="F40" i="33"/>
  <c r="J41" i="33"/>
  <c r="D113" i="33"/>
  <c r="F37" i="33"/>
  <c r="D111" i="33"/>
  <c r="E111" i="33" s="1"/>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W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s="1"/>
  <c r="B57" i="35"/>
  <c r="B61" i="35"/>
  <c r="B59" i="35"/>
  <c r="H12" i="35" s="1"/>
  <c r="U12" i="35" s="1"/>
  <c r="B131" i="34"/>
  <c r="H47" i="34" s="1"/>
  <c r="B129" i="34"/>
  <c r="B127" i="34"/>
  <c r="J45" i="34" s="1"/>
  <c r="B99" i="34"/>
  <c r="B97" i="34"/>
  <c r="B95" i="34"/>
  <c r="B93" i="34"/>
  <c r="B75" i="34"/>
  <c r="J14" i="34" s="1"/>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H12" i="34"/>
  <c r="AB12" i="34" s="1"/>
  <c r="Q11" i="34"/>
  <c r="Z11" i="34" s="1"/>
  <c r="Q10" i="34"/>
  <c r="Z10" i="34" s="1"/>
  <c r="F10" i="34"/>
  <c r="AA10" i="34" s="1"/>
  <c r="Q9" i="34"/>
  <c r="Z9" i="34" s="1"/>
  <c r="H9" i="34"/>
  <c r="AB9" i="34" s="1"/>
  <c r="J8" i="34"/>
  <c r="AC8" i="34" s="1"/>
  <c r="H8" i="34"/>
  <c r="U8" i="34" s="1"/>
  <c r="F8" i="34"/>
  <c r="AA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c r="J26" i="21"/>
  <c r="W26" i="21" s="1"/>
  <c r="F26" i="21"/>
  <c r="S26" i="21" s="1"/>
  <c r="AB41" i="21"/>
  <c r="S41" i="21"/>
  <c r="F45" i="39"/>
  <c r="S45" i="39" s="1"/>
  <c r="J45" i="39"/>
  <c r="J44" i="39"/>
  <c r="AC44" i="39" s="1"/>
  <c r="F36" i="39"/>
  <c r="S36" i="39" s="1"/>
  <c r="H36" i="39"/>
  <c r="J35" i="39"/>
  <c r="AC35" i="39" s="1"/>
  <c r="F35" i="39"/>
  <c r="AA35" i="39" s="1"/>
  <c r="J36" i="39"/>
  <c r="U9" i="39"/>
  <c r="W40" i="39"/>
  <c r="W25" i="37"/>
  <c r="W31" i="37"/>
  <c r="E103" i="37"/>
  <c r="F103" i="37" s="1"/>
  <c r="G103" i="37" s="1"/>
  <c r="H103" i="37" s="1"/>
  <c r="I103" i="37" s="1"/>
  <c r="J103" i="37" s="1"/>
  <c r="K103" i="37" s="1"/>
  <c r="L103" i="37" s="1"/>
  <c r="M103" i="37" s="1"/>
  <c r="F39" i="37"/>
  <c r="U14" i="37"/>
  <c r="F29" i="36"/>
  <c r="AA29" i="36" s="1"/>
  <c r="F16" i="36"/>
  <c r="AA16" i="36" s="1"/>
  <c r="U9" i="36"/>
  <c r="U31" i="36"/>
  <c r="H22" i="35"/>
  <c r="AB22" i="35" s="1"/>
  <c r="AC27" i="35"/>
  <c r="U31" i="35"/>
  <c r="W34" i="35"/>
  <c r="W22" i="35"/>
  <c r="S31" i="35"/>
  <c r="F36" i="34"/>
  <c r="AA36" i="34" s="1"/>
  <c r="J35" i="34"/>
  <c r="AC35" i="34" s="1"/>
  <c r="H39" i="33"/>
  <c r="AB39" i="33" s="1"/>
  <c r="F26" i="33"/>
  <c r="AA26" i="33" s="1"/>
  <c r="U35" i="33"/>
  <c r="S40" i="33"/>
  <c r="W33" i="33"/>
  <c r="H39" i="37"/>
  <c r="AB39" i="37" s="1"/>
  <c r="S27" i="35"/>
  <c r="F11" i="40"/>
  <c r="AA11" i="40" s="1"/>
  <c r="H11" i="40"/>
  <c r="AB11" i="40" s="1"/>
  <c r="AC40" i="40"/>
  <c r="AA9" i="40"/>
  <c r="U9" i="40"/>
  <c r="S34" i="40"/>
  <c r="U38" i="40"/>
  <c r="S40" i="40"/>
  <c r="W31"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H32" i="33"/>
  <c r="H11" i="21"/>
  <c r="U11" i="21" s="1"/>
  <c r="J11" i="21"/>
  <c r="W11" i="21" s="1"/>
  <c r="H37" i="40"/>
  <c r="U37" i="40" s="1"/>
  <c r="H36" i="40"/>
  <c r="AB36" i="40" s="1"/>
  <c r="F35" i="40"/>
  <c r="AA35" i="40" s="1"/>
  <c r="H23" i="40"/>
  <c r="H17" i="40"/>
  <c r="U17" i="40" s="1"/>
  <c r="J15" i="40"/>
  <c r="W15" i="40" s="1"/>
  <c r="J11" i="40"/>
  <c r="AB8" i="39"/>
  <c r="AB12" i="35"/>
  <c r="AB12" i="36"/>
  <c r="F37" i="39"/>
  <c r="AA37" i="39" s="1"/>
  <c r="J34" i="36"/>
  <c r="W34" i="36" s="1"/>
  <c r="U30" i="36"/>
  <c r="J30" i="35"/>
  <c r="W30" i="35" s="1"/>
  <c r="H30" i="35"/>
  <c r="AB30" i="35" s="1"/>
  <c r="F22" i="35"/>
  <c r="AA22" i="35" s="1"/>
  <c r="H10" i="35"/>
  <c r="U10" i="35" s="1"/>
  <c r="F33" i="36"/>
  <c r="AA33" i="36" s="1"/>
  <c r="W30" i="36"/>
  <c r="H16" i="36"/>
  <c r="AB16" i="36" s="1"/>
  <c r="F85" i="36"/>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28" i="34"/>
  <c r="AA28" i="34" s="1"/>
  <c r="F27" i="34"/>
  <c r="AA27" i="34" s="1"/>
  <c r="F25" i="34"/>
  <c r="S25" i="34" s="1"/>
  <c r="H23" i="34"/>
  <c r="F19" i="34"/>
  <c r="H17" i="34"/>
  <c r="U17" i="34" s="1"/>
  <c r="F15" i="34"/>
  <c r="AA15" i="34" s="1"/>
  <c r="H15" i="34"/>
  <c r="AB15"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F37" i="40"/>
  <c r="AA37" i="40"/>
  <c r="F36" i="40"/>
  <c r="AA36" i="40"/>
  <c r="H28" i="40"/>
  <c r="U28" i="40"/>
  <c r="F23" i="40"/>
  <c r="AA23" i="40"/>
  <c r="F17" i="40"/>
  <c r="AA17" i="40"/>
  <c r="J17" i="40"/>
  <c r="W17" i="40"/>
  <c r="F15" i="40"/>
  <c r="S15" i="40"/>
  <c r="H15" i="40"/>
  <c r="AB15" i="40"/>
  <c r="AA12" i="36"/>
  <c r="AB30" i="36"/>
  <c r="F29" i="35"/>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H25" i="34"/>
  <c r="AB25" i="34" s="1"/>
  <c r="J25" i="34"/>
  <c r="AC25" i="34" s="1"/>
  <c r="F23" i="34"/>
  <c r="AA23" i="34" s="1"/>
  <c r="J19" i="34"/>
  <c r="AC19" i="34" s="1"/>
  <c r="J17" i="34"/>
  <c r="W17" i="34" s="1"/>
  <c r="S41" i="33"/>
  <c r="H37" i="33"/>
  <c r="AB37" i="33" s="1"/>
  <c r="H15" i="33"/>
  <c r="AB15" i="33" s="1"/>
  <c r="H11" i="33"/>
  <c r="AB11" i="33" s="1"/>
  <c r="F28" i="40"/>
  <c r="AA28" i="40" s="1"/>
  <c r="S42" i="34"/>
  <c r="AA38" i="34"/>
  <c r="J11" i="33"/>
  <c r="W11" i="33" s="1"/>
  <c r="J42" i="21"/>
  <c r="AC42" i="21" s="1"/>
  <c r="H42" i="21"/>
  <c r="U42" i="21" s="1"/>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U28" i="33"/>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AB31" i="33" s="1"/>
  <c r="F31" i="33"/>
  <c r="H45" i="33"/>
  <c r="U45" i="33" s="1"/>
  <c r="J45" i="33"/>
  <c r="W45" i="33" s="1"/>
  <c r="F45" i="33"/>
  <c r="F14" i="34"/>
  <c r="S14" i="34" s="1"/>
  <c r="H30" i="34"/>
  <c r="F30" i="34"/>
  <c r="S30" i="34" s="1"/>
  <c r="J30" i="34"/>
  <c r="H32" i="34"/>
  <c r="AB32" i="34" s="1"/>
  <c r="F32" i="34"/>
  <c r="J32" i="34"/>
  <c r="W32" i="34" s="1"/>
  <c r="H46" i="34"/>
  <c r="U46" i="34" s="1"/>
  <c r="F46" i="34"/>
  <c r="AA46" i="34" s="1"/>
  <c r="J46" i="34"/>
  <c r="W46" i="34" s="1"/>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s="1"/>
  <c r="F107" i="37"/>
  <c r="G107" i="37" s="1"/>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AC29" i="34" s="1"/>
  <c r="F29" i="34"/>
  <c r="S29" i="34" s="1"/>
  <c r="H29" i="34"/>
  <c r="AB29" i="34" s="1"/>
  <c r="J31" i="34"/>
  <c r="AC31" i="34" s="1"/>
  <c r="H31" i="34"/>
  <c r="AB31" i="34" s="1"/>
  <c r="F31" i="34"/>
  <c r="S31" i="34" s="1"/>
  <c r="H45" i="34"/>
  <c r="U45" i="34" s="1"/>
  <c r="F45" i="34"/>
  <c r="S45" i="34" s="1"/>
  <c r="F47" i="34"/>
  <c r="S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J27" i="37"/>
  <c r="AC27" i="37" s="1"/>
  <c r="J36" i="37"/>
  <c r="AC36" i="37"/>
  <c r="J10" i="36"/>
  <c r="AC10" i="36" s="1"/>
  <c r="AB26" i="33"/>
  <c r="AA14" i="37"/>
  <c r="W31" i="34"/>
  <c r="S11" i="36"/>
  <c r="AB46" i="34"/>
  <c r="AB45" i="33"/>
  <c r="U31" i="33"/>
  <c r="AC28" i="21"/>
  <c r="BA586"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BA498" i="3"/>
  <c r="AZ498" i="3"/>
  <c r="BA496" i="3"/>
  <c r="BA494" i="3"/>
  <c r="AZ494" i="3" s="1"/>
  <c r="BA583" i="3"/>
  <c r="BA581" i="3"/>
  <c r="BA579" i="3"/>
  <c r="BA577" i="3"/>
  <c r="BA575" i="3"/>
  <c r="BA573" i="3"/>
  <c r="BA571" i="3"/>
  <c r="BA569" i="3"/>
  <c r="BA567" i="3"/>
  <c r="BA565" i="3"/>
  <c r="BA563" i="3"/>
  <c r="AZ563" i="3" s="1"/>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s="1"/>
  <c r="BQ573" i="3"/>
  <c r="BL573" i="3" s="1"/>
  <c r="AZ573" i="3" s="1"/>
  <c r="BQ571" i="3"/>
  <c r="BL571" i="3"/>
  <c r="BQ569" i="3"/>
  <c r="BL569" i="3" s="1"/>
  <c r="AZ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AZ553" i="3" s="1"/>
  <c r="BQ551" i="3"/>
  <c r="BL551" i="3"/>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AZ509" i="3" s="1"/>
  <c r="BL508" i="3"/>
  <c r="AZ508" i="3"/>
  <c r="G507" i="3"/>
  <c r="G505" i="3"/>
  <c r="G503" i="3"/>
  <c r="G501" i="3"/>
  <c r="G499" i="3"/>
  <c r="G497" i="3"/>
  <c r="G495" i="3"/>
  <c r="BQ507" i="3"/>
  <c r="BL507" i="3" s="1"/>
  <c r="BQ505" i="3"/>
  <c r="BL505" i="3" s="1"/>
  <c r="AZ505" i="3" s="1"/>
  <c r="BQ503" i="3"/>
  <c r="BL503" i="3" s="1"/>
  <c r="BQ501" i="3"/>
  <c r="BL501" i="3" s="1"/>
  <c r="BQ499" i="3"/>
  <c r="BL499" i="3" s="1"/>
  <c r="BQ497" i="3"/>
  <c r="BL497" i="3" s="1"/>
  <c r="AZ497" i="3" s="1"/>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35" i="35"/>
  <c r="AB28" i="37"/>
  <c r="U39" i="37"/>
  <c r="W26" i="37"/>
  <c r="U26" i="37"/>
  <c r="AA13" i="33"/>
  <c r="U11" i="33"/>
  <c r="U19" i="21"/>
  <c r="W44" i="21"/>
  <c r="AC46" i="21"/>
  <c r="AB38" i="21"/>
  <c r="F43" i="33"/>
  <c r="AA43" i="33"/>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J11" i="39"/>
  <c r="W11" i="39"/>
  <c r="F11" i="39"/>
  <c r="AA11" i="39"/>
  <c r="S11" i="39"/>
  <c r="G4" i="4"/>
  <c r="I4" i="4"/>
  <c r="F61" i="43"/>
  <c r="H64" i="43" s="1"/>
  <c r="AZ24" i="3"/>
  <c r="AZ28" i="3"/>
  <c r="BL549" i="3"/>
  <c r="AZ549" i="3" s="1"/>
  <c r="AZ502" i="3"/>
  <c r="AZ522"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BA341" i="3"/>
  <c r="AZ341" i="3" s="1"/>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AZ144" i="3" s="1"/>
  <c r="G145" i="3"/>
  <c r="BA147" i="3"/>
  <c r="BL148" i="3"/>
  <c r="AZ148" i="3" s="1"/>
  <c r="G149" i="3"/>
  <c r="BA151" i="3"/>
  <c r="AZ151" i="3" s="1"/>
  <c r="BL152" i="3"/>
  <c r="G153" i="3"/>
  <c r="BA155" i="3"/>
  <c r="AZ155" i="3" s="1"/>
  <c r="BL156" i="3"/>
  <c r="AZ156" i="3" s="1"/>
  <c r="G157" i="3"/>
  <c r="BA159" i="3"/>
  <c r="BL160" i="3"/>
  <c r="G161" i="3"/>
  <c r="BA163" i="3"/>
  <c r="BL164" i="3"/>
  <c r="AZ164" i="3"/>
  <c r="G165" i="3"/>
  <c r="BA167" i="3"/>
  <c r="AZ167" i="3" s="1"/>
  <c r="BL168" i="3"/>
  <c r="G169" i="3"/>
  <c r="BA171" i="3"/>
  <c r="AZ171" i="3" s="1"/>
  <c r="BL172" i="3"/>
  <c r="AZ172" i="3" s="1"/>
  <c r="G173" i="3"/>
  <c r="BA175" i="3"/>
  <c r="BL176" i="3"/>
  <c r="G177" i="3"/>
  <c r="BA179" i="3"/>
  <c r="AZ179" i="3" s="1"/>
  <c r="BL180" i="3"/>
  <c r="AZ180" i="3" s="1"/>
  <c r="G181" i="3"/>
  <c r="BA183" i="3"/>
  <c r="BL184" i="3"/>
  <c r="AZ184" i="3" s="1"/>
  <c r="G185" i="3"/>
  <c r="BA187" i="3"/>
  <c r="AZ187" i="3" s="1"/>
  <c r="BL188" i="3"/>
  <c r="AZ188" i="3" s="1"/>
  <c r="G189" i="3"/>
  <c r="BA191" i="3"/>
  <c r="AZ191" i="3"/>
  <c r="BL192" i="3"/>
  <c r="G193" i="3"/>
  <c r="BA195" i="3"/>
  <c r="AZ195" i="3"/>
  <c r="BL196" i="3"/>
  <c r="G197" i="3"/>
  <c r="BA199" i="3"/>
  <c r="AZ199" i="3" s="1"/>
  <c r="BL200" i="3"/>
  <c r="G201" i="3"/>
  <c r="BA203" i="3"/>
  <c r="AZ203" i="3" s="1"/>
  <c r="BL204" i="3"/>
  <c r="AZ204" i="3" s="1"/>
  <c r="AZ51" i="3"/>
  <c r="AZ55" i="3"/>
  <c r="AZ67" i="3"/>
  <c r="AZ71" i="3"/>
  <c r="AZ83" i="3"/>
  <c r="AZ136" i="3"/>
  <c r="AZ160" i="3"/>
  <c r="AZ176" i="3"/>
  <c r="AZ192" i="3"/>
  <c r="AZ200" i="3"/>
  <c r="AZ85" i="3"/>
  <c r="AZ93" i="3"/>
  <c r="AZ101"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AZ390" i="3" s="1"/>
  <c r="BL390" i="3"/>
  <c r="G391" i="3"/>
  <c r="G394" i="3"/>
  <c r="AZ154" i="3"/>
  <c r="AZ170" i="3"/>
  <c r="AZ178" i="3"/>
  <c r="AZ190" i="3"/>
  <c r="AZ198" i="3"/>
  <c r="AZ202" i="3"/>
  <c r="AZ206" i="3"/>
  <c r="AZ500" i="3"/>
  <c r="BA16" i="3"/>
  <c r="AZ16" i="3"/>
  <c r="BL303" i="3"/>
  <c r="G304" i="3"/>
  <c r="BA306" i="3"/>
  <c r="AZ306" i="3"/>
  <c r="BL307" i="3"/>
  <c r="AZ307" i="3"/>
  <c r="G308" i="3"/>
  <c r="BA310" i="3"/>
  <c r="BL311" i="3"/>
  <c r="AZ311" i="3" s="1"/>
  <c r="G312" i="3"/>
  <c r="BA314" i="3"/>
  <c r="BL315" i="3"/>
  <c r="AZ315" i="3"/>
  <c r="G316" i="3"/>
  <c r="BA318" i="3"/>
  <c r="AZ318" i="3" s="1"/>
  <c r="BL319" i="3"/>
  <c r="G320" i="3"/>
  <c r="BA322" i="3"/>
  <c r="AZ322" i="3" s="1"/>
  <c r="BL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214" i="3"/>
  <c r="AZ222" i="3"/>
  <c r="AZ303" i="3"/>
  <c r="G342" i="3"/>
  <c r="BL345" i="3"/>
  <c r="AZ345" i="3" s="1"/>
  <c r="G346" i="3"/>
  <c r="AZ348" i="3"/>
  <c r="BL349" i="3"/>
  <c r="AZ349" i="3" s="1"/>
  <c r="BL352" i="3"/>
  <c r="AZ352" i="3" s="1"/>
  <c r="G353" i="3"/>
  <c r="BA357" i="3"/>
  <c r="AZ357" i="3" s="1"/>
  <c r="BL358" i="3"/>
  <c r="G359" i="3"/>
  <c r="BA361" i="3"/>
  <c r="AZ361" i="3"/>
  <c r="BL362" i="3"/>
  <c r="G363" i="3"/>
  <c r="BA365" i="3"/>
  <c r="AZ365" i="3"/>
  <c r="BL366" i="3"/>
  <c r="AZ366" i="3"/>
  <c r="G367" i="3"/>
  <c r="BA369" i="3"/>
  <c r="BL370" i="3"/>
  <c r="AZ370" i="3" s="1"/>
  <c r="G371" i="3"/>
  <c r="BA373" i="3"/>
  <c r="BL374" i="3"/>
  <c r="AZ374" i="3" s="1"/>
  <c r="G375" i="3"/>
  <c r="BA377" i="3"/>
  <c r="AZ229"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J5" i="3"/>
  <c r="BF5" i="3"/>
  <c r="AZ317" i="3"/>
  <c r="AC5" i="3"/>
  <c r="AZ506" i="3"/>
  <c r="AZ496" i="3"/>
  <c r="G548" i="3"/>
  <c r="G538" i="3"/>
  <c r="G520" i="3"/>
  <c r="G502" i="3"/>
  <c r="BS5" i="3"/>
  <c r="BP5" i="3"/>
  <c r="BN5" i="3"/>
  <c r="G29" i="6" s="1"/>
  <c r="BK5" i="3"/>
  <c r="BI5" i="3"/>
  <c r="BG5" i="3"/>
  <c r="BE5" i="3"/>
  <c r="BC5" i="3"/>
  <c r="G17" i="3"/>
  <c r="BA17" i="3"/>
  <c r="BT5" i="3"/>
  <c r="AZ356" i="3"/>
  <c r="AZ368" i="3"/>
  <c r="BA15" i="3"/>
  <c r="BR5" i="3"/>
  <c r="AZ380" i="3"/>
  <c r="AZ388" i="3"/>
  <c r="AZ499" i="3"/>
  <c r="G509" i="3"/>
  <c r="AZ491" i="3"/>
  <c r="AZ493" i="3"/>
  <c r="U36" i="40"/>
  <c r="F83" i="43"/>
  <c r="H85" i="43" s="1"/>
  <c r="F50" i="43"/>
  <c r="H54" i="43" s="1"/>
  <c r="F72" i="43"/>
  <c r="H75" i="43" s="1"/>
  <c r="U17" i="39"/>
  <c r="S14" i="35"/>
  <c r="U43" i="21"/>
  <c r="U35" i="21"/>
  <c r="AC35" i="21"/>
  <c r="G8" i="1"/>
  <c r="G10" i="1"/>
  <c r="AC11" i="39"/>
  <c r="AZ501" i="3"/>
  <c r="W37" i="37"/>
  <c r="S15" i="37"/>
  <c r="U13" i="37"/>
  <c r="U12" i="40"/>
  <c r="AA12" i="40"/>
  <c r="J37" i="33"/>
  <c r="W37" i="33" s="1"/>
  <c r="G106" i="33"/>
  <c r="H106" i="33" s="1"/>
  <c r="I106" i="33" s="1"/>
  <c r="J106" i="33" s="1"/>
  <c r="K106" i="33" s="1"/>
  <c r="L106" i="33" s="1"/>
  <c r="M106" i="33" s="1"/>
  <c r="J34" i="33"/>
  <c r="W34" i="33"/>
  <c r="F33" i="34"/>
  <c r="S33" i="34" s="1"/>
  <c r="W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AC38" i="39"/>
  <c r="F39" i="39"/>
  <c r="S39" i="39" s="1"/>
  <c r="J39" i="39"/>
  <c r="AC39" i="39" s="1"/>
  <c r="E96" i="39"/>
  <c r="F96" i="39" s="1"/>
  <c r="G96" i="39" s="1"/>
  <c r="AZ354" i="3"/>
  <c r="AZ223" i="3"/>
  <c r="AZ227" i="3"/>
  <c r="AZ232" i="3"/>
  <c r="AZ240" i="3"/>
  <c r="AZ248" i="3"/>
  <c r="AZ259" i="3"/>
  <c r="AZ280" i="3"/>
  <c r="AZ288" i="3"/>
  <c r="AZ114" i="3"/>
  <c r="AZ130" i="3"/>
  <c r="AZ21" i="3"/>
  <c r="AZ50" i="3"/>
  <c r="AZ53" i="3"/>
  <c r="AZ66" i="3"/>
  <c r="AZ69" i="3"/>
  <c r="AZ72" i="3"/>
  <c r="AZ74" i="3"/>
  <c r="AZ82" i="3"/>
  <c r="AZ86" i="3"/>
  <c r="AZ94" i="3"/>
  <c r="AZ110" i="3"/>
  <c r="F23" i="39"/>
  <c r="AA23" i="39" s="1"/>
  <c r="H27" i="36"/>
  <c r="U27" i="36" s="1"/>
  <c r="F27" i="36"/>
  <c r="AA27" i="36" s="1"/>
  <c r="H33" i="34"/>
  <c r="U33" i="34" s="1"/>
  <c r="F32" i="37"/>
  <c r="AA32" i="37" s="1"/>
  <c r="F20" i="36"/>
  <c r="AA20" i="36" s="1"/>
  <c r="J33" i="34"/>
  <c r="AC33" i="34" s="1"/>
  <c r="H23" i="39"/>
  <c r="U23" i="39" s="1"/>
  <c r="D48" i="9"/>
  <c r="M52" i="9" s="1"/>
  <c r="K9" i="1"/>
  <c r="M9" i="1" s="1"/>
  <c r="AC26" i="33"/>
  <c r="AB34" i="36"/>
  <c r="U34" i="36"/>
  <c r="AB33" i="36"/>
  <c r="U33" i="36"/>
  <c r="AC12" i="39"/>
  <c r="W12" i="39"/>
  <c r="AC39" i="40"/>
  <c r="AZ412" i="3"/>
  <c r="AZ428" i="3"/>
  <c r="W12" i="33"/>
  <c r="AC12" i="33"/>
  <c r="AA32" i="36"/>
  <c r="S32" i="36"/>
  <c r="AZ437" i="3"/>
  <c r="AZ441" i="3"/>
  <c r="AZ490" i="3"/>
  <c r="U30" i="33"/>
  <c r="AC13" i="34"/>
  <c r="W28" i="37"/>
  <c r="S19" i="39"/>
  <c r="F12" i="33"/>
  <c r="H12" i="39"/>
  <c r="AB12" i="39" s="1"/>
  <c r="F39" i="40"/>
  <c r="BA14" i="3"/>
  <c r="AZ224" i="3"/>
  <c r="AZ234" i="3"/>
  <c r="AZ250" i="3"/>
  <c r="AZ281" i="3"/>
  <c r="AZ286" i="3"/>
  <c r="AZ149" i="3"/>
  <c r="AZ165" i="3"/>
  <c r="AZ197" i="3"/>
  <c r="AZ19" i="3"/>
  <c r="AZ26" i="3"/>
  <c r="B12" i="1"/>
  <c r="E12" i="1" s="1"/>
  <c r="B10" i="1"/>
  <c r="E10" i="1" s="1"/>
  <c r="AZ80" i="3"/>
  <c r="AZ84" i="3"/>
  <c r="AZ88" i="3"/>
  <c r="K12" i="1"/>
  <c r="M12" i="1" s="1"/>
  <c r="S13" i="1"/>
  <c r="AR13" i="1" s="1"/>
  <c r="R13" i="1"/>
  <c r="J51" i="67"/>
  <c r="C42" i="1"/>
  <c r="AC34" i="33"/>
  <c r="AA34" i="33"/>
  <c r="AB37" i="40"/>
  <c r="S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S26" i="37"/>
  <c r="AC29" i="37"/>
  <c r="U29"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C39" i="34"/>
  <c r="W41" i="34"/>
  <c r="AC42" i="34"/>
  <c r="AA45" i="34"/>
  <c r="AA25" i="34"/>
  <c r="U28" i="34"/>
  <c r="AA29" i="34"/>
  <c r="S23" i="34"/>
  <c r="U15" i="34"/>
  <c r="H10" i="34"/>
  <c r="AB10" i="34" s="1"/>
  <c r="F11" i="34"/>
  <c r="S11" i="34" s="1"/>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L17" i="3"/>
  <c r="AZ17" i="3" s="1"/>
  <c r="BL13" i="3"/>
  <c r="J56" i="9"/>
  <c r="J57" i="9" s="1"/>
  <c r="J59" i="9" s="1"/>
  <c r="J61" i="9" s="1"/>
  <c r="A24" i="51"/>
  <c r="B18" i="72" s="1"/>
  <c r="E5" i="6"/>
  <c r="E32" i="6"/>
  <c r="G1" i="68"/>
  <c r="K1" i="12"/>
  <c r="E19" i="69"/>
  <c r="E19" i="68"/>
  <c r="E19" i="11"/>
  <c r="G22" i="69"/>
  <c r="G26" i="12"/>
  <c r="C6" i="43"/>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A31" i="34"/>
  <c r="AA30" i="34"/>
  <c r="AB45" i="34"/>
  <c r="AC32" i="34"/>
  <c r="W29" i="34"/>
  <c r="AC46" i="34"/>
  <c r="S32" i="34"/>
  <c r="AA32" i="34"/>
  <c r="U30" i="34"/>
  <c r="AB30" i="34"/>
  <c r="U38" i="34"/>
  <c r="AA19" i="34"/>
  <c r="S19" i="34"/>
  <c r="U9" i="34"/>
  <c r="S46" i="34"/>
  <c r="U32" i="34"/>
  <c r="U12"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AC23" i="37" s="1"/>
  <c r="G79" i="37"/>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J23" i="21"/>
  <c r="W23" i="21" s="1"/>
  <c r="F85" i="21"/>
  <c r="G85" i="21" s="1"/>
  <c r="H23" i="21"/>
  <c r="AB23" i="21" s="1"/>
  <c r="S13" i="21"/>
  <c r="D6" i="52"/>
  <c r="AP7" i="1"/>
  <c r="AB45" i="21"/>
  <c r="AB9" i="21"/>
  <c r="U9" i="21"/>
  <c r="S32" i="21"/>
  <c r="AC9" i="21"/>
  <c r="AB32" i="21"/>
  <c r="U32" i="21"/>
  <c r="U32" i="39"/>
  <c r="AC32" i="39"/>
  <c r="W32" i="39"/>
  <c r="W19" i="37"/>
  <c r="AC19" i="37"/>
  <c r="W23" i="37"/>
  <c r="H63" i="37"/>
  <c r="I63" i="37" s="1"/>
  <c r="J63" i="37" s="1"/>
  <c r="K63" i="37" s="1"/>
  <c r="L63" i="37" s="1"/>
  <c r="M63" i="37" s="1"/>
  <c r="J11" i="37"/>
  <c r="AC11" i="37" s="1"/>
  <c r="J11" i="34"/>
  <c r="W11" i="34" s="1"/>
  <c r="AB36" i="33"/>
  <c r="AC27" i="33"/>
  <c r="W25" i="33"/>
  <c r="AC25" i="33"/>
  <c r="AA23" i="33"/>
  <c r="S23" i="33"/>
  <c r="AB19" i="33"/>
  <c r="U19" i="33"/>
  <c r="AA17" i="33"/>
  <c r="S17" i="33"/>
  <c r="U17" i="33"/>
  <c r="AB17" i="33"/>
  <c r="U23" i="21"/>
  <c r="H109" i="9"/>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E7" i="76"/>
  <c r="E9" i="76"/>
  <c r="M6" i="15"/>
  <c r="B10" i="76"/>
  <c r="F6" i="73"/>
  <c r="M24" i="15"/>
  <c r="M24" i="67"/>
  <c r="L47" i="15"/>
  <c r="F13" i="15"/>
  <c r="M22" i="15"/>
  <c r="M29" i="15"/>
  <c r="M9" i="67"/>
  <c r="J15" i="67"/>
  <c r="E10" i="76"/>
  <c r="F3" i="73"/>
  <c r="F6" i="15"/>
  <c r="F42" i="67"/>
  <c r="F16" i="15"/>
  <c r="F8" i="67"/>
  <c r="B8" i="76"/>
  <c r="M26" i="15"/>
  <c r="E13" i="76"/>
  <c r="M9" i="15"/>
  <c r="M22" i="67"/>
  <c r="F7" i="15"/>
  <c r="E11" i="76"/>
  <c r="J15" i="15"/>
  <c r="C76" i="67"/>
  <c r="F4" i="73"/>
  <c r="F38" i="67"/>
  <c r="F37" i="15"/>
  <c r="L48" i="67"/>
  <c r="C76" i="15"/>
  <c r="E2" i="69"/>
  <c r="F7" i="73"/>
  <c r="E12" i="76"/>
  <c r="M23" i="15"/>
  <c r="F9" i="67"/>
  <c r="F40" i="67"/>
  <c r="F36" i="15"/>
  <c r="F9" i="15"/>
  <c r="M28" i="15"/>
  <c r="F26" i="67"/>
  <c r="D6" i="73"/>
  <c r="F13" i="67"/>
  <c r="M26" i="67"/>
  <c r="L48" i="15"/>
  <c r="M8" i="67"/>
  <c r="M6" i="67"/>
  <c r="M8" i="15"/>
  <c r="B9" i="76"/>
  <c r="F26" i="15"/>
  <c r="E8" i="76"/>
  <c r="F20" i="31"/>
  <c r="D5" i="73"/>
  <c r="E2" i="68"/>
  <c r="F5" i="73"/>
  <c r="F42" i="15"/>
  <c r="F36" i="67"/>
  <c r="F43" i="15"/>
  <c r="F40" i="15"/>
  <c r="F16" i="67"/>
  <c r="L47" i="67"/>
  <c r="M28" i="67"/>
  <c r="B7" i="76"/>
  <c r="B11" i="76"/>
  <c r="M23" i="67"/>
  <c r="B13" i="76"/>
  <c r="F38" i="15"/>
  <c r="F37" i="67"/>
  <c r="AO13" i="1"/>
  <c r="B12" i="76"/>
  <c r="F8" i="15"/>
  <c r="D4" i="73"/>
  <c r="J27" i="34" l="1"/>
  <c r="W27" i="34" s="1"/>
  <c r="W12" i="37"/>
  <c r="AC12" i="37"/>
  <c r="C20" i="71"/>
  <c r="C19" i="71" s="1"/>
  <c r="S32" i="37"/>
  <c r="U35" i="40"/>
  <c r="AZ377" i="3"/>
  <c r="AZ369" i="3"/>
  <c r="AZ310" i="3"/>
  <c r="AZ327" i="3"/>
  <c r="U23" i="35"/>
  <c r="AB23" i="35"/>
  <c r="AC32" i="40"/>
  <c r="W32" i="40"/>
  <c r="AA38" i="40"/>
  <c r="S38" i="40"/>
  <c r="AZ373" i="3"/>
  <c r="AZ382" i="3"/>
  <c r="AZ371" i="3"/>
  <c r="AZ342" i="3"/>
  <c r="AZ336" i="3"/>
  <c r="AZ321" i="3"/>
  <c r="AZ304" i="3"/>
  <c r="AZ394" i="3"/>
  <c r="S14" i="40"/>
  <c r="AA25" i="21"/>
  <c r="AC45" i="33"/>
  <c r="AZ559" i="3"/>
  <c r="AZ581" i="3"/>
  <c r="AZ560" i="3"/>
  <c r="AZ568" i="3"/>
  <c r="AZ576" i="3"/>
  <c r="AB30" i="21"/>
  <c r="S28" i="34"/>
  <c r="W39" i="33"/>
  <c r="H12" i="21"/>
  <c r="BL585" i="3"/>
  <c r="BA585" i="3"/>
  <c r="F12" i="35"/>
  <c r="J23" i="35"/>
  <c r="F25" i="37"/>
  <c r="J38" i="40"/>
  <c r="H39" i="40"/>
  <c r="G582" i="3"/>
  <c r="G566" i="3"/>
  <c r="G552" i="3"/>
  <c r="BA551" i="3"/>
  <c r="AZ551" i="3" s="1"/>
  <c r="BL550" i="3"/>
  <c r="BA550" i="3"/>
  <c r="AZ550" i="3" s="1"/>
  <c r="BL15" i="3"/>
  <c r="AZ15" i="3" s="1"/>
  <c r="BL587" i="3"/>
  <c r="BA587" i="3"/>
  <c r="BL586" i="3"/>
  <c r="AZ586" i="3" s="1"/>
  <c r="H5" i="3"/>
  <c r="BH5" i="3"/>
  <c r="BD5" i="3"/>
  <c r="BB5" i="3"/>
  <c r="BA13" i="3"/>
  <c r="BM5" i="3"/>
  <c r="BQ5" i="3"/>
  <c r="BA398" i="3"/>
  <c r="AZ398" i="3" s="1"/>
  <c r="AZ442" i="3"/>
  <c r="AZ446" i="3"/>
  <c r="AZ481" i="3"/>
  <c r="AZ487" i="3"/>
  <c r="BA400" i="3"/>
  <c r="AZ400" i="3" s="1"/>
  <c r="BA401" i="3"/>
  <c r="AZ401" i="3" s="1"/>
  <c r="BA402" i="3"/>
  <c r="BL402" i="3"/>
  <c r="G404" i="3"/>
  <c r="BL404" i="3"/>
  <c r="BA405" i="3"/>
  <c r="AZ405" i="3" s="1"/>
  <c r="BA406" i="3"/>
  <c r="BL406" i="3"/>
  <c r="BA407" i="3"/>
  <c r="AZ407" i="3" s="1"/>
  <c r="BA408" i="3"/>
  <c r="AZ408" i="3" s="1"/>
  <c r="G411" i="3"/>
  <c r="BL411" i="3"/>
  <c r="AZ411" i="3" s="1"/>
  <c r="G414" i="3"/>
  <c r="BL414" i="3"/>
  <c r="BA415" i="3"/>
  <c r="AZ415" i="3" s="1"/>
  <c r="BL417" i="3"/>
  <c r="AZ417" i="3" s="1"/>
  <c r="G419" i="3"/>
  <c r="G421" i="3"/>
  <c r="BL421" i="3"/>
  <c r="G423" i="3"/>
  <c r="BL423" i="3"/>
  <c r="AZ423" i="3" s="1"/>
  <c r="BA424" i="3"/>
  <c r="AZ424" i="3" s="1"/>
  <c r="G427" i="3"/>
  <c r="BL427" i="3"/>
  <c r="AZ427" i="3" s="1"/>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BL458" i="3"/>
  <c r="G460" i="3"/>
  <c r="BL460" i="3"/>
  <c r="BA461" i="3"/>
  <c r="AZ461" i="3" s="1"/>
  <c r="BA462" i="3"/>
  <c r="BL462" i="3"/>
  <c r="BA463" i="3"/>
  <c r="AZ463" i="3" s="1"/>
  <c r="BL465" i="3"/>
  <c r="AZ465" i="3" s="1"/>
  <c r="BA466" i="3"/>
  <c r="AZ466" i="3" s="1"/>
  <c r="G469" i="3"/>
  <c r="G471" i="3"/>
  <c r="BL471" i="3"/>
  <c r="BA472" i="3"/>
  <c r="AZ472" i="3" s="1"/>
  <c r="BA473" i="3"/>
  <c r="AZ473" i="3" s="1"/>
  <c r="G476" i="3"/>
  <c r="BL476" i="3"/>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G247" i="3"/>
  <c r="BL247" i="3"/>
  <c r="BL249" i="3"/>
  <c r="AZ249" i="3" s="1"/>
  <c r="BL251" i="3"/>
  <c r="AZ251" i="3" s="1"/>
  <c r="BA252" i="3"/>
  <c r="AZ252" i="3" s="1"/>
  <c r="BA253" i="3"/>
  <c r="AZ253" i="3" s="1"/>
  <c r="BA254" i="3"/>
  <c r="AZ254" i="3" s="1"/>
  <c r="BL256" i="3"/>
  <c r="AZ256" i="3" s="1"/>
  <c r="G259" i="3"/>
  <c r="G260" i="3"/>
  <c r="BL260" i="3"/>
  <c r="BL262"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G180" i="3"/>
  <c r="BA181" i="3"/>
  <c r="AZ181" i="3" s="1"/>
  <c r="BA182" i="3"/>
  <c r="AZ182" i="3" s="1"/>
  <c r="BL183" i="3"/>
  <c r="AZ183" i="3" s="1"/>
  <c r="BA185" i="3"/>
  <c r="AZ185" i="3" s="1"/>
  <c r="BA186" i="3"/>
  <c r="AZ186" i="3" s="1"/>
  <c r="BA358" i="3"/>
  <c r="AZ358" i="3" s="1"/>
  <c r="BL363" i="3"/>
  <c r="AZ363" i="3" s="1"/>
  <c r="BL367" i="3"/>
  <c r="AZ367" i="3" s="1"/>
  <c r="G369" i="3"/>
  <c r="BL381" i="3"/>
  <c r="AZ381" i="3" s="1"/>
  <c r="BL386" i="3"/>
  <c r="AZ386" i="3" s="1"/>
  <c r="G392" i="3"/>
  <c r="BL393" i="3"/>
  <c r="AZ393" i="3" s="1"/>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G229" i="3"/>
  <c r="G230" i="3"/>
  <c r="G231" i="3"/>
  <c r="G232" i="3"/>
  <c r="G233" i="3"/>
  <c r="BL233" i="3"/>
  <c r="AZ233" i="3" s="1"/>
  <c r="BL235" i="3"/>
  <c r="AZ235" i="3" s="1"/>
  <c r="BA236" i="3"/>
  <c r="AZ236" i="3" s="1"/>
  <c r="BA237" i="3"/>
  <c r="AZ237" i="3" s="1"/>
  <c r="BA238" i="3"/>
  <c r="AZ238" i="3" s="1"/>
  <c r="BL241" i="3"/>
  <c r="AZ241" i="3" s="1"/>
  <c r="BA242" i="3"/>
  <c r="AZ242" i="3" s="1"/>
  <c r="BA243" i="3"/>
  <c r="AZ243" i="3" s="1"/>
  <c r="BL245" i="3"/>
  <c r="AZ245" i="3" s="1"/>
  <c r="AZ260" i="3"/>
  <c r="AZ264" i="3"/>
  <c r="AZ282" i="3"/>
  <c r="AZ285" i="3"/>
  <c r="AZ290" i="3"/>
  <c r="AZ293" i="3"/>
  <c r="AZ153" i="3"/>
  <c r="AZ169"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AZ97" i="3" s="1"/>
  <c r="G100" i="3"/>
  <c r="BL100" i="3"/>
  <c r="BL102" i="3"/>
  <c r="AZ102" i="3" s="1"/>
  <c r="BA103" i="3"/>
  <c r="AZ103" i="3" s="1"/>
  <c r="BL105" i="3"/>
  <c r="AZ105" i="3" s="1"/>
  <c r="BA106" i="3"/>
  <c r="AZ106" i="3" s="1"/>
  <c r="BA107" i="3"/>
  <c r="AZ107" i="3" s="1"/>
  <c r="BL109" i="3"/>
  <c r="AZ109" i="3" s="1"/>
  <c r="AC21" i="33"/>
  <c r="AA21" i="37"/>
  <c r="S21" i="37"/>
  <c r="AA25" i="40"/>
  <c r="S25" i="40"/>
  <c r="C36" i="71"/>
  <c r="D35" i="71"/>
  <c r="C30" i="71"/>
  <c r="Y26" i="71"/>
  <c r="Z26" i="71" s="1"/>
  <c r="Y28" i="71"/>
  <c r="Z28" i="71" s="1"/>
  <c r="F30" i="71"/>
  <c r="F31" i="71" s="1"/>
  <c r="F32" i="71" s="1"/>
  <c r="V32" i="71" s="1"/>
  <c r="AB29" i="71"/>
  <c r="AB26" i="71"/>
  <c r="Y30" i="71"/>
  <c r="Z30" i="71" s="1"/>
  <c r="AA3" i="71"/>
  <c r="AA28" i="71"/>
  <c r="AA31" i="71"/>
  <c r="AA35" i="71"/>
  <c r="Y37" i="71"/>
  <c r="Z37" i="71" s="1"/>
  <c r="Y38" i="71"/>
  <c r="Z38" i="71" s="1"/>
  <c r="X39" i="71"/>
  <c r="X36" i="71"/>
  <c r="X38" i="71"/>
  <c r="D42" i="71"/>
  <c r="C43" i="71"/>
  <c r="C63" i="71"/>
  <c r="AZ87" i="3"/>
  <c r="AZ95" i="3"/>
  <c r="AZ100" i="3"/>
  <c r="W21" i="37"/>
  <c r="AC21" i="37"/>
  <c r="AB18" i="35"/>
  <c r="U18" i="35"/>
  <c r="AC29" i="39"/>
  <c r="W29" i="39"/>
  <c r="AA18" i="35"/>
  <c r="S18" i="35"/>
  <c r="O66" i="71"/>
  <c r="O65" i="71"/>
  <c r="T80" i="71"/>
  <c r="D80" i="71"/>
  <c r="BL111" i="3"/>
  <c r="AZ111" i="3" s="1"/>
  <c r="BA112" i="3"/>
  <c r="AZ112" i="3" s="1"/>
  <c r="AB25" i="71"/>
  <c r="E35" i="71"/>
  <c r="E36" i="71" s="1"/>
  <c r="U36" i="71" s="1"/>
  <c r="E39" i="71"/>
  <c r="E40" i="71" s="1"/>
  <c r="U40" i="71" s="1"/>
  <c r="B36" i="71"/>
  <c r="S36" i="71" s="1"/>
  <c r="B32" i="71"/>
  <c r="S32" i="71" s="1"/>
  <c r="X25" i="71"/>
  <c r="E31" i="71"/>
  <c r="E32" i="71" s="1"/>
  <c r="U32" i="71" s="1"/>
  <c r="X30" i="71"/>
  <c r="AB30" i="71"/>
  <c r="Y31" i="71"/>
  <c r="Z31" i="71" s="1"/>
  <c r="X31" i="71"/>
  <c r="AB32" i="71"/>
  <c r="AB34" i="71"/>
  <c r="Y35" i="71"/>
  <c r="Z35" i="71" s="1"/>
  <c r="AB36" i="71"/>
  <c r="B40" i="71"/>
  <c r="S40" i="71" s="1"/>
  <c r="D59" i="82"/>
  <c r="E59" i="82" s="1"/>
  <c r="F59" i="82" s="1"/>
  <c r="G59" i="82" s="1"/>
  <c r="H59" i="82" s="1"/>
  <c r="I59" i="82" s="1"/>
  <c r="J59" i="82" s="1"/>
  <c r="K59" i="82" s="1"/>
  <c r="L59" i="82" s="1"/>
  <c r="M59" i="82" s="1"/>
  <c r="N59" i="82" s="1"/>
  <c r="O59" i="82" s="1"/>
  <c r="F7" i="82"/>
  <c r="J7" i="82"/>
  <c r="H7" i="82"/>
  <c r="F28" i="6"/>
  <c r="BL14" i="3"/>
  <c r="AZ14" i="3" s="1"/>
  <c r="G14" i="3"/>
  <c r="BA5" i="3"/>
  <c r="C18" i="9"/>
  <c r="D18" i="9" s="1"/>
  <c r="A2" i="9"/>
  <c r="A4" i="52"/>
  <c r="B41" i="72" s="1"/>
  <c r="S8" i="34"/>
  <c r="AB41" i="34"/>
  <c r="U39" i="34"/>
  <c r="W33" i="34"/>
  <c r="AB35" i="34"/>
  <c r="H44" i="34"/>
  <c r="J44" i="34"/>
  <c r="F112" i="34"/>
  <c r="G112" i="34" s="1"/>
  <c r="H112" i="34" s="1"/>
  <c r="I112" i="34" s="1"/>
  <c r="J112" i="34" s="1"/>
  <c r="K112" i="34" s="1"/>
  <c r="L112" i="34" s="1"/>
  <c r="M112" i="34" s="1"/>
  <c r="F37" i="34"/>
  <c r="H37" i="34"/>
  <c r="U37" i="34" s="1"/>
  <c r="J37" i="34"/>
  <c r="AC37" i="34" s="1"/>
  <c r="J23" i="34"/>
  <c r="F17" i="34"/>
  <c r="J15" i="34"/>
  <c r="S35" i="34"/>
  <c r="U43" i="34"/>
  <c r="AB36" i="34"/>
  <c r="AC43" i="34"/>
  <c r="S43" i="34"/>
  <c r="AA40" i="34"/>
  <c r="W40" i="34"/>
  <c r="AA39" i="34"/>
  <c r="AC38" i="34"/>
  <c r="S36" i="34"/>
  <c r="W35" i="34"/>
  <c r="U27" i="34"/>
  <c r="U29" i="34"/>
  <c r="U31" i="34"/>
  <c r="W28" i="34"/>
  <c r="U25" i="34"/>
  <c r="W8" i="34"/>
  <c r="S13" i="34"/>
  <c r="AA33" i="34"/>
  <c r="S27" i="34"/>
  <c r="S21" i="34"/>
  <c r="U19" i="34"/>
  <c r="AC17" i="34"/>
  <c r="AB17" i="34"/>
  <c r="W45" i="34"/>
  <c r="AC45" i="34"/>
  <c r="U47" i="34"/>
  <c r="AB47" i="34"/>
  <c r="AA47" i="34"/>
  <c r="J47" i="34"/>
  <c r="AC47" i="34" s="1"/>
  <c r="W14" i="34"/>
  <c r="AC14" i="34"/>
  <c r="AA14" i="34"/>
  <c r="H14" i="34"/>
  <c r="AC12" i="34"/>
  <c r="C21" i="39"/>
  <c r="C24" i="12"/>
  <c r="B41" i="1"/>
  <c r="D93" i="9"/>
  <c r="C40" i="11"/>
  <c r="C21" i="68"/>
  <c r="C40" i="69"/>
  <c r="G22" i="11"/>
  <c r="G22" i="68"/>
  <c r="E1" i="73"/>
  <c r="A118" i="9"/>
  <c r="D19" i="53"/>
  <c r="B38" i="72" s="1"/>
  <c r="D16" i="53"/>
  <c r="B34" i="72" s="1"/>
  <c r="B19" i="53"/>
  <c r="B37" i="72" s="1"/>
  <c r="E15" i="71"/>
  <c r="E14" i="71" s="1"/>
  <c r="E13" i="71" s="1"/>
  <c r="E12" i="71" s="1"/>
  <c r="V16" i="71"/>
  <c r="D20" i="71"/>
  <c r="U20" i="71" s="1"/>
  <c r="T20" i="71"/>
  <c r="V20" i="71"/>
  <c r="AC23" i="21"/>
  <c r="AB15" i="21"/>
  <c r="W17" i="21"/>
  <c r="AC15" i="21"/>
  <c r="U12" i="39"/>
  <c r="AA27" i="40"/>
  <c r="AB27" i="40"/>
  <c r="G28" i="6"/>
  <c r="F29" i="6"/>
  <c r="F30" i="6" s="1"/>
  <c r="AB13" i="34"/>
  <c r="AZ557" i="3"/>
  <c r="AZ495" i="3"/>
  <c r="AZ513" i="3"/>
  <c r="AZ517" i="3"/>
  <c r="AZ567" i="3"/>
  <c r="AZ571" i="3"/>
  <c r="AZ575" i="3"/>
  <c r="AZ579" i="3"/>
  <c r="W13" i="36"/>
  <c r="AA14" i="33"/>
  <c r="AA44" i="33"/>
  <c r="AC14" i="37"/>
  <c r="W14" i="37"/>
  <c r="S13" i="35"/>
  <c r="AA13" i="35"/>
  <c r="AB46" i="33"/>
  <c r="U46" i="33"/>
  <c r="AC44" i="33"/>
  <c r="W44" i="33"/>
  <c r="W30" i="34"/>
  <c r="AC30" i="34"/>
  <c r="AA45" i="33"/>
  <c r="S45" i="33"/>
  <c r="AC29" i="33"/>
  <c r="W29" i="33"/>
  <c r="S15" i="34"/>
  <c r="AB33" i="37"/>
  <c r="U33" i="37"/>
  <c r="S29" i="35"/>
  <c r="AA29" i="35"/>
  <c r="W11" i="40"/>
  <c r="AC11" i="40"/>
  <c r="AB36" i="39"/>
  <c r="U36" i="39"/>
  <c r="S12" i="21"/>
  <c r="AA12" i="21"/>
  <c r="S41" i="34"/>
  <c r="AA41" i="34"/>
  <c r="AB43" i="33"/>
  <c r="U43" i="33"/>
  <c r="AB14" i="40"/>
  <c r="U14" i="40"/>
  <c r="W31" i="33"/>
  <c r="AC31" i="33"/>
  <c r="AA44" i="34"/>
  <c r="S44" i="34"/>
  <c r="W36" i="34"/>
  <c r="AC36" i="34"/>
  <c r="U23" i="34"/>
  <c r="AB23" i="34"/>
  <c r="AB33" i="35"/>
  <c r="U33" i="35"/>
  <c r="AB23" i="40"/>
  <c r="U23" i="40"/>
  <c r="AB32" i="33"/>
  <c r="U32" i="33"/>
  <c r="S39" i="37"/>
  <c r="AA39" i="37"/>
  <c r="AC36" i="39"/>
  <c r="W36" i="39"/>
  <c r="W45" i="39"/>
  <c r="AC45" i="39"/>
  <c r="AB12" i="21"/>
  <c r="U12" i="21"/>
  <c r="AB26" i="21"/>
  <c r="U26" i="21"/>
  <c r="AA34" i="21"/>
  <c r="S34" i="21"/>
  <c r="AZ585" i="3"/>
  <c r="AC9" i="34"/>
  <c r="W9" i="34"/>
  <c r="AZ409" i="3"/>
  <c r="AZ425" i="3"/>
  <c r="AZ432" i="3"/>
  <c r="AZ464" i="3"/>
  <c r="AZ467" i="3"/>
  <c r="AZ474" i="3"/>
  <c r="AZ480" i="3"/>
  <c r="AZ482" i="3"/>
  <c r="AZ486" i="3"/>
  <c r="AZ488" i="3"/>
  <c r="AZ210" i="3"/>
  <c r="AZ225" i="3"/>
  <c r="AZ255" i="3"/>
  <c r="J28" i="33"/>
  <c r="F28" i="33"/>
  <c r="U40" i="33"/>
  <c r="AC16" i="36"/>
  <c r="S44" i="39"/>
  <c r="AB12" i="33"/>
  <c r="C15" i="39"/>
  <c r="C27" i="39"/>
  <c r="S34" i="39"/>
  <c r="U40" i="40"/>
  <c r="U34" i="40"/>
  <c r="AC9" i="40"/>
  <c r="W8" i="40"/>
  <c r="U33" i="33"/>
  <c r="W28" i="35"/>
  <c r="J33" i="36"/>
  <c r="AC33" i="36" s="1"/>
  <c r="W28" i="36"/>
  <c r="U30" i="37"/>
  <c r="J12" i="21"/>
  <c r="B73" i="43"/>
  <c r="B79" i="43"/>
  <c r="B76" i="43"/>
  <c r="B75" i="43"/>
  <c r="F9" i="34"/>
  <c r="AA9" i="34" s="1"/>
  <c r="F12" i="34"/>
  <c r="F34" i="35"/>
  <c r="H34" i="35"/>
  <c r="J36" i="35"/>
  <c r="F23" i="36"/>
  <c r="H23" i="36"/>
  <c r="G551" i="3"/>
  <c r="BL548" i="3"/>
  <c r="BL5" i="3" s="1"/>
  <c r="AZ399" i="3"/>
  <c r="AZ404" i="3"/>
  <c r="AZ414" i="3"/>
  <c r="AZ421" i="3"/>
  <c r="AZ430" i="3"/>
  <c r="AZ440" i="3"/>
  <c r="AZ449" i="3"/>
  <c r="AZ453" i="3"/>
  <c r="AZ455" i="3"/>
  <c r="AZ460" i="3"/>
  <c r="AZ471" i="3"/>
  <c r="AZ476" i="3"/>
  <c r="AZ220" i="3"/>
  <c r="AZ247" i="3"/>
  <c r="AZ262" i="3"/>
  <c r="AZ270" i="3"/>
  <c r="AZ274" i="3"/>
  <c r="AZ277" i="3"/>
  <c r="AZ298" i="3"/>
  <c r="AZ301" i="3"/>
  <c r="AZ122" i="3"/>
  <c r="AZ125" i="3"/>
  <c r="AZ205" i="3"/>
  <c r="AZ18" i="3"/>
  <c r="AZ23" i="3"/>
  <c r="AZ27" i="3"/>
  <c r="AZ52" i="3"/>
  <c r="AZ56" i="3"/>
  <c r="AZ68" i="3"/>
  <c r="AZ73" i="3"/>
  <c r="A15" i="62"/>
  <c r="B61" i="72" s="1"/>
  <c r="AZ91" i="3"/>
  <c r="AZ98" i="3"/>
  <c r="AZ104" i="3"/>
  <c r="AZ108" i="3"/>
  <c r="C27" i="71"/>
  <c r="T28" i="71"/>
  <c r="D28" i="71"/>
  <c r="U28" i="71" s="1"/>
  <c r="D51" i="71"/>
  <c r="C52" i="71"/>
  <c r="D54" i="71"/>
  <c r="C55" i="71"/>
  <c r="AC21" i="34"/>
  <c r="U21" i="34"/>
  <c r="T40" i="71"/>
  <c r="D40" i="71"/>
  <c r="T36" i="71"/>
  <c r="D36" i="71"/>
  <c r="C64" i="71"/>
  <c r="D63" i="71"/>
  <c r="S21" i="21"/>
  <c r="U18" i="36"/>
  <c r="AA27" i="71"/>
  <c r="AA25" i="71"/>
  <c r="AB27" i="71"/>
  <c r="S28" i="71"/>
  <c r="C79" i="71"/>
  <c r="C71" i="71"/>
  <c r="X27" i="71"/>
  <c r="AB37" i="71"/>
  <c r="AA36" i="71"/>
  <c r="AB33" i="71"/>
  <c r="Y33" i="71"/>
  <c r="Z33" i="71" s="1"/>
  <c r="X32" i="71"/>
  <c r="X37" i="71"/>
  <c r="AA29" i="71"/>
  <c r="Y9" i="71"/>
  <c r="Z9" i="71" s="1"/>
  <c r="Y10" i="71"/>
  <c r="Z10" i="71" s="1"/>
  <c r="AA9" i="71"/>
  <c r="Y24" i="71"/>
  <c r="Z24" i="71" s="1"/>
  <c r="AB24" i="71"/>
  <c r="AA21" i="71"/>
  <c r="X21" i="71"/>
  <c r="Y18" i="71"/>
  <c r="Z18" i="71" s="1"/>
  <c r="AA12" i="71"/>
  <c r="Y14" i="71"/>
  <c r="Z14" i="71" s="1"/>
  <c r="AB11" i="71"/>
  <c r="X10" i="71"/>
  <c r="X9" i="71"/>
  <c r="AB9" i="71"/>
  <c r="S68" i="71"/>
  <c r="B67" i="71"/>
  <c r="X24" i="71"/>
  <c r="AA24" i="71"/>
  <c r="Y23" i="71"/>
  <c r="Z23" i="71" s="1"/>
  <c r="AB23" i="71"/>
  <c r="AB21" i="71"/>
  <c r="X17" i="71"/>
  <c r="Y17" i="71"/>
  <c r="Z17" i="71" s="1"/>
  <c r="AA17" i="71"/>
  <c r="AB18" i="71"/>
  <c r="K56" i="9"/>
  <c r="Y22" i="71"/>
  <c r="Z22" i="71" s="1"/>
  <c r="AA23" i="71"/>
  <c r="X22" i="71"/>
  <c r="Y21" i="71"/>
  <c r="Z21" i="71" s="1"/>
  <c r="AA22" i="71"/>
  <c r="X18" i="71"/>
  <c r="AA18" i="71"/>
  <c r="X15" i="71"/>
  <c r="AA15" i="71"/>
  <c r="AA10" i="71"/>
  <c r="AA11" i="71"/>
  <c r="AA14" i="71"/>
  <c r="X11" i="71"/>
  <c r="X14" i="71"/>
  <c r="AB10" i="71"/>
  <c r="Y11" i="71"/>
  <c r="Z11" i="71" s="1"/>
  <c r="Y13" i="71"/>
  <c r="Z13" i="71" s="1"/>
  <c r="AB15" i="71"/>
  <c r="AB17" i="71"/>
  <c r="AA13" i="71"/>
  <c r="X12" i="71"/>
  <c r="X13" i="71"/>
  <c r="AB13"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s="1"/>
  <c r="I4" i="6"/>
  <c r="G3" i="43" s="1"/>
  <c r="E29" i="6"/>
  <c r="K15" i="1" s="1"/>
  <c r="G30" i="6"/>
  <c r="G31" i="6" s="1"/>
  <c r="E28" i="6"/>
  <c r="K14" i="1" s="1"/>
  <c r="L19" i="6"/>
  <c r="L27" i="6"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D9" i="68"/>
  <c r="D7" i="73"/>
  <c r="C16" i="15"/>
  <c r="D3" i="73"/>
  <c r="AC27" i="34" l="1"/>
  <c r="W47" i="34"/>
  <c r="C31" i="71"/>
  <c r="D30" i="71"/>
  <c r="AZ458" i="3"/>
  <c r="AZ402" i="3"/>
  <c r="AZ587" i="3"/>
  <c r="AC38" i="40"/>
  <c r="W38" i="40"/>
  <c r="AC23" i="35"/>
  <c r="W23" i="35"/>
  <c r="C44" i="71"/>
  <c r="D43" i="71"/>
  <c r="AZ462" i="3"/>
  <c r="AZ406" i="3"/>
  <c r="U39" i="40"/>
  <c r="AB39" i="40"/>
  <c r="AA25" i="37"/>
  <c r="S25" i="37"/>
  <c r="S12" i="35"/>
  <c r="AA12" i="35"/>
  <c r="C18" i="71"/>
  <c r="D19" i="71"/>
  <c r="U7" i="82"/>
  <c r="AB7" i="82"/>
  <c r="S7" i="82"/>
  <c r="AA7" i="82"/>
  <c r="W7" i="82"/>
  <c r="AC7" i="82"/>
  <c r="E59" i="40"/>
  <c r="G5" i="3"/>
  <c r="B3" i="3" s="1"/>
  <c r="E539" i="3" s="1"/>
  <c r="AB37" i="34"/>
  <c r="W44" i="34"/>
  <c r="AC44" i="34"/>
  <c r="AB44" i="34"/>
  <c r="U44" i="34"/>
  <c r="AA37" i="34"/>
  <c r="S37" i="34"/>
  <c r="AC23" i="34"/>
  <c r="W23" i="34"/>
  <c r="AA17" i="34"/>
  <c r="S17" i="34"/>
  <c r="AC15" i="34"/>
  <c r="W15" i="34"/>
  <c r="AB14" i="34"/>
  <c r="U14" i="34"/>
  <c r="F48" i="9"/>
  <c r="O52" i="9" s="1"/>
  <c r="F30" i="68"/>
  <c r="F28" i="67"/>
  <c r="C28" i="67" s="1"/>
  <c r="F52" i="9"/>
  <c r="F32" i="67"/>
  <c r="F60" i="67" s="1"/>
  <c r="F32" i="15"/>
  <c r="F60" i="15" s="1"/>
  <c r="F28" i="15"/>
  <c r="C28" i="15" s="1"/>
  <c r="F54" i="9"/>
  <c r="F30" i="11"/>
  <c r="F31" i="12"/>
  <c r="C31" i="12" s="1"/>
  <c r="M18" i="67"/>
  <c r="F30" i="69"/>
  <c r="M18" i="15"/>
  <c r="D68" i="9"/>
  <c r="P6" i="1"/>
  <c r="C13" i="12" s="1"/>
  <c r="D20" i="53"/>
  <c r="B40" i="72" s="1"/>
  <c r="F7" i="36"/>
  <c r="K1" i="7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J7" i="37"/>
  <c r="H7" i="36"/>
  <c r="U7" i="36" s="1"/>
  <c r="C78" i="71"/>
  <c r="D78" i="71" s="1"/>
  <c r="D79" i="71"/>
  <c r="D55" i="71"/>
  <c r="C56" i="71"/>
  <c r="T52" i="71"/>
  <c r="D52" i="71"/>
  <c r="C26" i="71"/>
  <c r="D26" i="71" s="1"/>
  <c r="D27" i="71"/>
  <c r="AB23" i="36"/>
  <c r="U23" i="36"/>
  <c r="W36" i="35"/>
  <c r="AC36" i="35"/>
  <c r="S34" i="35"/>
  <c r="AA34" i="35"/>
  <c r="S28" i="33"/>
  <c r="AA28" i="33"/>
  <c r="AZ548" i="3"/>
  <c r="AZ5" i="3" s="1"/>
  <c r="F19" i="6" s="1"/>
  <c r="E19" i="6" s="1"/>
  <c r="B15" i="71"/>
  <c r="B14" i="71" s="1"/>
  <c r="B13" i="71" s="1"/>
  <c r="B12" i="71" s="1"/>
  <c r="S16" i="71"/>
  <c r="B66" i="71"/>
  <c r="N67" i="71"/>
  <c r="D71" i="71"/>
  <c r="C70" i="71"/>
  <c r="D70" i="71" s="1"/>
  <c r="T64" i="71"/>
  <c r="D64" i="71"/>
  <c r="AA23" i="36"/>
  <c r="S23" i="36"/>
  <c r="AB34" i="35"/>
  <c r="U34" i="35"/>
  <c r="S12" i="34"/>
  <c r="AA12" i="34"/>
  <c r="AC12" i="21"/>
  <c r="W12" i="21"/>
  <c r="W28" i="33"/>
  <c r="AC28" i="33"/>
  <c r="E11" i="71"/>
  <c r="E10" i="71" s="1"/>
  <c r="E9" i="71" s="1"/>
  <c r="E8" i="71" s="1"/>
  <c r="E7" i="71" s="1"/>
  <c r="E6" i="71" s="1"/>
  <c r="E5" i="71" s="1"/>
  <c r="V12" i="71"/>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27" i="6"/>
  <c r="K26" i="6" s="1"/>
  <c r="M26" i="6" s="1"/>
  <c r="I26" i="6" s="1"/>
  <c r="S26" i="6" s="1"/>
  <c r="E51" i="40"/>
  <c r="E16" i="6"/>
  <c r="E58" i="40"/>
  <c r="E62" i="39"/>
  <c r="M14" i="1"/>
  <c r="D5" i="43"/>
  <c r="D26" i="43"/>
  <c r="C25" i="43" s="1"/>
  <c r="C7" i="43"/>
  <c r="C5" i="43" s="1"/>
  <c r="D10" i="52"/>
  <c r="D125" i="9"/>
  <c r="D11" i="52" s="1"/>
  <c r="B7" i="74"/>
  <c r="C7" i="74" s="1"/>
  <c r="F59" i="67"/>
  <c r="H7" i="37"/>
  <c r="AB7" i="37" s="1"/>
  <c r="T42" i="37" s="1"/>
  <c r="G42" i="37" s="1"/>
  <c r="H7" i="33"/>
  <c r="J7" i="33"/>
  <c r="D65" i="40"/>
  <c r="E63" i="40"/>
  <c r="F48" i="35"/>
  <c r="S7" i="36"/>
  <c r="AA7" i="36"/>
  <c r="R36" i="36" s="1"/>
  <c r="AC7" i="37"/>
  <c r="V42" i="37" s="1"/>
  <c r="I42" i="37" s="1"/>
  <c r="W7" i="37"/>
  <c r="AB7" i="36"/>
  <c r="T36" i="36" s="1"/>
  <c r="G36" i="36" s="1"/>
  <c r="F7" i="33"/>
  <c r="E58" i="21"/>
  <c r="AC7" i="36"/>
  <c r="V36" i="36" s="1"/>
  <c r="I36" i="36" s="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AE7" i="1"/>
  <c r="AE8" i="1"/>
  <c r="AE12" i="1"/>
  <c r="AE10" i="1"/>
  <c r="AE6" i="1"/>
  <c r="G1" i="73"/>
  <c r="D31" i="71" l="1"/>
  <c r="C32" i="71"/>
  <c r="F67" i="39"/>
  <c r="C17" i="71"/>
  <c r="D18" i="71"/>
  <c r="D44" i="71"/>
  <c r="T44" i="71"/>
  <c r="E132" i="3"/>
  <c r="E152" i="3"/>
  <c r="E95" i="3"/>
  <c r="E37" i="3"/>
  <c r="E56" i="3"/>
  <c r="E479" i="3"/>
  <c r="E417" i="3"/>
  <c r="E491" i="3"/>
  <c r="E435" i="3"/>
  <c r="E517" i="3"/>
  <c r="E554" i="3"/>
  <c r="AP6" i="3"/>
  <c r="AC6" i="3" s="1"/>
  <c r="I3" i="6"/>
  <c r="E255" i="3"/>
  <c r="E449" i="3"/>
  <c r="E430" i="3"/>
  <c r="E541" i="3"/>
  <c r="E466" i="3"/>
  <c r="E442" i="3"/>
  <c r="E502" i="3"/>
  <c r="R6" i="3"/>
  <c r="E499" i="3"/>
  <c r="E575" i="3"/>
  <c r="E286" i="3"/>
  <c r="E199" i="3"/>
  <c r="E212" i="3"/>
  <c r="E148" i="3"/>
  <c r="E536" i="3"/>
  <c r="H6" i="3"/>
  <c r="D3" i="82"/>
  <c r="K6" i="1"/>
  <c r="F27" i="6"/>
  <c r="F31" i="6" s="1"/>
  <c r="F48" i="69"/>
  <c r="C30" i="69"/>
  <c r="C48" i="69"/>
  <c r="F48" i="68"/>
  <c r="C30" i="68"/>
  <c r="C48" i="68"/>
  <c r="C48" i="11"/>
  <c r="C30" i="11"/>
  <c r="B40" i="1"/>
  <c r="L36" i="43" s="1"/>
  <c r="P36" i="43" s="1"/>
  <c r="E3" i="6"/>
  <c r="AY6" i="3"/>
  <c r="N65" i="71"/>
  <c r="N66" i="71"/>
  <c r="B11" i="71"/>
  <c r="B10" i="71" s="1"/>
  <c r="B9" i="71" s="1"/>
  <c r="B8" i="71" s="1"/>
  <c r="B7" i="71" s="1"/>
  <c r="B6" i="71" s="1"/>
  <c r="B5" i="71" s="1"/>
  <c r="S12" i="71"/>
  <c r="T56" i="71"/>
  <c r="D56" i="71"/>
  <c r="E65"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C34" i="82" s="1"/>
  <c r="K24" i="6"/>
  <c r="K19" i="6"/>
  <c r="S6" i="1" s="1"/>
  <c r="O14" i="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C35" i="9"/>
  <c r="F41" i="67"/>
  <c r="M27" i="15"/>
  <c r="M29" i="67"/>
  <c r="F41" i="15"/>
  <c r="F43" i="67"/>
  <c r="M27" i="67"/>
  <c r="F7" i="67"/>
  <c r="C16" i="71" l="1"/>
  <c r="D17" i="71"/>
  <c r="D32" i="71"/>
  <c r="T32" i="71"/>
  <c r="F69" i="67"/>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E6" i="3"/>
  <c r="F71" i="67"/>
  <c r="M7" i="67"/>
  <c r="J6" i="67" s="1"/>
  <c r="F50" i="67"/>
  <c r="C49" i="67" s="1"/>
  <c r="C48" i="67" s="1"/>
  <c r="C60" i="67" s="1"/>
  <c r="C34" i="34"/>
  <c r="B14" i="74"/>
  <c r="B1" i="74" s="1"/>
  <c r="AP6" i="1"/>
  <c r="C36" i="69" s="1"/>
  <c r="Q16" i="1"/>
  <c r="M6" i="1"/>
  <c r="H16" i="1"/>
  <c r="G16" i="1"/>
  <c r="K16" i="1"/>
  <c r="F22" i="69"/>
  <c r="F41" i="69" s="1"/>
  <c r="L37" i="43"/>
  <c r="P37" i="43" s="1"/>
  <c r="F24" i="15"/>
  <c r="C24" i="15" s="1"/>
  <c r="F22" i="11"/>
  <c r="C23" i="11" s="1"/>
  <c r="F22" i="68"/>
  <c r="F41" i="68" s="1"/>
  <c r="F24" i="67"/>
  <c r="C24" i="67" s="1"/>
  <c r="F25" i="12"/>
  <c r="C26" i="12" s="1"/>
  <c r="D25" i="12" s="1"/>
  <c r="O36" i="43"/>
  <c r="N36" i="43"/>
  <c r="D116" i="43"/>
  <c r="M36" i="43"/>
  <c r="Q3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D26" i="6"/>
  <c r="D8" i="6"/>
  <c r="D14" i="6"/>
  <c r="D6" i="6"/>
  <c r="D9" i="6"/>
  <c r="D10" i="6"/>
  <c r="D29" i="6"/>
  <c r="H22" i="6"/>
  <c r="H24"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D10" i="69"/>
  <c r="C34" i="69"/>
  <c r="D10" i="68"/>
  <c r="C16" i="67"/>
  <c r="C14" i="67"/>
  <c r="C17" i="67"/>
  <c r="C17" i="15"/>
  <c r="D16" i="71" l="1"/>
  <c r="U16" i="71" s="1"/>
  <c r="T16" i="71"/>
  <c r="C15" i="71"/>
  <c r="C66" i="67"/>
  <c r="F27" i="69"/>
  <c r="F28" i="12"/>
  <c r="C29" i="12" s="1"/>
  <c r="D28" i="12" s="1"/>
  <c r="F27" i="11"/>
  <c r="F27" i="68"/>
  <c r="F34" i="82"/>
  <c r="J34" i="82"/>
  <c r="H34" i="82"/>
  <c r="J34" i="34"/>
  <c r="F34" i="34"/>
  <c r="H34" i="34"/>
  <c r="J18" i="67"/>
  <c r="J5" i="67"/>
  <c r="J24" i="67" s="1"/>
  <c r="C28" i="11"/>
  <c r="C27" i="11" s="1"/>
  <c r="F10" i="39"/>
  <c r="J10" i="39"/>
  <c r="J10" i="40"/>
  <c r="F10" i="40"/>
  <c r="H10" i="40"/>
  <c r="H10" i="39"/>
  <c r="O6" i="1"/>
  <c r="O16" i="1" s="1"/>
  <c r="M16" i="1"/>
  <c r="O37" i="43"/>
  <c r="C26" i="69"/>
  <c r="D22" i="69" s="1"/>
  <c r="M37" i="43"/>
  <c r="C44" i="69"/>
  <c r="D41" i="69" s="1"/>
  <c r="N37" i="43"/>
  <c r="Q37" i="43"/>
  <c r="C44" i="68"/>
  <c r="D41" i="68" s="1"/>
  <c r="B29" i="1"/>
  <c r="C8" i="68" s="1"/>
  <c r="C5" i="68" s="1"/>
  <c r="C23" i="68" s="1"/>
  <c r="C44" i="11"/>
  <c r="D41" i="11" s="1"/>
  <c r="H21" i="6"/>
  <c r="H25" i="6"/>
  <c r="R25" i="6" s="1"/>
  <c r="R12" i="1" s="1"/>
  <c r="C26" i="11"/>
  <c r="D22" i="11" s="1"/>
  <c r="C24" i="11"/>
  <c r="C25" i="11"/>
  <c r="C26" i="68"/>
  <c r="D22" i="68"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B6" i="76"/>
  <c r="C14" i="15"/>
  <c r="E6" i="76"/>
  <c r="D15" i="71" l="1"/>
  <c r="C14" i="71"/>
  <c r="AB10" i="40"/>
  <c r="U10" i="40"/>
  <c r="AC10" i="40"/>
  <c r="W10" i="40"/>
  <c r="AA10" i="39"/>
  <c r="S10" i="39"/>
  <c r="AB34" i="34"/>
  <c r="T49" i="34" s="1"/>
  <c r="G49" i="34" s="1"/>
  <c r="U34" i="34"/>
  <c r="AC34" i="34"/>
  <c r="V49" i="34" s="1"/>
  <c r="I49" i="34" s="1"/>
  <c r="W34" i="34"/>
  <c r="W34" i="82"/>
  <c r="AC34" i="82"/>
  <c r="V49" i="82" s="1"/>
  <c r="I49" i="82" s="1"/>
  <c r="F45" i="68"/>
  <c r="C29" i="68"/>
  <c r="D27" i="68" s="1"/>
  <c r="C47" i="68"/>
  <c r="D45" i="68" s="1"/>
  <c r="N16" i="1"/>
  <c r="L16" i="1"/>
  <c r="U10" i="39"/>
  <c r="AB10" i="39"/>
  <c r="S10" i="40"/>
  <c r="AA10" i="40"/>
  <c r="W10" i="39"/>
  <c r="AC10" i="39"/>
  <c r="AA34" i="34"/>
  <c r="R49" i="34" s="1"/>
  <c r="S34" i="34"/>
  <c r="U34" i="82"/>
  <c r="AB34" i="82"/>
  <c r="T49" i="82" s="1"/>
  <c r="G49" i="82" s="1"/>
  <c r="S34" i="82"/>
  <c r="AA34" i="82"/>
  <c r="R49" i="82" s="1"/>
  <c r="C29" i="11"/>
  <c r="D27" i="11" s="1"/>
  <c r="C47" i="11"/>
  <c r="D45" i="11" s="1"/>
  <c r="F45" i="69"/>
  <c r="C47" i="69"/>
  <c r="D45" i="69" s="1"/>
  <c r="C29" i="69"/>
  <c r="D27" i="69" s="1"/>
  <c r="C22" i="11"/>
  <c r="C18" i="12"/>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4" i="71" l="1"/>
  <c r="C13" i="71"/>
  <c r="C31" i="11"/>
  <c r="E49" i="34"/>
  <c r="I54" i="34" s="1"/>
  <c r="J54" i="34" s="1"/>
  <c r="R50" i="34"/>
  <c r="F50" i="69"/>
  <c r="F50" i="68"/>
  <c r="F50" i="11"/>
  <c r="I53" i="82"/>
  <c r="J53" i="82" s="1"/>
  <c r="E49" i="82"/>
  <c r="R50" i="82"/>
  <c r="G54" i="82"/>
  <c r="H54" i="82" s="1"/>
  <c r="G53" i="82"/>
  <c r="H53" i="82" s="1"/>
  <c r="I53" i="34"/>
  <c r="J53" i="34" s="1"/>
  <c r="G53" i="34"/>
  <c r="H53" i="34" s="1"/>
  <c r="G54" i="34"/>
  <c r="H54" i="34" s="1"/>
  <c r="C21" i="12"/>
  <c r="C22" i="12" s="1"/>
  <c r="C30" i="12" s="1"/>
  <c r="C28" i="12" s="1"/>
  <c r="F7" i="21"/>
  <c r="S7" i="21" s="1"/>
  <c r="J7" i="21"/>
  <c r="W7"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D13" i="71" l="1"/>
  <c r="C12" i="71"/>
  <c r="E53" i="82"/>
  <c r="F53" i="82" s="1"/>
  <c r="E54" i="82"/>
  <c r="F54" i="82" s="1"/>
  <c r="I54" i="82"/>
  <c r="J54" i="82" s="1"/>
  <c r="C50" i="34"/>
  <c r="C49" i="34"/>
  <c r="C50" i="82"/>
  <c r="C49" i="82"/>
  <c r="E53" i="34"/>
  <c r="F53" i="34" s="1"/>
  <c r="E54" i="34"/>
  <c r="F54" i="34" s="1"/>
  <c r="C27" i="12"/>
  <c r="C25" i="12" s="1"/>
  <c r="C32" i="12" s="1"/>
  <c r="B2" i="12" s="1"/>
  <c r="B3" i="12" s="1"/>
  <c r="AC7" i="21"/>
  <c r="V48" i="21" s="1"/>
  <c r="I48" i="21" s="1"/>
  <c r="I52" i="21" s="1"/>
  <c r="J52"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U7" i="35"/>
  <c r="AB7" i="35"/>
  <c r="T38" i="35" s="1"/>
  <c r="G38" i="35" s="1"/>
  <c r="R49" i="21"/>
  <c r="E48" i="21"/>
  <c r="G52" i="21"/>
  <c r="H52" i="21" s="1"/>
  <c r="F7" i="35"/>
  <c r="F35" i="15"/>
  <c r="F35" i="67"/>
  <c r="M21" i="15"/>
  <c r="M21" i="67"/>
  <c r="C11" i="71" l="1"/>
  <c r="D12" i="71"/>
  <c r="U12" i="71" s="1"/>
  <c r="T12" i="71"/>
  <c r="G53" i="21"/>
  <c r="H53" i="21" s="1"/>
  <c r="U6" i="1"/>
  <c r="B2" i="82"/>
  <c r="B3" i="82"/>
  <c r="AC7" i="35"/>
  <c r="V38" i="35" s="1"/>
  <c r="I38" i="35" s="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10" i="71" l="1"/>
  <c r="D11" i="71"/>
  <c r="C6" i="67"/>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0" i="71" l="1"/>
  <c r="C9" i="71"/>
  <c r="C32" i="67"/>
  <c r="C10" i="67"/>
  <c r="C5" i="67" s="1"/>
  <c r="C38" i="67" s="1"/>
  <c r="C33" i="67"/>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8" i="71" l="1"/>
  <c r="D9" i="71"/>
  <c r="C31" i="67"/>
  <c r="C30" i="67" s="1"/>
  <c r="C39" i="67" s="1"/>
  <c r="C80" i="67" s="1"/>
  <c r="C79" i="67" s="1"/>
  <c r="L57" i="67"/>
  <c r="L60" i="67" s="1"/>
  <c r="L46" i="67" s="1"/>
  <c r="B2" i="33"/>
  <c r="B3" i="33" s="1"/>
  <c r="C80" i="15"/>
  <c r="C79" i="15" s="1"/>
  <c r="C40" i="15"/>
  <c r="C46" i="15" s="1"/>
  <c r="H7" i="39"/>
  <c r="J7" i="39"/>
  <c r="S7" i="39"/>
  <c r="AA7" i="39"/>
  <c r="R47" i="39" s="1"/>
  <c r="O63" i="40"/>
  <c r="O65" i="40" s="1"/>
  <c r="N65" i="40"/>
  <c r="L51" i="15"/>
  <c r="D2" i="35"/>
  <c r="L51" i="67"/>
  <c r="D2" i="37"/>
  <c r="D2" i="34"/>
  <c r="D2" i="36"/>
  <c r="D8" i="71" l="1"/>
  <c r="C7" i="71"/>
  <c r="Q67" i="67"/>
  <c r="Q69" i="67"/>
  <c r="Q68" i="67" s="1"/>
  <c r="C40" i="67"/>
  <c r="D2" i="67" s="1"/>
  <c r="B2" i="67" s="1"/>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12" i="1"/>
  <c r="AO11" i="1"/>
  <c r="AO8" i="1"/>
  <c r="AO10" i="1"/>
  <c r="AO9" i="1"/>
  <c r="AO6" i="1"/>
  <c r="D19" i="9"/>
  <c r="AO7" i="1"/>
  <c r="C6" i="71" l="1"/>
  <c r="D7" i="71"/>
  <c r="Q47" i="67"/>
  <c r="Q53" i="67" s="1"/>
  <c r="Q56" i="67"/>
  <c r="Q62" i="67" s="1"/>
  <c r="D21" i="9"/>
  <c r="D102" i="9"/>
  <c r="B3" i="67"/>
  <c r="C45" i="67"/>
  <c r="C46" i="67" s="1"/>
  <c r="Q65" i="67"/>
  <c r="Q75" i="67" s="1"/>
  <c r="C83" i="67"/>
  <c r="C82" i="67" s="1"/>
  <c r="C43" i="67"/>
  <c r="C102" i="9"/>
  <c r="C21" i="9"/>
  <c r="D22" i="9"/>
  <c r="G19"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D6" i="71" l="1"/>
  <c r="C5" i="71"/>
  <c r="D103" i="9"/>
  <c r="G21" i="9"/>
  <c r="D14" i="74"/>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5" i="71" l="1"/>
  <c r="M24" i="43"/>
  <c r="C32" i="9"/>
  <c r="D34" i="9" s="1"/>
  <c r="G14" i="74"/>
  <c r="C42" i="40"/>
  <c r="C43" i="40"/>
  <c r="E47" i="40"/>
  <c r="F47" i="40" s="1"/>
  <c r="E46" i="40"/>
  <c r="F46" i="40" s="1"/>
  <c r="I47" i="40"/>
  <c r="J47" i="40" s="1"/>
  <c r="D35" i="9" l="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C105" i="9" s="1"/>
  <c r="I4" i="52" l="1"/>
  <c r="H118" i="9"/>
  <c r="H4" i="52" s="1"/>
  <c r="E118" i="9"/>
  <c r="E4" i="52" s="1"/>
  <c r="B48" i="72" s="1"/>
  <c r="H102" i="9"/>
  <c r="C5" i="74" s="1"/>
  <c r="D118" i="9"/>
  <c r="F118" i="9"/>
  <c r="C104" i="9" l="1"/>
  <c r="D7" i="53"/>
  <c r="B21" i="72" s="1"/>
  <c r="H119" i="9"/>
  <c r="H5" i="52" s="1"/>
  <c r="H101" i="9"/>
  <c r="M48" i="9" s="1"/>
  <c r="F4" i="52"/>
  <c r="B51" i="72" s="1"/>
  <c r="F119" i="9"/>
  <c r="F5" i="52" s="1"/>
  <c r="B53" i="72" s="1"/>
  <c r="D119" i="9"/>
  <c r="D5" i="52" s="1"/>
  <c r="B49" i="72" s="1"/>
  <c r="D4" i="52"/>
  <c r="B47" i="72" s="1"/>
  <c r="D45" i="9" l="1"/>
  <c r="D53" i="9" s="1"/>
  <c r="H107" i="9"/>
  <c r="M49" i="9" s="1"/>
  <c r="D5" i="53"/>
  <c r="D6" i="53" s="1"/>
  <c r="B22" i="72" s="1"/>
  <c r="H108" i="9" l="1"/>
  <c r="C6" i="74" s="1"/>
  <c r="D122" i="9"/>
  <c r="D123" i="9" s="1"/>
  <c r="D9" i="52" s="1"/>
  <c r="C78" i="9"/>
  <c r="C73" i="9" s="1"/>
  <c r="D52" i="9"/>
  <c r="C93" i="9"/>
  <c r="C86" i="9" s="1"/>
  <c r="D55" i="9"/>
  <c r="M53" i="9" s="1"/>
  <c r="C64" i="9"/>
  <c r="C63" i="9" s="1"/>
  <c r="C67" i="9" s="1"/>
  <c r="C68" i="9" s="1"/>
  <c r="D54" i="9" s="1"/>
  <c r="C85" i="9"/>
  <c r="C72" i="9"/>
  <c r="D13" i="53"/>
  <c r="B30" i="72" s="1"/>
  <c r="B20" i="72"/>
  <c r="L68" i="9"/>
  <c r="M68" i="9" s="1"/>
  <c r="L66" i="9"/>
  <c r="M66" i="9" s="1"/>
  <c r="L63" i="9"/>
  <c r="M63" i="9" s="1"/>
  <c r="L64" i="9"/>
  <c r="M64" i="9" s="1"/>
  <c r="L65" i="9"/>
  <c r="M65" i="9" s="1"/>
  <c r="L67" i="9"/>
  <c r="M67" i="9" s="1"/>
  <c r="C79" i="9" l="1"/>
  <c r="C80" i="9" s="1"/>
  <c r="E80" i="9" s="1"/>
  <c r="E81" i="9" s="1"/>
  <c r="D15" i="53"/>
  <c r="B31" i="72" s="1"/>
  <c r="D14" i="53"/>
  <c r="B32" i="72" s="1"/>
  <c r="M69" i="9"/>
  <c r="N69" i="9" s="1"/>
  <c r="D8" i="52"/>
  <c r="D59" i="9"/>
  <c r="M55" i="9" s="1"/>
  <c r="C95" i="9"/>
  <c r="C96" i="9" s="1"/>
  <c r="E96" i="9" s="1"/>
  <c r="E97" i="9" s="1"/>
  <c r="C81" i="9" l="1"/>
  <c r="C97" i="9"/>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<sst xmlns="http://schemas.openxmlformats.org/spreadsheetml/2006/main" count="8230" uniqueCount="3457">
  <si>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</si>
  <si>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</si>
  <si>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</si>
  <si>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</si>
  <si>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</si>
  <si>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</si>
  <si>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</si>
  <si>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</si>
  <si>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</si>
  <si>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</si>
  <si>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</si>
  <si>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</si>
  <si>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</si>
  <si>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</si>
  <si>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</si>
  <si>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</si>
  <si>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</si>
  <si>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</si>
  <si>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</si>
  <si>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</si>
  <si>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</si>
  <si>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</si>
  <si>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</si>
  <si>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</si>
  <si>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</si>
  <si>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</si>
  <si>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</si>
  <si>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</si>
  <si>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</si>
  <si>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</si>
  <si>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</si>
  <si>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</si>
  <si>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</si>
  <si>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</si>
  <si>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</si>
  <si>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</si>
  <si>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</si>
  <si>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</si>
  <si>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</si>
  <si>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</si>
  <si>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</si>
  <si>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</si>
  <si>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</si>
  <si>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</si>
  <si>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</si>
  <si>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</si>
  <si>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</si>
  <si>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</si>
  <si>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</si>
  <si>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</si>
  <si>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</si>
  <si>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</si>
  <si>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</si>
  <si>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</si>
  <si>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</si>
  <si>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</si>
  <si>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</si>
  <si>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</si>
  <si>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</si>
  <si>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</si>
  <si>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</si>
  <si>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</si>
  <si>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</si>
  <si>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</si>
  <si>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</si>
  <si>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</si>
  <si>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</si>
  <si>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</si>
  <si>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</si>
  <si>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</si>
  <si>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</si>
  <si>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</si>
  <si>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</si>
  <si>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</si>
  <si>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</si>
  <si>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</si>
  <si>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</si>
  <si>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</si>
  <si>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</si>
  <si>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</si>
  <si>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</si>
  <si>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</si>
  <si>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</si>
  <si>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</si>
  <si>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</si>
  <si>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</si>
  <si>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</si>
  <si>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</si>
  <si>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</si>
  <si>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</si>
  <si>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</si>
  <si>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</si>
  <si>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</si>
  <si>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</si>
  <si>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</si>
  <si>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</si>
  <si>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</si>
  <si>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</si>
  <si>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</si>
  <si>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</si>
  <si>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</si>
  <si>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</si>
  <si>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</si>
  <si>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</si>
  <si>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</si>
  <si>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</si>
  <si>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</si>
  <si>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</si>
  <si>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</si>
  <si>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</si>
  <si>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</si>
  <si>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</si>
  <si>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</si>
  <si>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</si>
  <si>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</si>
  <si>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</si>
  <si>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</si>
  <si>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</si>
  <si>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</si>
  <si>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</si>
  <si>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</si>
  <si>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</si>
  <si>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</si>
  <si>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</si>
  <si>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</si>
  <si>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</si>
  <si>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</si>
  <si>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</si>
  <si>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</si>
  <si>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</si>
  <si>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</si>
  <si>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</si>
  <si>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</si>
  <si>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</si>
  <si>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</si>
  <si>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</si>
  <si>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</si>
  <si>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</si>
  <si>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</si>
  <si>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</si>
  <si>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</si>
  <si>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</si>
  <si>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</si>
  <si>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</si>
  <si>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</si>
  <si>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</si>
  <si>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</si>
  <si>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</si>
  <si>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</si>
  <si>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</si>
  <si>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</si>
  <si>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</si>
  <si>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</si>
  <si>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</si>
  <si>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</si>
  <si>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</si>
  <si>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</si>
  <si>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</si>
  <si>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</si>
  <si>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</si>
  <si>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</si>
  <si>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</si>
  <si>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</si>
  <si>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</si>
  <si>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</si>
  <si>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</si>
  <si>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</si>
  <si>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</si>
  <si>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</si>
  <si>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</si>
  <si>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</si>
  <si>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</si>
  <si>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</si>
  <si>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</si>
  <si>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</si>
  <si>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</si>
  <si>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</si>
  <si>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</si>
  <si>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</si>
  <si>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</si>
  <si>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</si>
  <si>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</si>
  <si>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</si>
  <si>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</si>
  <si>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</si>
  <si>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</si>
  <si>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</si>
  <si>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</si>
  <si>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</si>
  <si>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</si>
  <si>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</si>
  <si>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</si>
  <si>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</si>
  <si>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</si>
  <si>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</si>
  <si>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</si>
  <si>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</si>
  <si>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</si>
  <si>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</si>
  <si>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</si>
  <si>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</si>
  <si>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</si>
  <si>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</si>
  <si>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</si>
  <si>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</si>
  <si>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</si>
  <si>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</si>
  <si>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</si>
  <si>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</si>
  <si>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</si>
  <si>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</si>
  <si>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</si>
  <si>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</si>
  <si>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</si>
  <si>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</si>
  <si>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</si>
  <si>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</si>
  <si>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</si>
  <si>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</si>
  <si>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</si>
  <si>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</si>
  <si>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</si>
  <si>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</si>
  <si>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</si>
  <si>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</si>
  <si>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</si>
  <si>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</si>
  <si>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</si>
  <si>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</si>
  <si>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</si>
  <si>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</si>
  <si>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</si>
  <si>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</si>
  <si>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</si>
  <si>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</si>
  <si>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</si>
  <si>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</si>
  <si>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</si>
  <si>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</si>
  <si>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</si>
  <si>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</si>
  <si>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</si>
  <si>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</si>
  <si>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</si>
  <si>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</si>
  <si>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</si>
  <si>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</si>
  <si>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</si>
  <si>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</si>
  <si>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</si>
  <si>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</si>
  <si>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</si>
  <si>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</si>
  <si>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</si>
  <si>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</si>
  <si>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</si>
  <si>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</si>
  <si>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</si>
  <si>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</si>
  <si>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</si>
  <si>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</si>
  <si>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</si>
  <si>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</si>
  <si>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</si>
  <si>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</si>
  <si>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</si>
  <si>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</si>
  <si>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</si>
  <si>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</si>
  <si>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</si>
  <si>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</si>
  <si>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</si>
  <si>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</si>
  <si>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</si>
  <si>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</si>
  <si>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</si>
  <si>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</si>
  <si>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</si>
  <si>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</si>
  <si>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</si>
  <si>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</si>
  <si>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</si>
  <si>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</si>
  <si>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</si>
  <si>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</si>
  <si>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</si>
  <si>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</si>
  <si>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</si>
  <si>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</si>
  <si>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</si>
  <si>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</si>
  <si>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</si>
  <si>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</si>
  <si>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</si>
  <si>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</si>
  <si>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</si>
  <si>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</si>
  <si>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</si>
  <si>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</si>
  <si>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</si>
  <si>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</si>
  <si>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</si>
  <si>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</si>
  <si>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</si>
  <si>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</si>
  <si>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</si>
  <si>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</si>
  <si>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</si>
  <si>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</si>
  <si>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</si>
  <si>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</si>
  <si>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</si>
  <si>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</si>
  <si>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</si>
  <si>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</si>
  <si>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</si>
  <si>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</si>
  <si>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</si>
  <si>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</si>
  <si>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</si>
  <si>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</si>
  <si>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</si>
  <si>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</si>
  <si>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</si>
  <si>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</si>
  <si>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</si>
  <si>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</si>
  <si>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</si>
  <si>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</si>
  <si>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</si>
  <si>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</si>
  <si>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</si>
  <si>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</si>
  <si>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</si>
  <si>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</si>
  <si>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</si>
  <si>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</si>
  <si>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</si>
  <si>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</si>
  <si>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</si>
  <si>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</si>
  <si>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</si>
  <si>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</si>
  <si>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</si>
  <si>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</si>
  <si>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</si>
  <si>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</si>
  <si>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</si>
  <si>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</si>
  <si>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</si>
  <si>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</si>
  <si>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</si>
  <si>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</si>
  <si>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</si>
  <si>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</si>
  <si>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</si>
  <si>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</si>
  <si>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</si>
  <si>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</si>
  <si>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</si>
  <si>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</si>
  <si>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</si>
  <si>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</si>
  <si>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</si>
  <si>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</si>
  <si>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</si>
  <si>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</si>
  <si>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</si>
  <si>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</si>
  <si>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</si>
  <si>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</si>
  <si>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</si>
  <si>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</si>
  <si>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</si>
  <si>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</si>
  <si>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</si>
  <si>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</si>
  <si>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</si>
  <si>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</si>
  <si>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</si>
  <si>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</si>
  <si>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</si>
  <si>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</si>
  <si>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</si>
  <si>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</si>
  <si>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</si>
  <si>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</si>
  <si>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</si>
  <si>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</si>
  <si>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</si>
  <si>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</si>
  <si>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</si>
  <si>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</si>
  <si>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</si>
  <si>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</si>
  <si>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</si>
  <si>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</si>
  <si>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</si>
  <si>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</si>
  <si>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</si>
  <si>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</si>
  <si>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</si>
  <si>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</si>
  <si>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</si>
  <si>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</si>
  <si>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</si>
  <si>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</si>
  <si>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</si>
  <si>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</si>
  <si>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</si>
  <si>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</si>
  <si>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</si>
  <si>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</si>
  <si>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</si>
  <si>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</si>
  <si>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</si>
  <si>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</si>
  <si>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</si>
  <si>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</si>
  <si>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</si>
  <si>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</si>
  <si>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</si>
  <si>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</si>
  <si>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</si>
  <si>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</si>
  <si>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</si>
  <si>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</si>
  <si>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</si>
  <si>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</si>
  <si>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</si>
  <si>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</si>
  <si>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</si>
  <si>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</si>
  <si>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</si>
  <si>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</si>
  <si>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</si>
  <si>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</si>
  <si>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</si>
  <si>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</si>
  <si>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</si>
  <si>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</si>
  <si>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</si>
  <si>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</si>
  <si>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</si>
  <si>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</si>
  <si>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</si>
  <si>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</si>
  <si>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</si>
  <si>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</si>
  <si>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</si>
  <si>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</si>
  <si>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</si>
  <si>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</si>
  <si>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</si>
  <si>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</si>
  <si>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</si>
  <si>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</si>
  <si>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</si>
  <si>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</si>
  <si>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</si>
  <si>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</si>
  <si>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</si>
  <si>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</si>
  <si>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</si>
  <si>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</si>
  <si>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</si>
  <si>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</si>
  <si>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</si>
  <si>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</si>
  <si>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</si>
  <si>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</si>
  <si>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</si>
  <si>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</si>
  <si>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</si>
  <si>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</si>
  <si>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</si>
  <si>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</si>
  <si>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</si>
  <si>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</si>
  <si>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</si>
  <si>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</si>
  <si>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</si>
  <si>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</si>
  <si>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</si>
  <si>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</si>
  <si>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</si>
  <si>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</si>
  <si>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</si>
  <si>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</si>
  <si>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</si>
  <si>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</si>
  <si>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</si>
  <si>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</si>
  <si>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</si>
  <si>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</si>
  <si>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</si>
  <si>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</si>
  <si>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</si>
  <si>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</si>
  <si>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</si>
  <si>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</si>
  <si>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</si>
  <si>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</si>
  <si>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</si>
  <si>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</si>
  <si>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</si>
  <si>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</si>
  <si>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</si>
  <si>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</si>
  <si>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</si>
  <si>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</si>
  <si>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</si>
  <si>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</si>
  <si>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</si>
  <si>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</si>
  <si>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</si>
  <si>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</si>
  <si>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</si>
  <si>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</si>
  <si>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</si>
  <si>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</si>
  <si>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</si>
  <si>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</si>
  <si>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</si>
  <si>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</si>
  <si>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</si>
  <si>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</si>
  <si>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</si>
  <si>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</si>
  <si>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</si>
  <si>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</si>
  <si>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</si>
  <si>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</si>
  <si>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</si>
  <si>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</si>
  <si>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</si>
  <si>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</si>
  <si>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</si>
  <si>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</si>
  <si>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</si>
  <si>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</si>
  <si>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</si>
  <si>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</si>
  <si>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</si>
  <si>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</si>
  <si>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</si>
  <si>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</si>
  <si>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</si>
  <si>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</si>
  <si>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</si>
  <si>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</si>
  <si>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</si>
  <si>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</si>
  <si>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</si>
  <si>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</si>
  <si>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</si>
  <si>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</si>
  <si>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</si>
  <si>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</si>
  <si>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</si>
  <si>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</si>
  <si>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</si>
  <si>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</si>
  <si>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</si>
  <si>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</si>
  <si>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</si>
  <si>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</si>
  <si>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</si>
  <si>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</si>
  <si>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</si>
  <si>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</si>
  <si>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</si>
  <si>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</si>
  <si>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</si>
  <si>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</si>
  <si>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</si>
  <si>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</si>
  <si>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</si>
  <si>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</si>
  <si>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</si>
  <si>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</si>
  <si>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</si>
  <si>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</si>
  <si>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</si>
  <si>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</si>
  <si>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</si>
  <si>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</si>
  <si>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</si>
  <si>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</si>
  <si>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</si>
  <si>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</si>
  <si>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</si>
  <si>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</si>
  <si>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</si>
  <si>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</si>
  <si>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</si>
  <si>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</si>
  <si>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</si>
  <si>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</si>
  <si>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</si>
  <si>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</si>
  <si>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</si>
  <si>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</si>
  <si>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</si>
  <si>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</si>
  <si>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</si>
  <si>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</si>
  <si>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</si>
  <si>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</si>
  <si>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</si>
  <si>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</si>
  <si>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</si>
  <si>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</si>
  <si>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</si>
  <si>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</si>
  <si>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</si>
  <si>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</si>
  <si>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</si>
  <si>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</si>
  <si>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</si>
  <si>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</si>
  <si>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</si>
  <si>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</si>
  <si>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</si>
  <si>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</si>
  <si>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</si>
  <si>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</si>
  <si>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</si>
  <si>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</si>
  <si>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</si>
  <si>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</si>
  <si>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</si>
  <si>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</si>
  <si>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</si>
  <si>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</si>
  <si>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</si>
  <si>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</si>
  <si>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</si>
  <si>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</si>
  <si>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</si>
  <si>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</si>
  <si>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</si>
  <si>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</si>
  <si>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</si>
  <si>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</si>
  <si>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</si>
  <si>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</si>
  <si>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</si>
  <si>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</si>
  <si>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</si>
  <si>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</si>
  <si>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</si>
  <si>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</si>
  <si>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</si>
  <si>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</si>
  <si>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</si>
  <si>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</si>
  <si>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</si>
  <si>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</si>
  <si>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</si>
  <si>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</si>
  <si>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</si>
  <si>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</si>
  <si>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</si>
  <si>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</si>
  <si>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</si>
  <si>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</si>
  <si>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</si>
  <si>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</si>
  <si>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</si>
  <si>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</si>
  <si>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</si>
  <si>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</si>
  <si>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</si>
  <si>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</si>
  <si>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</si>
  <si>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</si>
  <si>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</si>
  <si>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</si>
  <si>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</si>
  <si>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</si>
  <si>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</si>
  <si>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</si>
  <si>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</si>
  <si>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</si>
  <si>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</si>
  <si>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</si>
  <si>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</si>
  <si>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</si>
  <si>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</si>
  <si>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</si>
  <si>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</si>
  <si>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</si>
  <si>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</si>
  <si>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</si>
  <si>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</si>
  <si>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</si>
  <si>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</si>
  <si>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</si>
  <si>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</si>
  <si>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</si>
  <si>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</si>
  <si>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</si>
  <si>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</si>
  <si>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</si>
  <si>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</si>
  <si>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</si>
  <si>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</si>
  <si>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</si>
  <si>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</si>
  <si>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</si>
  <si>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</si>
  <si>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</si>
  <si>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</si>
  <si>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</si>
  <si>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</si>
  <si>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</si>
  <si>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</si>
  <si>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</si>
  <si>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</si>
  <si>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</si>
  <si>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</si>
  <si>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</si>
  <si>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</si>
  <si>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</si>
  <si>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</si>
  <si>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</si>
  <si>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</si>
  <si>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</si>
  <si>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</si>
  <si>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</si>
  <si>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</si>
  <si>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</si>
  <si>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</si>
  <si>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</si>
  <si>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</si>
  <si>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</si>
  <si>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</si>
  <si>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</si>
  <si>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</si>
  <si>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</si>
  <si>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</si>
  <si>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</si>
  <si>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</si>
  <si>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</si>
  <si>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</si>
  <si>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</si>
  <si>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</si>
  <si>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</si>
  <si>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</si>
  <si>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</si>
  <si>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</si>
  <si>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</si>
  <si>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</si>
  <si>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</si>
  <si>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</si>
  <si>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</si>
  <si>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</si>
  <si>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</si>
  <si>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</si>
  <si>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</si>
  <si>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</si>
  <si>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</si>
  <si>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</si>
  <si>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</si>
  <si>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</si>
  <si>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</si>
  <si>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</si>
  <si>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</si>
  <si>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</si>
  <si>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</si>
  <si>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</si>
  <si>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</si>
  <si>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</si>
  <si>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</si>
  <si>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</si>
  <si>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</si>
  <si>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</si>
  <si>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</si>
  <si>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</si>
  <si>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</si>
  <si>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</si>
  <si>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</si>
  <si>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</si>
  <si>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</si>
  <si>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</si>
  <si>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</si>
  <si>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</si>
  <si>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</si>
  <si>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</si>
  <si>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</si>
  <si>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</si>
  <si>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</si>
  <si>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</si>
  <si>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</si>
  <si>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</si>
  <si>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</si>
  <si>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</si>
  <si>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</si>
  <si>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</si>
  <si>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</si>
  <si>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</si>
  <si>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</si>
  <si>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</si>
  <si>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</si>
  <si>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</si>
  <si>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</si>
  <si>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</si>
  <si>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</si>
  <si>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</si>
  <si>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</si>
  <si>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</si>
  <si>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</si>
  <si>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</si>
  <si>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</si>
  <si>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</si>
  <si>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</si>
  <si>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</si>
  <si>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</si>
  <si>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</si>
  <si>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</si>
  <si>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</si>
  <si>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</si>
  <si>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</si>
  <si>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</si>
  <si>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</si>
  <si>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</si>
  <si>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</si>
  <si>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</si>
  <si>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</si>
  <si>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</si>
  <si>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</si>
  <si>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</si>
  <si>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</si>
  <si>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</si>
  <si>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</si>
  <si>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</si>
  <si>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</si>
  <si>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</si>
  <si>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</si>
  <si>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</si>
  <si>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</si>
  <si>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</si>
  <si>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</si>
  <si>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</si>
  <si>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</si>
  <si>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</si>
  <si>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</si>
  <si>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</si>
  <si>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</si>
  <si>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</si>
  <si>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</si>
  <si>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</si>
  <si>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</si>
  <si>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</si>
  <si>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</si>
  <si>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</si>
  <si>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</si>
  <si>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</si>
  <si>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</si>
  <si>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</si>
  <si>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</si>
  <si>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</si>
  <si>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</si>
  <si>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</si>
  <si>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</si>
  <si>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</si>
  <si>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</si>
  <si>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</si>
  <si>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</si>
  <si>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</si>
  <si>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</si>
  <si>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</si>
  <si>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</si>
  <si>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</si>
  <si>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</si>
  <si>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</si>
  <si>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</si>
  <si>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</si>
  <si>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</si>
  <si>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</si>
  <si>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</si>
  <si>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</si>
  <si>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</si>
  <si>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</si>
  <si>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</si>
  <si>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</si>
  <si>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</si>
  <si>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</si>
  <si>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</si>
  <si>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</si>
  <si>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</si>
  <si>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</si>
  <si>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</si>
  <si>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</si>
  <si>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</si>
  <si>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</si>
  <si>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</si>
  <si>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</si>
  <si>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</si>
  <si>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</si>
  <si>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</si>
  <si>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</si>
  <si>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</si>
  <si>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</si>
  <si>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</si>
  <si>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</si>
  <si>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</si>
  <si>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</si>
  <si>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</si>
  <si>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</si>
  <si>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</si>
  <si>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</si>
  <si>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</si>
  <si>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</si>
  <si>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</si>
  <si>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</si>
  <si>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</si>
  <si>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</si>
  <si>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</si>
  <si>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</si>
  <si>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</si>
  <si>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</si>
  <si>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</si>
  <si>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</si>
  <si>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</si>
  <si>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</si>
  <si>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</si>
  <si>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</si>
  <si>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</si>
  <si>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</si>
  <si>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</si>
  <si>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</si>
  <si>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</si>
  <si>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</si>
  <si>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</si>
  <si>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</si>
  <si>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</si>
  <si>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</si>
  <si>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</si>
  <si>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</si>
  <si>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</si>
  <si>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</si>
  <si>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</si>
  <si>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</si>
  <si>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</si>
  <si>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</si>
  <si>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</si>
  <si>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</si>
  <si>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</si>
  <si>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</si>
  <si>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</si>
  <si>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</si>
  <si>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</si>
  <si>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</si>
  <si>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</si>
  <si>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</si>
  <si>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</si>
  <si>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</si>
  <si>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</si>
  <si>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</si>
  <si>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</si>
  <si>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</si>
  <si>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</si>
  <si>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</si>
  <si>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</si>
  <si>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</si>
  <si>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</si>
  <si>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</si>
  <si>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</si>
  <si>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</si>
  <si>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</si>
  <si>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</si>
  <si>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</si>
  <si>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</si>
  <si>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</si>
  <si>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</si>
  <si>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</si>
  <si>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</si>
  <si>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</si>
  <si>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</si>
  <si>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</si>
  <si>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</si>
  <si>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</si>
  <si>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</si>
  <si>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</si>
  <si>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</si>
  <si>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</si>
  <si>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</si>
  <si>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</si>
  <si>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</si>
  <si>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</si>
  <si>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</si>
  <si>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</si>
  <si>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</si>
  <si>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</si>
  <si>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</si>
  <si>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</si>
  <si>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</si>
  <si>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</si>
  <si>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</si>
  <si>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</si>
  <si>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</si>
  <si>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</si>
  <si>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</si>
  <si>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</si>
  <si>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</si>
  <si>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</si>
  <si>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</si>
  <si>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</si>
  <si>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</si>
  <si>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</si>
  <si>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</si>
  <si>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</si>
  <si>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</si>
  <si>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</si>
  <si>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</si>
  <si>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</si>
  <si>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</si>
  <si>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</si>
  <si>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</si>
  <si>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</si>
  <si>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</si>
  <si>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</si>
  <si>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</si>
  <si>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</si>
  <si>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</si>
  <si>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</si>
  <si>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</si>
  <si>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</si>
  <si>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</si>
  <si>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</si>
  <si>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</si>
  <si>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</si>
  <si>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</si>
  <si>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</si>
  <si>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</si>
  <si>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</si>
  <si>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</si>
  <si>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</si>
  <si>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</si>
  <si>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</si>
  <si>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</si>
  <si>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</si>
  <si>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</si>
  <si>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</si>
  <si>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</si>
  <si>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</si>
  <si>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</si>
  <si>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</si>
  <si>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</si>
  <si>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</si>
  <si>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</si>
  <si>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</si>
  <si>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</si>
  <si>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</si>
  <si>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</si>
  <si>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</si>
  <si>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</si>
  <si>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</si>
  <si>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</si>
  <si>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</si>
  <si>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</si>
  <si>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</si>
  <si>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</si>
  <si>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</si>
  <si>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</si>
  <si>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</si>
  <si>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</si>
  <si>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</si>
  <si>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</si>
  <si>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</si>
  <si>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</si>
  <si>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</si>
  <si>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</si>
  <si>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</si>
  <si>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</si>
  <si>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</si>
  <si>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</si>
  <si>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</si>
  <si>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</si>
  <si>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</si>
  <si>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</si>
  <si>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</si>
  <si>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</si>
  <si>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</si>
  <si>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</si>
  <si>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</si>
  <si>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</si>
  <si>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</si>
  <si>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</si>
  <si>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</si>
  <si>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</si>
  <si>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</si>
  <si>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</si>
  <si>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</si>
  <si>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</si>
  <si>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</si>
  <si>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</si>
  <si>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</si>
  <si>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</si>
  <si>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</si>
  <si>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</si>
  <si>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</si>
  <si>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</si>
  <si>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</si>
  <si>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</si>
  <si>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</si>
  <si>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</si>
  <si>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</si>
  <si>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</si>
  <si>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</si>
  <si>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</si>
  <si>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</si>
  <si>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</si>
  <si>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</si>
  <si>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</si>
  <si>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</si>
  <si>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</si>
  <si>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</si>
  <si>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</si>
  <si>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</si>
  <si>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</si>
  <si>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</si>
  <si>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</si>
  <si>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</si>
  <si>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</si>
  <si>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</si>
  <si>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</si>
  <si>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</si>
  <si>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</si>
  <si>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</si>
  <si>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</si>
  <si>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</si>
  <si>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</si>
  <si>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</si>
  <si>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</si>
  <si>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</si>
  <si>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</si>
  <si>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</si>
  <si>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</si>
  <si>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</si>
  <si>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</si>
  <si>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</si>
  <si>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</si>
  <si>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</si>
  <si>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</si>
  <si>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</si>
  <si>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</si>
  <si>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</si>
  <si>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</si>
  <si>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</si>
  <si>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</si>
  <si>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</si>
  <si>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</si>
  <si>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</si>
  <si>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</si>
  <si>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</si>
  <si>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</si>
  <si>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</si>
  <si>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</si>
  <si>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</si>
  <si>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</si>
  <si>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</si>
  <si>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</si>
  <si>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</si>
  <si>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</si>
  <si>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</si>
  <si>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</si>
  <si>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</si>
  <si>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</si>
  <si>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</si>
  <si>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</si>
  <si>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</si>
  <si>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</si>
  <si>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</si>
  <si>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</si>
  <si>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</si>
  <si>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</si>
  <si>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</si>
  <si>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</si>
  <si>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</si>
  <si>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</si>
  <si>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</si>
  <si>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</si>
  <si>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</si>
  <si>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</si>
  <si>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</si>
  <si>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</si>
  <si>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</si>
  <si>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</si>
  <si>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</si>
  <si>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</si>
  <si>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</si>
  <si>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</si>
  <si>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</si>
  <si>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</si>
  <si>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</si>
  <si>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</si>
  <si>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</si>
  <si>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</si>
  <si>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</si>
  <si>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</si>
  <si>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</si>
  <si>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</si>
  <si>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</si>
  <si>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</si>
  <si>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</si>
  <si>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</si>
  <si>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</si>
  <si>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</si>
  <si>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</si>
  <si>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</si>
  <si>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</si>
  <si>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</si>
  <si>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</si>
  <si>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</si>
  <si>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</si>
  <si>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</si>
  <si>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</si>
  <si>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</si>
  <si>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</si>
  <si>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</si>
  <si>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</si>
  <si>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</si>
  <si>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</si>
  <si>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</si>
  <si>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</si>
  <si>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</si>
  <si>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</si>
  <si>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</si>
  <si>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</si>
  <si>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</si>
  <si>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</si>
  <si>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</si>
  <si>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</si>
  <si>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</si>
  <si>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</si>
  <si>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</si>
  <si>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</si>
  <si>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</si>
  <si>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</si>
  <si>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</si>
  <si>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</si>
  <si>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</si>
  <si>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</si>
  <si>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</si>
  <si>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</si>
  <si>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</si>
  <si>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</si>
  <si>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</si>
  <si>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</si>
  <si>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</si>
  <si>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</si>
  <si>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</si>
  <si>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</si>
  <si>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</si>
  <si>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</si>
  <si>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</si>
  <si>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</si>
  <si>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</si>
  <si>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</si>
  <si>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</si>
  <si>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</si>
  <si>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</si>
  <si>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</si>
  <si>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</si>
  <si>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</si>
  <si>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</si>
  <si>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</si>
  <si>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</si>
  <si>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</si>
  <si>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</si>
  <si>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</si>
  <si>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</si>
  <si>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</si>
  <si>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</si>
  <si>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</si>
  <si>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</si>
  <si>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</si>
  <si>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</si>
  <si>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</si>
  <si>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</si>
  <si>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</si>
  <si>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</si>
  <si>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</si>
  <si>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</si>
  <si>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</si>
  <si>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</si>
  <si>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</si>
  <si>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</si>
  <si>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</si>
  <si>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</si>
  <si>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</si>
  <si>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</si>
  <si>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</si>
  <si>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</si>
  <si>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</si>
  <si>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</si>
  <si>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</si>
  <si>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</si>
  <si>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</si>
  <si>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</si>
  <si>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</si>
  <si>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</si>
  <si>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</si>
  <si>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</si>
  <si>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</si>
  <si>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</si>
  <si>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</si>
  <si>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</si>
  <si>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</si>
  <si>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</si>
  <si>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</si>
  <si>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</si>
  <si>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</si>
  <si>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</si>
  <si>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</si>
  <si>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</si>
  <si>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</si>
  <si>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</si>
  <si>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</si>
  <si>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</si>
  <si>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</si>
  <si>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</si>
  <si>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</si>
  <si>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</si>
  <si>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</si>
  <si>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</si>
  <si>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</si>
  <si>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</si>
  <si>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</si>
  <si>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</si>
  <si>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</si>
  <si>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</si>
  <si>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</si>
  <si>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</si>
  <si>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</si>
  <si>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</si>
  <si>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</si>
  <si>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</si>
  <si>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</si>
  <si>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</si>
  <si>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</si>
  <si>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</si>
  <si>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</si>
  <si>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</si>
  <si>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</si>
  <si>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</si>
  <si>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</si>
  <si>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</si>
  <si>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</si>
  <si>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</si>
  <si>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</si>
  <si>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</si>
  <si>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</si>
  <si>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</si>
  <si>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</si>
  <si>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</si>
  <si>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</si>
  <si>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</si>
  <si>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</si>
  <si>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</si>
  <si>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</si>
  <si>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</si>
  <si>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</si>
  <si>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</si>
  <si>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</si>
  <si>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</si>
  <si>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</si>
  <si>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</si>
  <si>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</si>
  <si>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</si>
  <si>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</si>
  <si>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</si>
  <si>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</si>
  <si>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</si>
  <si>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</si>
  <si>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</si>
  <si>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</si>
  <si>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</si>
  <si>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</si>
  <si>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</si>
  <si>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</si>
  <si>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</si>
  <si>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</si>
  <si>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</si>
  <si>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</si>
  <si>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</si>
  <si>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</si>
  <si>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</si>
  <si>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</si>
  <si>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</si>
  <si>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</si>
  <si>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</si>
  <si>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</si>
  <si>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</si>
  <si>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</si>
  <si>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</si>
  <si>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</si>
  <si>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</si>
  <si>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</si>
  <si>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</si>
  <si>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</si>
  <si>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</si>
  <si>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</si>
  <si>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</si>
  <si>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</si>
  <si>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</si>
  <si>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</si>
  <si>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</si>
  <si>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</si>
  <si>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</si>
  <si>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</si>
  <si>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</si>
  <si>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</si>
  <si>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</si>
  <si>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</si>
  <si>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</si>
  <si>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</si>
  <si>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</si>
  <si>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</si>
  <si>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</si>
  <si>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</si>
  <si>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</si>
  <si>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</si>
  <si>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</si>
  <si>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</si>
  <si>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</si>
  <si>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</si>
  <si>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</si>
  <si>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</si>
  <si>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</si>
  <si>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</si>
  <si>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</si>
  <si>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</si>
  <si>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</si>
  <si>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</si>
  <si>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</si>
  <si>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</si>
  <si>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</si>
  <si>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</si>
  <si>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</si>
  <si>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</si>
  <si>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</si>
  <si>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</si>
  <si>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</si>
  <si>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</si>
  <si>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</si>
  <si>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</si>
  <si>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</si>
  <si>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</si>
  <si>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</si>
  <si>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</si>
  <si>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</si>
  <si>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</si>
  <si>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</si>
  <si>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</si>
  <si>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</si>
  <si>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</si>
  <si>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</si>
  <si>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</si>
  <si>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</si>
  <si>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</si>
  <si>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</si>
  <si>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</si>
  <si>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</si>
  <si>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</si>
  <si>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</si>
  <si>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</si>
  <si>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</si>
  <si>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</si>
  <si>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</si>
  <si>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</si>
  <si>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</si>
  <si>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</si>
  <si>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</si>
  <si>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</si>
  <si>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</si>
  <si>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</si>
  <si>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</si>
  <si>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</si>
  <si>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</si>
  <si>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</si>
  <si>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</si>
  <si>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</si>
  <si>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</si>
  <si>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</si>
  <si>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</si>
  <si>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</si>
  <si>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</si>
  <si>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</si>
  <si>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</si>
  <si>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</si>
  <si>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</si>
  <si>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</si>
  <si>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</si>
  <si>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</si>
  <si>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</si>
  <si>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</si>
  <si>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</si>
  <si>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</si>
  <si>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</si>
  <si>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</si>
  <si>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</si>
  <si>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</si>
  <si>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</si>
  <si>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</si>
  <si>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</si>
  <si>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</si>
  <si>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</si>
  <si>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</si>
  <si>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</si>
  <si>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</si>
  <si>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</si>
  <si>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</si>
  <si>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</si>
  <si>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</si>
  <si>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</si>
  <si>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</si>
  <si>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</si>
  <si>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</si>
  <si>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</si>
  <si>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</si>
  <si>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</si>
  <si>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</si>
  <si>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</si>
  <si>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</si>
  <si>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</si>
  <si>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</si>
  <si>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</si>
  <si>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</si>
  <si>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</si>
  <si>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</si>
  <si>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</si>
  <si>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</si>
  <si>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</si>
  <si>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</si>
  <si>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</si>
  <si>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</si>
  <si>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</si>
  <si>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</si>
  <si>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</si>
  <si>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</si>
  <si>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</si>
  <si>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</si>
  <si>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</si>
  <si>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</si>
  <si>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</si>
  <si>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</si>
  <si>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</si>
  <si>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</si>
  <si>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</si>
  <si>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</si>
  <si>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</si>
  <si>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</si>
  <si>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</si>
  <si>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</si>
  <si>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</si>
  <si>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</si>
  <si>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</si>
  <si>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</si>
  <si>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</si>
  <si>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</si>
  <si>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</si>
  <si>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</si>
  <si>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</si>
  <si>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</si>
  <si>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</si>
  <si>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</si>
  <si>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</si>
  <si>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</si>
  <si>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</si>
  <si>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</si>
  <si>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</si>
  <si>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</si>
  <si>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</si>
  <si>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</si>
  <si>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</si>
  <si>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</si>
  <si>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</si>
  <si>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</si>
  <si>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</si>
  <si>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</si>
  <si>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</si>
  <si>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</si>
  <si>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</si>
  <si>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</si>
  <si>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</si>
  <si>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</si>
  <si>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</si>
  <si>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</si>
  <si>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</si>
  <si>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</si>
  <si>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</si>
  <si>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</si>
  <si>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</si>
  <si>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</si>
  <si>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</si>
  <si>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</si>
  <si>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</si>
  <si>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</si>
  <si>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</si>
  <si>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</si>
  <si>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</si>
  <si>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</si>
  <si>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</si>
  <si>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</si>
  <si>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</si>
  <si>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</si>
  <si>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</si>
  <si>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</si>
  <si>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</si>
  <si>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</si>
  <si>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</si>
  <si>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</si>
  <si>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</si>
  <si>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</si>
  <si>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</si>
  <si>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</si>
  <si>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</si>
  <si>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</si>
  <si>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</si>
  <si>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</si>
  <si>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</si>
  <si>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</si>
  <si>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</si>
  <si>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</si>
  <si>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</si>
  <si>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</si>
  <si>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</si>
  <si>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</si>
  <si>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</si>
  <si>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</si>
  <si>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</si>
  <si>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</si>
  <si>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</si>
  <si>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</si>
  <si>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</si>
  <si>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</si>
  <si>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</si>
  <si>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</si>
  <si>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</si>
  <si>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</si>
  <si>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</si>
  <si>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</si>
  <si>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</si>
  <si>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</si>
  <si>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</si>
  <si>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</si>
  <si>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</si>
  <si>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</si>
  <si>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</si>
  <si>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</si>
  <si>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</si>
  <si>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</si>
  <si>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</si>
  <si>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</si>
  <si>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</si>
  <si>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</si>
  <si>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</si>
  <si>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</si>
  <si>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</si>
  <si>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</si>
  <si>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</si>
  <si>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</si>
  <si>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</si>
  <si>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</si>
  <si>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</si>
  <si>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</si>
  <si>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</si>
  <si>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</si>
  <si>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</si>
  <si>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</si>
  <si>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</si>
  <si>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</si>
  <si>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</si>
  <si>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</si>
  <si>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</si>
  <si>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</si>
  <si>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</si>
  <si>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</si>
  <si>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</si>
  <si>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</si>
  <si>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</si>
  <si>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</si>
  <si>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</si>
  <si>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</si>
  <si>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</si>
  <si>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</si>
  <si>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</si>
  <si>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</si>
  <si>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</si>
  <si>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</si>
  <si>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</si>
  <si>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</si>
  <si>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</si>
  <si>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</si>
  <si>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</si>
  <si>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</si>
  <si>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</si>
  <si>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</si>
  <si>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</si>
  <si>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</si>
  <si>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</si>
  <si>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</si>
  <si>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</si>
  <si>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</si>
  <si>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</si>
  <si>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</si>
  <si>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</si>
  <si>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</si>
  <si>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</si>
  <si>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</si>
  <si>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</si>
  <si>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</si>
  <si>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</si>
  <si>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</si>
  <si>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</si>
  <si>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</si>
  <si>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</si>
  <si>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</si>
  <si>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</si>
  <si>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</si>
  <si>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</si>
  <si>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</si>
  <si>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</si>
  <si>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</si>
  <si>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</si>
  <si>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</si>
  <si>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</si>
  <si>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</si>
  <si>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</si>
  <si>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</si>
  <si>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</si>
  <si>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</si>
  <si>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</si>
  <si>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</si>
  <si>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</si>
  <si>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</si>
  <si>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</si>
  <si>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</si>
  <si>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</si>
  <si>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</si>
  <si>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</si>
  <si>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</si>
  <si>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</si>
  <si>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</si>
  <si>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</si>
  <si>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</si>
  <si>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</si>
  <si>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</si>
  <si>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</si>
  <si>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</si>
  <si>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</si>
  <si>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</si>
  <si>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</si>
  <si>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</si>
  <si>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</si>
  <si>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</si>
  <si>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</si>
  <si>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</si>
  <si>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</si>
  <si>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</si>
  <si>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</si>
  <si>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</si>
  <si>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</si>
  <si>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</si>
  <si>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</si>
  <si>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</si>
  <si>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</si>
  <si>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</si>
  <si>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</si>
  <si>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</si>
  <si>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</si>
  <si>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</si>
  <si>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</si>
  <si>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</si>
  <si>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</si>
  <si>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</si>
  <si>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</si>
  <si>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</si>
  <si>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</si>
  <si>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</si>
  <si>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</si>
  <si>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</si>
  <si>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</si>
  <si>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</si>
  <si>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</si>
  <si>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</si>
  <si>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</si>
  <si>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</si>
  <si>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</si>
  <si>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</si>
  <si>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</si>
  <si>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</si>
  <si>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</si>
  <si>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</si>
  <si>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</si>
  <si>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</si>
  <si>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</si>
  <si>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</si>
  <si>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</si>
  <si>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</si>
  <si>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</si>
  <si>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</si>
  <si>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</si>
  <si>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</si>
  <si>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</si>
  <si>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</si>
  <si>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</si>
  <si>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</si>
  <si>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</si>
  <si>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</si>
  <si>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</si>
  <si>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</si>
  <si>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</si>
  <si>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</si>
  <si>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</si>
  <si>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</si>
  <si>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</si>
  <si>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</si>
  <si>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</si>
  <si>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</si>
  <si>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</si>
  <si>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</si>
  <si>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</si>
  <si>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</si>
  <si>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</si>
  <si>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</si>
  <si>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</si>
  <si>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</si>
  <si>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</si>
  <si>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</si>
  <si>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</si>
  <si>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</si>
  <si>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</si>
  <si>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</si>
  <si>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</si>
  <si>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</si>
  <si>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</si>
  <si>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</si>
  <si>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</si>
  <si>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</si>
  <si>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</si>
  <si>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</si>
  <si>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</si>
  <si>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</si>
  <si>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</si>
  <si>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</si>
  <si>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</si>
  <si>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</si>
  <si>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</si>
  <si>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</si>
  <si>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</si>
  <si>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</si>
  <si>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</si>
  <si>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</si>
  <si>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</si>
  <si>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</si>
  <si>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</si>
  <si>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</si>
  <si>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</si>
  <si>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</si>
  <si>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</si>
  <si>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</si>
  <si>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</si>
  <si>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</si>
  <si>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</si>
  <si>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</si>
  <si>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</si>
  <si>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</si>
  <si>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</si>
  <si>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</si>
  <si>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</si>
  <si>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</si>
  <si>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</si>
  <si>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</si>
  <si>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</si>
  <si>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</si>
  <si>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</si>
  <si>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</si>
  <si>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</si>
  <si>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</si>
  <si>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</si>
  <si>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</si>
  <si>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</si>
  <si>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</si>
  <si>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</si>
  <si>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</si>
  <si>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</si>
  <si>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</si>
  <si>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</si>
  <si>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</si>
  <si>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</si>
  <si>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</si>
  <si>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</si>
  <si>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</si>
  <si>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</si>
  <si>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</si>
  <si>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</si>
  <si>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</si>
  <si>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</si>
  <si>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</si>
  <si>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</si>
  <si>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</si>
  <si>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</si>
  <si>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</si>
  <si>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</si>
  <si>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</si>
  <si>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</si>
  <si>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</si>
  <si>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</si>
  <si>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</si>
  <si>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</si>
  <si>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</si>
  <si>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</si>
  <si>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</si>
  <si>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</si>
  <si>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</si>
  <si>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</si>
  <si>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</si>
  <si>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</si>
  <si>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</si>
  <si>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</si>
  <si>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</si>
  <si>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</si>
  <si>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</si>
  <si>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</si>
  <si>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</si>
  <si>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</si>
  <si>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</si>
  <si>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</si>
  <si>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</si>
  <si>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</si>
  <si>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</si>
  <si>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</si>
  <si>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</si>
  <si>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</si>
  <si>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</si>
  <si>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</si>
  <si>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</si>
  <si>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</si>
  <si>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</si>
  <si>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</si>
  <si>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</si>
  <si>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</si>
  <si>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</si>
  <si>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</si>
  <si>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</si>
  <si>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</si>
  <si>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</si>
  <si>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</si>
  <si>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</si>
  <si>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</si>
  <si>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</si>
  <si>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</si>
  <si>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</si>
  <si>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</si>
  <si>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</si>
  <si>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</si>
  <si>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</si>
  <si>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</si>
  <si>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</si>
  <si>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</si>
  <si>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</si>
  <si>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</si>
  <si>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</si>
  <si>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</si>
  <si>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</si>
  <si>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</si>
  <si>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</si>
  <si>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</si>
  <si>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</si>
  <si>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</si>
  <si>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</si>
  <si>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</si>
  <si>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</si>
  <si>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</si>
  <si>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</si>
  <si>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</si>
  <si>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</si>
  <si>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</si>
  <si>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</si>
  <si>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</si>
  <si>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</si>
  <si>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</si>
  <si>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</si>
  <si>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</si>
  <si>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</si>
  <si>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</si>
  <si>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</si>
  <si>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</si>
  <si>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</si>
  <si>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</si>
  <si>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</si>
  <si>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</si>
  <si>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</si>
  <si>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</si>
  <si>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</si>
  <si>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</si>
  <si>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</si>
  <si>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</si>
  <si>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</si>
  <si>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</si>
  <si>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</si>
  <si>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</si>
  <si>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</si>
  <si>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</si>
  <si>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</si>
  <si>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</si>
  <si>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</si>
  <si>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</si>
  <si>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</si>
  <si>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</si>
  <si>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</si>
  <si>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</si>
  <si>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</si>
  <si>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</si>
  <si>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</si>
  <si>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</si>
  <si>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</si>
  <si>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</si>
  <si>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</si>
  <si>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</si>
  <si>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</si>
  <si>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</si>
  <si>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</si>
  <si>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</si>
  <si>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</si>
  <si>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</si>
  <si>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</si>
  <si>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</si>
  <si>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</si>
  <si>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</si>
  <si>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</si>
  <si>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</si>
  <si>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</si>
  <si>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</si>
  <si>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</si>
  <si>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</si>
  <si>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</si>
  <si>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</si>
  <si>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</si>
  <si>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</si>
  <si>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</si>
  <si>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</si>
  <si>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</si>
  <si>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</si>
  <si>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</si>
  <si>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</si>
  <si>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</si>
  <si>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</si>
  <si>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</si>
  <si>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</si>
  <si>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</si>
  <si>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</si>
  <si>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</si>
  <si>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</si>
  <si>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</si>
  <si>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</si>
  <si>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</si>
  <si>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</si>
  <si>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</si>
  <si>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</si>
  <si>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</si>
  <si>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</si>
  <si>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</si>
  <si>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</si>
  <si>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</si>
  <si>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</si>
  <si>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</si>
  <si>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</si>
  <si>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</si>
  <si>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</si>
  <si>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</si>
  <si>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</si>
  <si>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</si>
  <si>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</si>
  <si>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</si>
  <si>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</si>
  <si>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</si>
  <si>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</si>
  <si>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</si>
  <si>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</si>
  <si>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</si>
  <si>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</si>
  <si>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</si>
  <si>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</si>
  <si>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</si>
  <si>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</si>
  <si>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</si>
  <si>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</si>
  <si>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</si>
  <si>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</si>
  <si>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</si>
  <si>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</si>
  <si>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</si>
  <si>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</si>
  <si>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</si>
  <si>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</si>
  <si>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</si>
  <si>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</si>
  <si>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</si>
  <si>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</si>
  <si>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</si>
  <si>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</si>
  <si>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</si>
  <si>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</si>
  <si>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</si>
  <si>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</si>
  <si>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</si>
  <si>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</si>
  <si>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</si>
  <si>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</si>
  <si>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</si>
  <si>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</si>
  <si>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</si>
  <si>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</si>
  <si>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</si>
  <si>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</si>
  <si>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</si>
  <si>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</si>
  <si>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</si>
  <si>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</si>
  <si>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</si>
  <si>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</si>
  <si>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</si>
  <si>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</si>
  <si>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</si>
  <si>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</si>
  <si>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</si>
  <si>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</si>
  <si>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</si>
  <si>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</si>
  <si>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</si>
  <si>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</si>
  <si>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</si>
  <si>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</si>
  <si>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</si>
  <si>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</si>
  <si>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</si>
  <si>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</si>
  <si>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</si>
  <si>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</si>
  <si>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</si>
  <si>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</si>
  <si>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</si>
  <si>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</si>
  <si>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</si>
  <si>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</si>
  <si>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</si>
  <si>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</si>
  <si>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</si>
  <si>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</si>
  <si>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</si>
  <si>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</si>
  <si>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</si>
  <si>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</si>
  <si>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</si>
  <si>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</si>
  <si>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</si>
  <si>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</si>
  <si>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</si>
  <si>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</si>
  <si>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</si>
  <si>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</si>
  <si>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</si>
  <si>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</si>
  <si>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</si>
  <si>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</si>
  <si>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</si>
  <si>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</si>
  <si>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</si>
  <si>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</si>
  <si>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</si>
  <si>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</si>
  <si>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</si>
  <si>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</si>
  <si>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</si>
  <si>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</si>
  <si>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</si>
  <si>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</si>
  <si>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</si>
  <si>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</si>
  <si>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</si>
  <si>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</si>
  <si>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</si>
  <si>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</si>
  <si>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</si>
  <si>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</si>
  <si>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</si>
  <si>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</si>
  <si>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</si>
  <si>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</si>
  <si>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</si>
  <si>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</si>
  <si>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</si>
  <si>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</si>
  <si>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</si>
  <si>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</si>
  <si>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</si>
  <si>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</si>
  <si>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</si>
  <si>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</si>
  <si>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</si>
  <si>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</si>
  <si>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</si>
  <si>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</si>
  <si>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</si>
  <si>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</si>
  <si>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</si>
  <si>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</si>
  <si>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</si>
  <si>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</si>
  <si>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</si>
  <si>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</si>
  <si>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</si>
  <si>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</si>
  <si>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</si>
  <si>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</si>
  <si>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</si>
  <si>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</si>
  <si>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</si>
  <si>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</si>
  <si>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</si>
  <si>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</si>
  <si>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</si>
  <si>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</si>
  <si>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</si>
  <si>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</si>
  <si>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</si>
  <si>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</si>
  <si>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</si>
  <si>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</si>
  <si>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</si>
  <si>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</si>
  <si>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</si>
  <si>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</si>
  <si>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</si>
  <si>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</si>
  <si>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</si>
  <si>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</si>
  <si>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</si>
  <si>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</si>
  <si>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</si>
  <si>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</si>
  <si>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</si>
  <si>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</si>
  <si>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</si>
  <si>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</si>
  <si>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</si>
  <si>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</si>
  <si>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</si>
  <si>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</si>
  <si>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</si>
  <si>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</si>
  <si>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</si>
  <si>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</si>
  <si>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</si>
  <si>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</si>
  <si>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</si>
  <si>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</si>
  <si>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</si>
  <si>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</si>
  <si>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</si>
  <si>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</si>
  <si>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</si>
  <si>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</si>
  <si>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</si>
  <si>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</si>
  <si>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</si>
  <si>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</si>
  <si>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</si>
  <si>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</si>
  <si>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</si>
  <si>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</si>
  <si>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</si>
  <si>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</si>
  <si>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</si>
  <si>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</si>
  <si>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</si>
  <si>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</si>
  <si>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</si>
  <si>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</si>
  <si>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</si>
  <si>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</si>
  <si>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</si>
  <si>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</si>
  <si>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</si>
  <si>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</si>
  <si>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</si>
  <si>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</si>
  <si>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</si>
  <si>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</si>
  <si>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</si>
  <si>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</si>
  <si>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</si>
  <si>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</si>
  <si>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</si>
  <si>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</si>
  <si>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</si>
  <si>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</si>
  <si>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</si>
  <si>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</si>
  <si>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</si>
  <si>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</si>
  <si>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</si>
  <si>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</si>
  <si>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</si>
  <si>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</si>
  <si>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</si>
  <si>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</si>
  <si>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</si>
  <si>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</si>
  <si>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</si>
  <si>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</si>
  <si>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</si>
  <si>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</si>
  <si>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</si>
  <si>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</si>
  <si>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</si>
  <si>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</si>
  <si>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</si>
  <si>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</si>
  <si>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</si>
  <si>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</si>
  <si>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</si>
  <si>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</si>
  <si>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</si>
  <si>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</si>
  <si>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</si>
  <si>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</si>
  <si>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</si>
  <si>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</si>
  <si>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</si>
  <si>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</si>
  <si>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</si>
  <si>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</si>
  <si>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</si>
  <si>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</si>
  <si>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</si>
  <si>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</si>
  <si>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</si>
  <si>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</si>
  <si>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</si>
  <si>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</si>
  <si>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</si>
  <si>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</si>
  <si>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</si>
  <si>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</si>
  <si>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</si>
  <si>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</si>
  <si>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</si>
  <si>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</si>
  <si>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</si>
  <si>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</si>
  <si>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</si>
  <si>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</si>
  <si>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</si>
  <si>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</si>
  <si>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</si>
  <si>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</si>
  <si>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</si>
  <si>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</si>
  <si>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</si>
  <si>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</si>
  <si>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</si>
  <si>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</si>
  <si>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</si>
  <si>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</si>
  <si>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</si>
  <si>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</si>
  <si>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</si>
  <si>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</si>
  <si>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</si>
  <si>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</si>
  <si>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</si>
  <si>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</si>
  <si>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</si>
  <si>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</si>
  <si>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</si>
  <si>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</si>
  <si>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</si>
  <si>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</si>
  <si>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</si>
  <si>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</si>
  <si>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</si>
  <si>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</si>
  <si>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</si>
  <si>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</si>
  <si>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</si>
  <si>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</si>
  <si>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</si>
  <si>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</si>
  <si>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</si>
  <si>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</si>
  <si>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</si>
  <si>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</si>
  <si>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</si>
  <si>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</si>
  <si>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</si>
  <si>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</si>
  <si>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</si>
  <si>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</si>
  <si>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</si>
  <si>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</si>
  <si>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</si>
  <si>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</si>
  <si>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</si>
  <si>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</si>
  <si>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</si>
  <si>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</si>
  <si>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</si>
  <si>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</si>
  <si>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</si>
  <si>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</si>
  <si>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</si>
  <si>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</si>
  <si>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</si>
  <si>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</si>
  <si>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</si>
  <si>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</si>
  <si>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</si>
  <si>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</si>
  <si>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</si>
  <si>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</si>
  <si>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</si>
  <si>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</si>
  <si>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</si>
  <si>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</si>
  <si>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</si>
  <si>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</si>
  <si>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</si>
  <si>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</si>
  <si>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</si>
  <si>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</si>
  <si>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</si>
  <si>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</si>
  <si>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</si>
  <si>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</si>
  <si>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</si>
  <si>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</si>
  <si>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</si>
  <si>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</si>
  <si>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</si>
  <si>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</si>
  <si>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</si>
  <si>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</si>
  <si>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</si>
  <si>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</si>
  <si>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</si>
  <si>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</si>
  <si>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</si>
  <si>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</si>
  <si>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</si>
  <si>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</si>
  <si>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</si>
  <si>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</si>
  <si>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</si>
  <si>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</si>
  <si>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</si>
  <si>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</si>
  <si>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</si>
  <si>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</si>
  <si>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</si>
  <si>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</si>
  <si>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</si>
  <si>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</si>
  <si>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</si>
  <si>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</si>
  <si>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</si>
  <si>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</si>
  <si>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</si>
  <si>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</si>
  <si>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</si>
  <si>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</si>
  <si>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</si>
  <si>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</si>
  <si>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</si>
  <si>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</si>
  <si>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</si>
  <si>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</si>
  <si>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</si>
  <si>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</si>
  <si>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</si>
  <si>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</si>
  <si>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</si>
  <si>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</si>
  <si>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</si>
  <si>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</si>
  <si>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</si>
  <si>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</si>
  <si>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</si>
  <si>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</si>
  <si>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</si>
  <si>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</si>
  <si>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</si>
  <si>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</si>
  <si>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</si>
  <si>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</si>
  <si>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</si>
  <si>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</si>
  <si>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</si>
  <si>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</si>
  <si>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</si>
  <si>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</si>
  <si>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</si>
  <si>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</si>
  <si>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</si>
  <si>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</si>
  <si>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</si>
  <si>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</si>
  <si>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</si>
  <si>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</si>
  <si>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</si>
  <si>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</si>
  <si>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</si>
  <si>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</si>
  <si>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</si>
  <si>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</si>
  <si>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</si>
  <si>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</si>
  <si>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</si>
  <si>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</si>
  <si>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</si>
  <si>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</si>
  <si>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</si>
  <si>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</si>
  <si>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</si>
  <si>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</si>
  <si>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</si>
  <si>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</si>
  <si>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</si>
  <si>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</si>
  <si>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</si>
  <si>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</si>
  <si>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</si>
  <si>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</si>
  <si>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</si>
  <si>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</si>
  <si>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</si>
  <si>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</si>
  <si>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</si>
  <si>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</si>
  <si>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</si>
  <si>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</si>
  <si>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</si>
  <si>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</si>
  <si>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</si>
  <si>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</si>
  <si>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</si>
  <si>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</si>
  <si>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</si>
  <si>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</si>
  <si>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</si>
  <si>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</si>
  <si>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</si>
  <si>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</si>
  <si>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</si>
  <si>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</si>
  <si>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</si>
  <si>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</si>
  <si>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</si>
  <si>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</si>
  <si>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</si>
  <si>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</si>
  <si>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</si>
  <si>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</si>
  <si>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</si>
  <si>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</si>
  <si>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</si>
  <si>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</si>
  <si>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</si>
  <si>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</si>
  <si>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</si>
  <si>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</si>
  <si>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</si>
  <si>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</si>
  <si>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</si>
  <si>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</si>
  <si>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</si>
  <si>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</si>
  <si>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</si>
  <si>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</si>
  <si>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</si>
  <si>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</si>
  <si>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</si>
  <si>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</si>
  <si>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</si>
  <si>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</si>
  <si>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</si>
  <si>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</si>
  <si>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</si>
  <si>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</si>
  <si>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</si>
  <si>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</si>
  <si>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</si>
  <si>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</si>
  <si>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</si>
  <si>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</si>
  <si>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</si>
  <si>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</si>
  <si>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</si>
  <si>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</si>
  <si>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</si>
  <si>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</si>
  <si>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</si>
  <si>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</si>
  <si>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</si>
  <si>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</si>
  <si>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</si>
  <si>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</si>
  <si>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</si>
  <si>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</si>
  <si>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</si>
  <si>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</si>
  <si>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</si>
  <si>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</si>
  <si>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</si>
  <si>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</si>
  <si>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</si>
  <si>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</si>
  <si>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</si>
  <si>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</si>
  <si>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</si>
  <si>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</si>
  <si>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</si>
  <si>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</si>
  <si>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</si>
  <si>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</si>
  <si>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</si>
  <si>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</si>
  <si>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</si>
  <si>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</si>
  <si>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</si>
  <si>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</si>
  <si>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</si>
  <si>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</si>
  <si>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</si>
  <si>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</si>
  <si>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</si>
  <si>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</si>
  <si>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</si>
  <si>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</si>
  <si>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</si>
  <si>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</si>
  <si>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</si>
  <si>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</si>
  <si>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</si>
  <si>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</si>
  <si>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</si>
  <si>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</si>
  <si>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</si>
  <si>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</si>
  <si>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</si>
  <si>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</si>
  <si>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</si>
  <si>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</si>
  <si>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</si>
  <si>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</si>
  <si>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</si>
  <si>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</si>
  <si>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</si>
  <si>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</si>
  <si>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</si>
  <si>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</si>
  <si>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</si>
  <si>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</si>
  <si>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</si>
  <si>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</si>
  <si>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</si>
  <si>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</si>
  <si>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</si>
  <si>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</si>
  <si>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</si>
  <si>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</si>
  <si>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</si>
  <si>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</si>
  <si>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</si>
  <si>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</si>
  <si>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</si>
  <si>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</si>
  <si>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</si>
  <si>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</si>
  <si>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</si>
  <si>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</si>
  <si>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</si>
  <si>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</si>
  <si>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</si>
  <si>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</si>
  <si>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</si>
  <si>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</si>
  <si>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</si>
  <si>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</si>
  <si>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</si>
  <si>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</si>
  <si>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</si>
  <si>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</si>
  <si>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</si>
  <si>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</si>
  <si>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</si>
  <si>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</si>
  <si>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</si>
  <si>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</si>
  <si>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</si>
  <si>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</si>
  <si>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</si>
  <si>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</si>
  <si>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</si>
  <si>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</si>
  <si>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</si>
  <si>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</si>
  <si>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</si>
  <si>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</si>
  <si>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</si>
  <si>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</si>
  <si>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</si>
  <si>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</si>
  <si>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</si>
  <si>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</si>
  <si>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</si>
  <si>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</si>
  <si>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</si>
  <si>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</si>
  <si>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</si>
  <si>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</si>
  <si>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</si>
  <si>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</si>
  <si>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</si>
  <si>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</si>
  <si>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</si>
  <si>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</si>
  <si>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</si>
  <si>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</si>
  <si>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</si>
  <si>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</si>
  <si>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</si>
  <si>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</si>
  <si>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</si>
  <si>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</si>
  <si>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</si>
  <si>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</si>
  <si>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</si>
  <si>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</si>
  <si>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</si>
  <si>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</si>
  <si>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</si>
  <si>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</si>
  <si>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</si>
  <si>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</si>
  <si>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</si>
  <si>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</si>
  <si>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</si>
  <si>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</si>
  <si>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</si>
  <si>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</si>
  <si>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</si>
  <si>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</si>
  <si>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</si>
  <si>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</si>
  <si>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</si>
  <si>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</si>
  <si>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</si>
  <si>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</si>
  <si>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</si>
  <si>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</si>
  <si>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</si>
  <si>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</si>
  <si>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</si>
  <si>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</si>
  <si>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</si>
  <si>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</si>
  <si>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</si>
  <si>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</si>
  <si>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</si>
  <si>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</si>
  <si>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</si>
  <si>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</si>
  <si>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</si>
  <si>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</si>
  <si>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</si>
  <si>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</si>
  <si>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</si>
  <si>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</si>
  <si>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</si>
  <si>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</si>
  <si>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</si>
  <si>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</si>
  <si>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</si>
  <si>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</si>
  <si>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</si>
  <si>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</si>
  <si>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</si>
  <si>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</si>
  <si>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</si>
  <si>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</si>
  <si>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</si>
  <si>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</si>
  <si>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</si>
  <si>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</si>
  <si>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</si>
  <si>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</si>
  <si>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</si>
  <si>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</si>
  <si>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</si>
  <si>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</si>
  <si>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</si>
  <si>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</si>
  <si>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</si>
  <si>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</si>
  <si>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</si>
  <si>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</si>
  <si>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</si>
  <si>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</si>
  <si>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</si>
  <si>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</si>
  <si>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</si>
  <si>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</si>
  <si>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</si>
  <si>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</si>
  <si>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</si>
  <si>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</si>
  <si>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</si>
  <si>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</si>
  <si>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</si>
  <si>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</si>
  <si>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</si>
  <si>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</si>
  <si>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</si>
  <si>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</si>
  <si>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</si>
  <si>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</si>
  <si>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</si>
  <si>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</si>
  <si>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</si>
  <si>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</si>
  <si>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</si>
  <si>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</si>
  <si>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</si>
  <si>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</si>
  <si>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</si>
  <si>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</si>
  <si>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</si>
  <si>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</si>
  <si>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</si>
  <si>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</si>
  <si>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</si>
  <si>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</si>
  <si>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</si>
  <si>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</si>
  <si>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</si>
  <si>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</si>
  <si>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</si>
  <si>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</si>
  <si>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</si>
  <si>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</si>
  <si>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</si>
  <si>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</si>
  <si>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</si>
  <si>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</si>
  <si>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</si>
  <si>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</si>
  <si>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</si>
  <si>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</si>
  <si>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</si>
  <si>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</si>
  <si>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</si>
  <si>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</si>
  <si>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</si>
  <si>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</si>
  <si>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</si>
  <si>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</si>
  <si>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</si>
  <si>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</si>
  <si>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</si>
  <si>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</si>
  <si>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</si>
  <si>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</si>
  <si>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</si>
  <si>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</si>
  <si>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</si>
  <si>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</si>
  <si>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</si>
  <si>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</si>
  <si>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</si>
  <si>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</si>
  <si>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</si>
  <si>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</si>
  <si>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</si>
  <si>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</si>
  <si>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</si>
  <si>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</si>
  <si>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</si>
  <si>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</si>
  <si>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</si>
  <si>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</si>
  <si>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</si>
  <si>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</si>
  <si>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</si>
  <si>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</si>
  <si>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</si>
  <si>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</si>
  <si>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</si>
  <si>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</si>
  <si>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</si>
  <si>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</si>
  <si>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</si>
  <si>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</si>
  <si>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</si>
  <si>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</si>
  <si>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</si>
  <si>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</si>
  <si>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</si>
  <si>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</si>
  <si>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</si>
  <si>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</si>
  <si>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</si>
  <si>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</si>
  <si>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</si>
  <si>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</si>
  <si>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</si>
  <si>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</si>
  <si>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</si>
  <si>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</si>
  <si>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</si>
  <si>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</si>
  <si>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</si>
  <si>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</si>
  <si>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</si>
  <si>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</si>
  <si>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</si>
  <si>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</si>
  <si>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</si>
  <si>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</si>
  <si>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</si>
  <si>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</si>
  <si>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</si>
  <si>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</si>
  <si>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</si>
  <si>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</si>
  <si>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</si>
  <si>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</si>
  <si>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</si>
  <si>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</si>
  <si>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</si>
  <si>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</si>
  <si>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</si>
  <si>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</si>
  <si>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</si>
  <si>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</si>
  <si>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</si>
  <si>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</si>
  <si>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</si>
  <si>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</si>
  <si>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</si>
  <si>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</si>
  <si>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</si>
  <si>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</si>
  <si>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</si>
  <si>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</si>
  <si>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</si>
  <si>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</si>
  <si>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</si>
  <si>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</si>
  <si>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</si>
  <si>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</si>
  <si>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</si>
  <si>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</si>
  <si>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</si>
  <si>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</si>
  <si>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</si>
  <si>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</si>
  <si>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</si>
  <si>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</si>
  <si>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</si>
  <si>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</si>
  <si>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</si>
  <si>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</si>
  <si>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</si>
  <si>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</si>
  <si>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</si>
  <si>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</si>
  <si>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</si>
  <si>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</si>
  <si>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</si>
  <si>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</si>
  <si>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</si>
  <si>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</si>
  <si>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</si>
  <si>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</si>
  <si>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</si>
  <si>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</si>
  <si>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</si>
  <si>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</si>
  <si>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</si>
  <si>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</si>
  <si>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</si>
  <si>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</si>
  <si>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</si>
  <si>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</si>
  <si>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</si>
  <si>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</si>
  <si>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</si>
  <si>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</si>
  <si>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</si>
  <si>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</si>
  <si>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</si>
  <si>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</si>
  <si>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</si>
  <si>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</si>
  <si>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</si>
  <si>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</si>
  <si>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</si>
  <si>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</si>
  <si>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</si>
  <si>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</si>
  <si>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</si>
  <si>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</si>
  <si>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</si>
  <si>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</si>
  <si>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</si>
  <si>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</si>
  <si>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</si>
  <si>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</si>
  <si>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</si>
  <si>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</si>
  <si>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</si>
  <si>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</si>
  <si>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</si>
  <si>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</si>
  <si>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</si>
  <si>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</si>
  <si>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</si>
  <si>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</si>
  <si>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</si>
  <si>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</si>
  <si>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</si>
  <si>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</si>
  <si>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</si>
  <si>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</si>
  <si>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</si>
  <si>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</si>
  <si>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</si>
  <si>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</si>
  <si>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</si>
  <si>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</si>
  <si>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</si>
  <si>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</si>
  <si>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</si>
  <si>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</si>
  <si>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</si>
  <si>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</si>
  <si>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</si>
  <si>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</si>
  <si>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</si>
  <si>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</si>
  <si>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</si>
  <si>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</si>
  <si>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</si>
  <si>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</si>
  <si>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</si>
  <si>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</si>
  <si>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</si>
  <si>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</si>
  <si>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</si>
  <si>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</si>
  <si>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</si>
  <si>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</si>
  <si>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</si>
  <si>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</si>
  <si>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</si>
  <si>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</si>
  <si>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</si>
  <si>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</si>
  <si>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</si>
  <si>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</si>
  <si>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</si>
  <si>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</si>
  <si>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</si>
  <si>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</si>
  <si>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</si>
  <si>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</si>
  <si>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</si>
  <si>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</si>
  <si>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</si>
  <si>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</si>
  <si>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</si>
  <si>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</si>
  <si>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</si>
  <si>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</si>
  <si>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</si>
  <si>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</si>
  <si>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</si>
  <si>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</si>
  <si>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</si>
  <si>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</si>
  <si>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</si>
  <si>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</si>
  <si>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</si>
  <si>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</si>
  <si>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</si>
  <si>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</si>
  <si>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</si>
  <si>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</si>
  <si>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</si>
  <si>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</si>
  <si>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</si>
  <si>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</si>
  <si>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</si>
  <si>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</si>
  <si>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</si>
  <si>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</si>
  <si>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</si>
  <si>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</si>
  <si>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</si>
  <si>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</si>
  <si>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</si>
  <si>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</si>
  <si>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</si>
  <si>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</si>
  <si>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</si>
  <si>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</si>
  <si>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</si>
  <si>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</si>
  <si>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</si>
  <si>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</si>
  <si>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</si>
  <si>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</si>
  <si>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</si>
  <si>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</si>
  <si>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</si>
  <si>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</si>
  <si>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</si>
  <si>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</si>
  <si>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</si>
  <si>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</si>
  <si>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</si>
  <si>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</si>
  <si>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</si>
  <si>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</si>
  <si>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</si>
  <si>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</si>
  <si>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</si>
  <si>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</si>
  <si>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</si>
  <si>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</si>
  <si>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</si>
  <si>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</si>
  <si>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</si>
  <si>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</si>
  <si>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</si>
  <si>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</si>
  <si>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</si>
  <si>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</si>
  <si>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</si>
  <si>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</si>
  <si>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</si>
  <si>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</si>
  <si>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</si>
  <si>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</si>
  <si>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</si>
  <si>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</si>
  <si>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</si>
  <si>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</si>
  <si>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</si>
  <si>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</si>
  <si>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</si>
  <si>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</si>
  <si>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</si>
  <si>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</si>
  <si>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</si>
  <si>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</si>
  <si>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</si>
  <si>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</si>
  <si>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</si>
  <si>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</si>
  <si>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</si>
  <si>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</si>
  <si>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</si>
  <si>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</si>
  <si>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</si>
  <si>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</si>
  <si>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</si>
  <si>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</si>
  <si>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</si>
  <si>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</si>
  <si>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</si>
  <si>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</si>
  <si>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</si>
  <si>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</si>
  <si>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</si>
  <si>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</si>
  <si>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</si>
  <si>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</si>
  <si>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</si>
  <si>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</si>
  <si>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</si>
  <si>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</si>
  <si>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</si>
  <si>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</si>
  <si>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</si>
  <si>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</si>
  <si>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</si>
  <si>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</si>
  <si>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</si>
  <si>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</si>
  <si>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</si>
  <si>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</si>
  <si>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</si>
  <si>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</si>
  <si>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</si>
  <si>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</si>
  <si>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</si>
  <si>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</si>
  <si>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</si>
  <si>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</si>
  <si>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</si>
  <si>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</si>
  <si>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</si>
  <si>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</si>
  <si>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</si>
  <si>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</si>
  <si>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</si>
  <si>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</si>
  <si>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</si>
  <si>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</si>
  <si>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</si>
  <si>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</si>
  <si>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</si>
  <si>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</si>
  <si>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</si>
  <si>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</si>
  <si>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</si>
  <si>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</si>
  <si>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</si>
  <si>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</si>
  <si>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</si>
  <si>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</si>
  <si>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</si>
  <si>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</si>
  <si>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</si>
  <si>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</si>
  <si>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</si>
  <si>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</si>
  <si>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</si>
  <si>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</si>
  <si>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</si>
  <si>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</si>
  <si>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</si>
  <si>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</si>
  <si>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</si>
  <si>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</si>
  <si>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</si>
  <si>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</si>
  <si>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</si>
  <si>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</si>
  <si>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</si>
  <si>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</si>
  <si>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</si>
  <si>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</si>
  <si>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</si>
  <si>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</si>
  <si>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</si>
  <si>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</si>
  <si>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</si>
  <si>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</si>
  <si>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</si>
  <si>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</si>
  <si>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</si>
  <si>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</si>
  <si>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</si>
  <si>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</si>
  <si>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</si>
  <si>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</si>
  <si>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</si>
  <si>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</si>
  <si>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</si>
  <si>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</si>
  <si>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</si>
  <si>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</si>
  <si>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</si>
  <si>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</si>
  <si>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</si>
  <si>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</si>
  <si>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</si>
  <si>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</si>
  <si>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</si>
  <si>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</si>
  <si>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</si>
  <si>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</si>
  <si>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</si>
  <si>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</si>
  <si>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</si>
  <si>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</si>
  <si>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</si>
  <si>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</si>
  <si>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</si>
  <si>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</si>
  <si>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</si>
  <si>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</si>
  <si>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</si>
  <si>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</si>
  <si>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</si>
  <si>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</si>
  <si>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</si>
  <si>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</si>
  <si>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</si>
  <si>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</si>
  <si>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</si>
  <si>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</si>
  <si>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</si>
  <si>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</si>
  <si>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</si>
  <si>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</si>
  <si>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</si>
  <si>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</si>
  <si>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</si>
  <si>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</si>
  <si>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</si>
  <si>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</si>
  <si>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</si>
  <si>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</si>
  <si>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</si>
  <si>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</si>
  <si>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</si>
  <si>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</si>
  <si>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</si>
  <si>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</si>
  <si>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</si>
  <si>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</si>
  <si>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</si>
  <si>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</si>
  <si>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</si>
  <si>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</si>
  <si>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</si>
  <si>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</si>
  <si>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</si>
  <si>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</si>
  <si>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</si>
  <si>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</si>
  <si>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</si>
  <si>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</si>
  <si>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</si>
  <si>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</si>
  <si>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</si>
  <si>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</si>
  <si>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</si>
  <si>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</si>
  <si>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</si>
  <si>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</si>
  <si>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</si>
  <si>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</si>
  <si>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</si>
  <si>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</si>
  <si>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</si>
  <si>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</si>
  <si>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</si>
  <si>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</si>
  <si>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</si>
  <si>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</si>
  <si>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</si>
  <si>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</si>
  <si>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</si>
  <si>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</si>
  <si>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</si>
  <si>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</si>
  <si>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</si>
  <si>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</si>
  <si>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</si>
  <si>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</si>
  <si>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</si>
  <si>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</si>
  <si>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</si>
  <si>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</si>
  <si>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</si>
  <si>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</si>
  <si>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</si>
  <si>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</si>
  <si>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</si>
  <si>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</si>
  <si>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房地产抵押价值</t>
  </si>
  <si>
    <t>北京市</t>
  </si>
  <si>
    <t>企业</t>
  </si>
  <si>
    <t>办公</t>
    <phoneticPr fontId="6" type="noConversion"/>
  </si>
  <si>
    <t>是</t>
  </si>
  <si>
    <t>地上</t>
  </si>
  <si>
    <t>办公楼</t>
  </si>
  <si>
    <t>办公</t>
    <phoneticPr fontId="7" type="noConversion"/>
  </si>
  <si>
    <t>成新度</t>
  </si>
  <si>
    <t>建成时间</t>
    <phoneticPr fontId="3" type="noConversion"/>
  </si>
  <si>
    <t>直线</t>
    <phoneticPr fontId="3" type="noConversion"/>
  </si>
  <si>
    <t>观察</t>
    <phoneticPr fontId="3" type="noConversion"/>
  </si>
  <si>
    <t>综合</t>
    <phoneticPr fontId="3" type="noConversion"/>
  </si>
  <si>
    <t>收益法 (元)</t>
  </si>
  <si>
    <t>较好</t>
  </si>
  <si>
    <t>较好</t>
    <phoneticPr fontId="40" type="noConversion"/>
  </si>
  <si>
    <t>较好</t>
    <phoneticPr fontId="24" type="noConversion"/>
  </si>
  <si>
    <t>七通</t>
  </si>
  <si>
    <t>七通</t>
    <phoneticPr fontId="24" type="noConversion"/>
  </si>
  <si>
    <t>售价</t>
  </si>
  <si>
    <t>售价</t>
    <phoneticPr fontId="134" type="noConversion"/>
  </si>
  <si>
    <t>单价</t>
    <phoneticPr fontId="134" type="noConversion"/>
  </si>
  <si>
    <t>面积</t>
    <phoneticPr fontId="134" type="noConversion"/>
  </si>
  <si>
    <t>楼层</t>
    <phoneticPr fontId="134" type="noConversion"/>
  </si>
  <si>
    <t>金源时代商务中心</t>
    <phoneticPr fontId="134" type="noConversion"/>
  </si>
  <si>
    <t>中区</t>
    <phoneticPr fontId="134" type="noConversion"/>
  </si>
  <si>
    <t>装修</t>
    <phoneticPr fontId="134" type="noConversion"/>
  </si>
  <si>
    <t>精装</t>
  </si>
  <si>
    <t>精装</t>
    <phoneticPr fontId="134" type="noConversion"/>
  </si>
  <si>
    <t>简装</t>
    <phoneticPr fontId="134" type="noConversion"/>
  </si>
  <si>
    <t>嘉豪国际中心</t>
    <phoneticPr fontId="134" type="noConversion"/>
  </si>
  <si>
    <t>租金</t>
  </si>
  <si>
    <t>租金</t>
    <phoneticPr fontId="134" type="noConversion"/>
  </si>
  <si>
    <t>单价</t>
    <phoneticPr fontId="134" type="noConversion"/>
  </si>
  <si>
    <t>单套模式</t>
  </si>
  <si>
    <t>万柳亿城中心</t>
    <phoneticPr fontId="3" type="noConversion"/>
  </si>
  <si>
    <t>正常</t>
  </si>
  <si>
    <t>办公</t>
    <phoneticPr fontId="31" type="noConversion"/>
  </si>
  <si>
    <t>低区</t>
    <phoneticPr fontId="31" type="noConversion"/>
  </si>
  <si>
    <t>多层写字楼</t>
  </si>
  <si>
    <t>多层写字楼</t>
    <phoneticPr fontId="31" type="noConversion"/>
  </si>
  <si>
    <t>报价</t>
    <phoneticPr fontId="31" type="noConversion"/>
  </si>
  <si>
    <t>高区</t>
    <phoneticPr fontId="31" type="noConversion"/>
  </si>
  <si>
    <t>中区</t>
    <phoneticPr fontId="31" type="noConversion"/>
  </si>
  <si>
    <t>多层写字楼</t>
    <phoneticPr fontId="31" type="noConversion"/>
  </si>
  <si>
    <t>钢混</t>
  </si>
  <si>
    <t>钢混</t>
    <phoneticPr fontId="31" type="noConversion"/>
  </si>
  <si>
    <t>精装</t>
    <phoneticPr fontId="31" type="noConversion"/>
  </si>
  <si>
    <t>普装</t>
  </si>
  <si>
    <t>普装</t>
    <phoneticPr fontId="31" type="noConversion"/>
  </si>
  <si>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</si>
  <si>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</si>
  <si>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</si>
  <si>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</si>
  <si>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</si>
  <si>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</si>
  <si>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</si>
  <si>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标准层高</t>
  </si>
  <si>
    <t>标准层高</t>
    <phoneticPr fontId="31" type="noConversion"/>
  </si>
  <si>
    <t>简装</t>
    <phoneticPr fontId="31" type="noConversion"/>
  </si>
  <si>
    <t>毛坯</t>
    <phoneticPr fontId="31" type="noConversion"/>
  </si>
  <si>
    <t>较好</t>
    <phoneticPr fontId="31" type="noConversion"/>
  </si>
  <si>
    <t>现房</t>
  </si>
  <si>
    <t>楼面单价</t>
  </si>
  <si>
    <t>自定义</t>
  </si>
  <si>
    <t>比较法-办公</t>
  </si>
  <si>
    <t>押一</t>
  </si>
  <si>
    <t>非生产用房</t>
  </si>
  <si>
    <t>否</t>
  </si>
  <si>
    <t>万柳亿城中心</t>
    <phoneticPr fontId="134" type="noConversion"/>
  </si>
  <si>
    <t>低区</t>
    <phoneticPr fontId="134" type="noConversion"/>
  </si>
  <si>
    <t>嘉豪国际中心</t>
    <phoneticPr fontId="134" type="noConversion"/>
  </si>
  <si>
    <t>中区</t>
    <phoneticPr fontId="134" type="noConversion"/>
  </si>
  <si>
    <t>简装</t>
    <phoneticPr fontId="134" type="noConversion"/>
  </si>
  <si>
    <r>
      <rPr>
        <sz val="10"/>
        <color theme="9" tint="-0.249977111117893"/>
        <rFont val="宋体"/>
        <family val="3"/>
        <charset val="134"/>
      </rPr>
      <t>海淀区长春桥路</t>
    </r>
    <r>
      <rPr>
        <sz val="10"/>
        <color theme="9" tint="-0.249977111117893"/>
        <rFont val="Arial"/>
        <family val="2"/>
      </rPr>
      <t>11</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102</t>
    </r>
    <phoneticPr fontId="6" type="noConversion"/>
  </si>
  <si>
    <t>简装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</si>
</sst>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0" borderId="14"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1" fontId="44" fillId="7" borderId="24" xfId="0" applyNumberFormat="1" applyFont="1" applyFill="1" applyBorder="1" applyAlignment="1" applyProtection="1">
      <alignment vertical="center"/>
      <protection locked="0"/>
    </xf>
    <xf numFmtId="0" fontId="58" fillId="7" borderId="3" xfId="0" applyNumberFormat="1" applyFont="1" applyFill="1" applyBorder="1" applyAlignment="1" applyProtection="1">
      <alignment horizontal="center" vertical="center" wrapText="1"/>
      <protection locked="0"/>
    </xf>
    <xf numFmtId="0" fontId="51" fillId="5" borderId="23" xfId="0" applyNumberFormat="1" applyFont="1" applyFill="1" applyBorder="1" applyAlignment="1" applyProtection="1">
      <alignment horizontal="center" vertical="center" wrapText="1"/>
      <protection locked="0"/>
    </xf>
    <xf numFmtId="0" fontId="44" fillId="7" borderId="1" xfId="0" applyNumberFormat="1" applyFont="1" applyFill="1" applyBorder="1" applyAlignment="1" applyProtection="1">
      <alignment horizontal="center" vertical="center" wrapText="1"/>
      <protection locked="0"/>
    </xf>
    <xf numFmtId="0" fontId="51" fillId="7" borderId="78" xfId="0" applyNumberFormat="1" applyFont="1" applyFill="1" applyBorder="1" applyAlignment="1" applyProtection="1">
      <alignment horizontal="center" vertical="center" wrapText="1"/>
      <protection locked="0"/>
    </xf>
    <xf numFmtId="0" fontId="44" fillId="7" borderId="3"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14</xdr:col>
      <xdr:colOff>457200</xdr:colOff>
      <xdr:row>52</xdr:row>
      <xdr:rowOff>65314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0"/>
          <a:ext cx="10058400" cy="7266214"/>
        </a:xfrm>
        <a:prstGeom prst="rect">
          <a:avLst/>
        </a:prstGeom>
      </xdr:spPr>
    </xdr:pic>
    <xdr:clientData/>
  </xdr:twoCellAnchor>
  <xdr:twoCellAnchor editAs="oneCell">
    <xdr:from>
      <xdr:col>0</xdr:col>
      <xdr:colOff>0</xdr:colOff>
      <xdr:row>53</xdr:row>
      <xdr:rowOff>0</xdr:rowOff>
    </xdr:from>
    <xdr:to>
      <xdr:col>14</xdr:col>
      <xdr:colOff>457200</xdr:colOff>
      <xdr:row>95</xdr:row>
      <xdr:rowOff>65314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86850"/>
          <a:ext cx="10058400" cy="7266214"/>
        </a:xfrm>
        <a:prstGeom prst="rect">
          <a:avLst/>
        </a:prstGeom>
      </xdr:spPr>
    </xdr:pic>
    <xdr:clientData/>
  </xdr:twoCellAnchor>
  <xdr:twoCellAnchor editAs="oneCell">
    <xdr:from>
      <xdr:col>0</xdr:col>
      <xdr:colOff>0</xdr:colOff>
      <xdr:row>96</xdr:row>
      <xdr:rowOff>0</xdr:rowOff>
    </xdr:from>
    <xdr:to>
      <xdr:col>14</xdr:col>
      <xdr:colOff>457200</xdr:colOff>
      <xdr:row>138</xdr:row>
      <xdr:rowOff>65314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459200"/>
          <a:ext cx="10058400" cy="7266214"/>
        </a:xfrm>
        <a:prstGeom prst="rect">
          <a:avLst/>
        </a:prstGeom>
      </xdr:spPr>
    </xdr:pic>
    <xdr:clientData/>
  </xdr:twoCellAnchor>
  <xdr:twoCellAnchor editAs="oneCell">
    <xdr:from>
      <xdr:col>0</xdr:col>
      <xdr:colOff>0</xdr:colOff>
      <xdr:row>139</xdr:row>
      <xdr:rowOff>0</xdr:rowOff>
    </xdr:from>
    <xdr:to>
      <xdr:col>14</xdr:col>
      <xdr:colOff>457200</xdr:colOff>
      <xdr:row>181</xdr:row>
      <xdr:rowOff>65314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831550"/>
          <a:ext cx="10058400" cy="7266214"/>
        </a:xfrm>
        <a:prstGeom prst="rect">
          <a:avLst/>
        </a:prstGeom>
      </xdr:spPr>
    </xdr:pic>
    <xdr:clientData/>
  </xdr:twoCellAnchor>
  <xdr:twoCellAnchor editAs="oneCell">
    <xdr:from>
      <xdr:col>0</xdr:col>
      <xdr:colOff>0</xdr:colOff>
      <xdr:row>182</xdr:row>
      <xdr:rowOff>0</xdr:rowOff>
    </xdr:from>
    <xdr:to>
      <xdr:col>14</xdr:col>
      <xdr:colOff>457200</xdr:colOff>
      <xdr:row>224</xdr:row>
      <xdr:rowOff>65314</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1203900"/>
          <a:ext cx="10058400" cy="7266214"/>
        </a:xfrm>
        <a:prstGeom prst="rect">
          <a:avLst/>
        </a:prstGeom>
      </xdr:spPr>
    </xdr:pic>
    <xdr:clientData/>
  </xdr:twoCellAnchor>
  <xdr:twoCellAnchor editAs="oneCell">
    <xdr:from>
      <xdr:col>0</xdr:col>
      <xdr:colOff>0</xdr:colOff>
      <xdr:row>225</xdr:row>
      <xdr:rowOff>0</xdr:rowOff>
    </xdr:from>
    <xdr:to>
      <xdr:col>14</xdr:col>
      <xdr:colOff>457200</xdr:colOff>
      <xdr:row>267</xdr:row>
      <xdr:rowOff>65314</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8576250"/>
          <a:ext cx="10058400" cy="72662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北京市海淀区长春桥路11号2号楼1层102房地产抵押价值预评估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受贵公司委托，我公司对北京市海淀区长春桥路11号2号楼1层102房地产抵押价值进行了预评估。</v>
      </c>
    </row>
    <row r="7" spans="1:2" s="1203" customFormat="1">
      <c r="A7" s="1201" t="s">
        <v>566</v>
      </c>
      <c r="B7" s="1202" t="str">
        <f>'预评函-1'!A7</f>
        <v>估价对象为北京市海淀区长春桥路11号2号楼1层102房地产，为所有。根据《国有土地使用证》[]，估价对象（分摊）出让国有建设用地使用权面积为0平方米，建筑面积为75.58平方米。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长春桥路11号2号楼1层102房地产,属开发建设的，该项目尚在开发建设中。根据《国有土地使用证》[]，估价对象（分摊）出让国有建设用地使用权面积为0平方米，规划建筑面积为75.58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长春桥路11号2号楼1层102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2024年6月12日</v>
      </c>
    </row>
    <row r="13" spans="1:2" s="1203" customFormat="1">
      <c r="A13" s="1201" t="s">
        <v>529</v>
      </c>
      <c r="B13" s="1202" t="str">
        <f>'预评函-1'!A18</f>
        <v>本次估价的“房地产价值”是指在正常市场情况下，在价值时点2024年6月12日，估价对象规划用途为办公，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265</v>
      </c>
    </row>
    <row r="21" spans="1:2" s="1203" customFormat="1">
      <c r="A21" s="1201" t="s">
        <v>537</v>
      </c>
      <c r="B21" s="1202">
        <f ca="1">'预评函-2'!D7</f>
        <v>35021</v>
      </c>
    </row>
    <row r="22" spans="1:2" s="1203" customFormat="1">
      <c r="A22" s="1201" t="s">
        <v>538</v>
      </c>
      <c r="B22" s="1202" t="str">
        <f ca="1">'预评函-2'!D6</f>
        <v>贰佰陆拾伍万元整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265</v>
      </c>
    </row>
    <row r="31" spans="1:2" s="1203" customFormat="1">
      <c r="A31" s="1201" t="s">
        <v>576</v>
      </c>
      <c r="B31" s="1202">
        <f ca="1">'预评函-2'!D15</f>
        <v>35021</v>
      </c>
    </row>
    <row r="32" spans="1:2" s="1203" customFormat="1">
      <c r="A32" s="1201" t="s">
        <v>543</v>
      </c>
      <c r="B32" s="1202" t="str">
        <f ca="1">'预评函-2'!D14</f>
        <v>贰佰陆拾伍万元整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北京市海淀区长春桥路11号2号楼1层102房地产</v>
      </c>
    </row>
    <row r="42" spans="1:2" s="1203" customFormat="1">
      <c r="A42" s="1201" t="s">
        <v>590</v>
      </c>
      <c r="B42" s="1202" t="str">
        <f>'预评函-3'!B2</f>
        <v>建筑面积</v>
      </c>
    </row>
    <row r="43" spans="1:2" s="1203" customFormat="1">
      <c r="A43" s="1201" t="s">
        <v>591</v>
      </c>
      <c r="B43" s="1202">
        <f>'预评函-3'!B4</f>
        <v>75.58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长春桥路11号2号楼1层102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19" t="s">
        <v>2580</v>
      </c>
      <c r="J2" s="3519"/>
      <c r="K2" s="3519"/>
      <c r="L2" s="3519"/>
      <c r="M2" s="3519"/>
      <c r="N2" s="3519"/>
      <c r="O2" s="3519"/>
      <c r="P2" s="3519"/>
      <c r="Q2" s="3519"/>
      <c r="R2" s="3519"/>
    </row>
    <row r="3" spans="1:18">
      <c r="A3" s="3018" t="s">
        <v>2501</v>
      </c>
      <c r="B3" s="3019">
        <f>项目基本情况!D3</f>
        <v>45455</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2.52</v>
      </c>
      <c r="D5" s="3023">
        <f>IF(ISERROR(ROUND(POWER(1+E5,A5-C5)*(POWER(1+E5,C5)-1)/(POWER(1+E5,A5)-1),3)),0,ROUND(POWER(1+E5,A5-C5)*(POWER(1+E5,C5)-1)/(POWER(1+E5,A5)-1),4))</f>
        <v>0.11890000000000001</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12.52</v>
      </c>
      <c r="D6" s="3023">
        <f>IF(ISERROR(ROUND(POWER(1+E6,A6-C6)*(POWER(1+E6,C6)-1)/(POWER(1+E6,A6)-1),3)),0,ROUND(POWER(1+E6,A6-C6)*(POWER(1+E6,C6)-1)/(POWER(1+E6,A6)-1),4))</f>
        <v>0.4516</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32.54</v>
      </c>
      <c r="D7" s="3023">
        <f>IF(ISERROR(ROUND(POWER(1+E7,A7-C7)*(POWER(1+E7,C7)-1)/(POWER(1+E7,A7)-1),3)),0,ROUND(POWER(1+E7,A7-C7)*(POWER(1+E7,C7)-1)/(POWER(1+E7,A7)-1),4))</f>
        <v>0.77039999999999997</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9" sqref="E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0" t="str">
        <f>IF(B10="北京市","北京市",C10)&amp;F10&amp;IF(结果表!G1="在建","出让国有建设用地使用权及在建建筑物",IF(结果表!G1="土地","出让国有建设用地使用权",))&amp;B9&amp;"预评估"</f>
        <v>北京市海淀区长春桥路11号2号楼1层102房地产抵押价值预评估</v>
      </c>
      <c r="C1" s="3521"/>
      <c r="D1" s="3521"/>
      <c r="E1" s="3521"/>
      <c r="F1" s="3521"/>
      <c r="G1" s="3521"/>
      <c r="H1" s="3521"/>
      <c r="I1" s="3522"/>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北京市海淀区长春桥路11号2号楼1层102房地产抵押价值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北京市海淀区长春桥路11号2号楼1层102房地产</v>
      </c>
      <c r="T2" s="1745"/>
      <c r="U2" s="1745"/>
      <c r="V2" s="1745"/>
      <c r="W2" s="1745"/>
      <c r="X2" s="1745"/>
      <c r="Y2" s="1745"/>
      <c r="Z2" s="1745"/>
      <c r="AA2" s="1745"/>
      <c r="AB2" s="1745"/>
    </row>
    <row r="3" spans="1:30">
      <c r="A3" s="302" t="s">
        <v>2170</v>
      </c>
      <c r="B3" s="2373"/>
      <c r="C3" s="2374" t="s">
        <v>2171</v>
      </c>
      <c r="D3" s="2373">
        <v>45455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3376</v>
      </c>
      <c r="C8" s="2390"/>
      <c r="D8" s="3523" t="s">
        <v>2177</v>
      </c>
      <c r="E8" s="2391" t="s">
        <v>3381</v>
      </c>
      <c r="F8" s="2392"/>
      <c r="G8" s="2661"/>
      <c r="H8" s="2661"/>
      <c r="I8" s="2661"/>
      <c r="J8" s="2439"/>
      <c r="K8" s="2612"/>
      <c r="L8" s="2611"/>
      <c r="M8" s="2611"/>
      <c r="N8" s="2439"/>
      <c r="O8" s="2450"/>
      <c r="P8" s="2439"/>
      <c r="Q8" s="2439"/>
      <c r="R8" s="2439"/>
    </row>
    <row r="9" spans="1:30" ht="13.5" thickBot="1">
      <c r="A9" s="2393" t="s">
        <v>2178</v>
      </c>
      <c r="B9" s="2394" t="s">
        <v>3381</v>
      </c>
      <c r="C9" s="2395"/>
      <c r="D9" s="3524"/>
      <c r="E9" s="2394" t="s">
        <v>43</v>
      </c>
      <c r="F9" s="2396"/>
      <c r="G9" s="2663"/>
      <c r="H9" s="2663"/>
      <c r="I9" s="2663"/>
      <c r="J9" s="2439"/>
      <c r="K9" s="2614"/>
      <c r="L9" s="2611"/>
      <c r="M9" s="2611"/>
      <c r="N9" s="2439"/>
      <c r="O9" s="2450"/>
      <c r="P9" s="2439"/>
      <c r="Q9" s="2439"/>
      <c r="R9" s="2439"/>
    </row>
    <row r="10" spans="1:30" ht="13.5" thickTop="1">
      <c r="A10" s="2397" t="s">
        <v>2179</v>
      </c>
      <c r="B10" s="2398" t="s">
        <v>3382</v>
      </c>
      <c r="C10" s="2399"/>
      <c r="D10" s="2382"/>
      <c r="E10" s="2400" t="s">
        <v>2180</v>
      </c>
      <c r="F10" s="2664" t="s">
        <v>3455</v>
      </c>
      <c r="G10" s="2665"/>
      <c r="H10" s="2666"/>
      <c r="I10" s="2667"/>
      <c r="J10" s="2439"/>
      <c r="K10" s="2614"/>
      <c r="L10" s="2611"/>
      <c r="M10" s="2611"/>
      <c r="N10" s="2439"/>
      <c r="O10" s="2450"/>
      <c r="P10" s="2439"/>
      <c r="Q10" s="2439"/>
      <c r="R10" s="2439"/>
    </row>
    <row r="11" spans="1:30">
      <c r="A11" s="2401" t="s">
        <v>2181</v>
      </c>
      <c r="B11" s="2402" t="s">
        <v>3383</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3477" t="s">
        <v>2187</v>
      </c>
      <c r="G12" s="2406" t="s">
        <v>2188</v>
      </c>
      <c r="H12" s="2406" t="s">
        <v>2189</v>
      </c>
      <c r="I12" s="3057" t="s">
        <v>2576</v>
      </c>
      <c r="J12" s="3060"/>
      <c r="K12" s="2611"/>
      <c r="L12" s="2611"/>
      <c r="M12" s="2439"/>
      <c r="N12" s="2450"/>
      <c r="O12" s="2439"/>
      <c r="P12" s="2439"/>
      <c r="Q12" s="2439"/>
      <c r="AD12" s="1745"/>
    </row>
    <row r="13" spans="1:30">
      <c r="A13" s="3421" t="s">
        <v>3332</v>
      </c>
      <c r="B13" s="2407" t="s">
        <v>2190</v>
      </c>
      <c r="C13" s="856"/>
      <c r="D13" s="856"/>
      <c r="E13" s="856">
        <v>55676</v>
      </c>
      <c r="F13" s="856"/>
      <c r="G13" s="856"/>
      <c r="H13" s="856"/>
      <c r="I13" s="856"/>
      <c r="J13" s="3060"/>
      <c r="K13" s="2611"/>
      <c r="L13" s="2611"/>
      <c r="M13" s="2439"/>
      <c r="N13" s="2450"/>
      <c r="O13" s="2439"/>
      <c r="P13" s="2439"/>
      <c r="Q13" s="2439"/>
      <c r="AD13" s="1745"/>
    </row>
    <row r="14" spans="1:30">
      <c r="A14" s="1081"/>
      <c r="B14" s="2407" t="s">
        <v>2191</v>
      </c>
      <c r="C14" s="2408"/>
      <c r="D14" s="2408"/>
      <c r="E14" s="2408">
        <v>50</v>
      </c>
      <c r="F14" s="2408"/>
      <c r="G14" s="2408"/>
      <c r="H14" s="2408"/>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28</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30" t="s">
        <v>3384</v>
      </c>
      <c r="C16" s="3531"/>
      <c r="D16" s="3532"/>
      <c r="E16" s="2413" t="s">
        <v>2194</v>
      </c>
      <c r="F16" s="3533"/>
      <c r="G16" s="3534"/>
      <c r="H16" s="3534"/>
      <c r="I16" s="3535"/>
      <c r="J16" s="2439"/>
      <c r="K16" s="2615"/>
      <c r="L16" s="2451"/>
      <c r="M16" s="2451"/>
      <c r="N16" s="2507"/>
      <c r="O16" s="2451"/>
      <c r="P16" s="2507"/>
      <c r="Q16" s="2439"/>
      <c r="R16" s="2439"/>
    </row>
    <row r="17" spans="1:28">
      <c r="A17" s="313" t="s">
        <v>2195</v>
      </c>
      <c r="B17" s="302" t="s">
        <v>2196</v>
      </c>
      <c r="C17" s="8">
        <f>'数据-汇总表'!E3</f>
        <v>75.58</v>
      </c>
      <c r="D17" s="2322" t="s">
        <v>2197</v>
      </c>
      <c r="E17" s="3536" t="s">
        <v>2198</v>
      </c>
      <c r="F17" s="3537"/>
      <c r="G17" s="3537"/>
      <c r="H17" s="3537"/>
      <c r="I17" s="3538"/>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39" t="s">
        <v>2202</v>
      </c>
      <c r="F18" s="3540"/>
      <c r="G18" s="3540"/>
      <c r="H18" s="3540"/>
      <c r="I18" s="3541"/>
      <c r="J18" s="2439"/>
      <c r="K18" s="2616"/>
      <c r="L18" s="2451"/>
      <c r="M18" s="2451"/>
      <c r="N18" s="2507"/>
      <c r="O18" s="2451"/>
      <c r="P18" s="2507"/>
      <c r="Q18" s="2439"/>
      <c r="R18" s="2439"/>
      <c r="S18" s="2439"/>
      <c r="T18" s="2439"/>
      <c r="U18" s="2439"/>
      <c r="V18" s="2439"/>
    </row>
    <row r="19" spans="1:28" ht="37.5" thickTop="1" thickBot="1">
      <c r="A19" s="327" t="s">
        <v>1055</v>
      </c>
      <c r="B19" s="307" t="s">
        <v>2203</v>
      </c>
      <c r="C19" s="1563" t="s">
        <v>3385</v>
      </c>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26" t="s">
        <v>2206</v>
      </c>
      <c r="C20" s="3527"/>
      <c r="D20" s="3528" t="s">
        <v>2207</v>
      </c>
      <c r="E20" s="3529"/>
      <c r="F20" s="2645" t="s">
        <v>1056</v>
      </c>
      <c r="G20" s="2662"/>
      <c r="H20" s="2662"/>
      <c r="I20" s="2662"/>
      <c r="J20" s="2439"/>
      <c r="K20" s="352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43"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43"/>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43"/>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44"/>
      <c r="B30" s="302" t="s">
        <v>2218</v>
      </c>
      <c r="C30" s="3545"/>
      <c r="D30" s="3546"/>
      <c r="E30" s="2662"/>
      <c r="F30" s="2662"/>
      <c r="G30" s="2662"/>
      <c r="H30" s="2662"/>
      <c r="I30" s="2662"/>
      <c r="J30" s="2439"/>
      <c r="K30" s="2614"/>
      <c r="L30" s="2611"/>
      <c r="M30" s="2611"/>
      <c r="N30" s="2439"/>
      <c r="O30" s="2450"/>
      <c r="P30" s="2439"/>
      <c r="Q30" s="2439"/>
      <c r="R30" s="2439"/>
      <c r="S30" s="2439"/>
      <c r="T30" s="2439"/>
      <c r="U30" s="2439"/>
      <c r="V30" s="2439"/>
    </row>
    <row r="31" spans="1:28">
      <c r="A31" s="3547"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48"/>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48"/>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42" t="s">
        <v>2228</v>
      </c>
      <c r="T34" s="2428" t="str">
        <f>NUMBERSTRING(7-K34,1)&amp;"通"</f>
        <v>七通</v>
      </c>
      <c r="U34" s="2439"/>
      <c r="V34" s="2439"/>
    </row>
    <row r="35" spans="1:30">
      <c r="A35" s="2429"/>
      <c r="B35" s="3549" t="s">
        <v>2229</v>
      </c>
      <c r="C35" s="3549"/>
      <c r="D35" s="3549"/>
      <c r="E35" s="3549"/>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2579</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75.58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75.58</v>
      </c>
      <c r="H5" s="13">
        <f t="shared" ref="H5:AT5" si="0">SUM(H13:H656)</f>
        <v>75.58</v>
      </c>
      <c r="I5" s="13">
        <f t="shared" si="0"/>
        <v>75.58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75.58</v>
      </c>
      <c r="BA5" s="15">
        <f t="shared" si="1"/>
        <v>75.58</v>
      </c>
      <c r="BB5" s="15">
        <f t="shared" si="1"/>
        <v>75.58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75.58</v>
      </c>
      <c r="H13" s="17">
        <f>SUMIF(I$12:AB$12,"总值",I13:AB13)</f>
        <v>75.58</v>
      </c>
      <c r="I13" s="1626">
        <v>75.58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75.58</v>
      </c>
      <c r="BA13" s="13">
        <f>SUM(BB13:BK13)</f>
        <v>75.58</v>
      </c>
      <c r="BB13" s="13">
        <f>IF($D13="是",I13-J13,0)</f>
        <v>75.58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zoomScaleSheetLayoutView="100" workbookViewId="0">
      <selection activeCell="E32" sqref="E3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9" t="s">
        <v>1131</v>
      </c>
      <c r="B2" s="3559"/>
      <c r="C2" s="3559"/>
      <c r="D2" s="796" t="s">
        <v>1107</v>
      </c>
      <c r="E2" s="1639" t="s">
        <v>1108</v>
      </c>
      <c r="F2" s="2657"/>
      <c r="G2" s="2648"/>
      <c r="H2" s="2649"/>
      <c r="I2" s="2325" t="s">
        <v>1132</v>
      </c>
      <c r="J2" s="2657"/>
      <c r="K2" s="2657"/>
      <c r="L2" s="2657"/>
      <c r="M2" s="2657"/>
      <c r="N2" s="2659"/>
      <c r="O2" s="2657"/>
      <c r="P2" s="2657"/>
    </row>
    <row r="3" spans="1:16" ht="15.75" thickBot="1">
      <c r="A3" s="3560" t="s">
        <v>1105</v>
      </c>
      <c r="B3" s="3560"/>
      <c r="C3" s="3560"/>
      <c r="D3" s="43">
        <f>'数据-基础表'!AY6</f>
        <v>0</v>
      </c>
      <c r="E3" s="43">
        <f>'数据-基础表'!AZ5</f>
        <v>75.58</v>
      </c>
      <c r="F3" s="2657"/>
      <c r="G3" s="1145"/>
      <c r="H3" s="1026" t="s">
        <v>1106</v>
      </c>
      <c r="I3" s="855" t="e">
        <f>ROUND('数据-基础表'!B3/'数据-基础表'!A3,2)</f>
        <v>#DIV/0!</v>
      </c>
      <c r="J3" s="2657"/>
      <c r="K3" s="2657"/>
      <c r="L3" s="2657"/>
      <c r="M3" s="2657"/>
      <c r="N3" s="2659"/>
      <c r="O3" s="2657"/>
      <c r="P3" s="2657"/>
    </row>
    <row r="4" spans="1:16" ht="15">
      <c r="A4" s="3561"/>
      <c r="B4" s="3562"/>
      <c r="C4" s="3563"/>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64" t="s">
        <v>1110</v>
      </c>
      <c r="C5" s="3564"/>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64" t="s">
        <v>1111</v>
      </c>
      <c r="C6" s="3564"/>
      <c r="D6" s="45">
        <f>ROUND($D$3*E6/$E$3,2)</f>
        <v>0</v>
      </c>
      <c r="E6" s="46">
        <f>E3-E5</f>
        <v>75.58</v>
      </c>
      <c r="F6" s="2657"/>
      <c r="G6" s="2651" t="s">
        <v>1112</v>
      </c>
      <c r="H6" s="1146" t="s">
        <v>1113</v>
      </c>
      <c r="I6" s="2652" t="e">
        <f>ROUND(F31/D31,2)</f>
        <v>#DIV/0!</v>
      </c>
      <c r="J6" s="2657"/>
      <c r="K6" s="2657"/>
      <c r="L6" s="2657"/>
      <c r="M6" s="2657"/>
      <c r="N6" s="2657"/>
      <c r="O6" s="2657"/>
      <c r="P6" s="2657"/>
    </row>
    <row r="7" spans="1:16" ht="15.75" thickBot="1">
      <c r="A7" s="3556"/>
      <c r="B7" s="3557"/>
      <c r="C7" s="3558"/>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75.58</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75.58</v>
      </c>
      <c r="F16" s="2657"/>
      <c r="G16" s="2658"/>
      <c r="H16" s="1648" t="s">
        <v>1135</v>
      </c>
      <c r="I16" s="1649"/>
      <c r="J16" s="1139"/>
      <c r="K16" s="3553" t="s">
        <v>1135</v>
      </c>
      <c r="L16" s="3554"/>
      <c r="M16" s="3554"/>
      <c r="N16" s="3554"/>
      <c r="O16" s="3554"/>
      <c r="P16" s="3555"/>
    </row>
    <row r="17" spans="1:19" ht="15">
      <c r="A17" s="1650" t="s">
        <v>1136</v>
      </c>
      <c r="B17" s="1651" t="s">
        <v>1137</v>
      </c>
      <c r="C17" s="1652" t="s">
        <v>1138</v>
      </c>
      <c r="D17" s="1653" t="s">
        <v>1126</v>
      </c>
      <c r="E17" s="1654" t="s">
        <v>1127</v>
      </c>
      <c r="F17" s="1655"/>
      <c r="G17" s="1656"/>
      <c r="H17" s="1657" t="s">
        <v>1139</v>
      </c>
      <c r="I17" s="1658" t="s">
        <v>1124</v>
      </c>
      <c r="J17" s="1139"/>
      <c r="K17" s="3550" t="s">
        <v>1140</v>
      </c>
      <c r="L17" s="3551"/>
      <c r="M17" s="3552"/>
      <c r="N17" s="3550" t="s">
        <v>1141</v>
      </c>
      <c r="O17" s="3551"/>
      <c r="P17" s="355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3388</v>
      </c>
      <c r="D19" s="45">
        <f>ROUND($D$3*E19/$E$3,2)</f>
        <v>0</v>
      </c>
      <c r="E19" s="53">
        <f t="shared" ref="E19:E26" si="1">SUM(F19:G19)</f>
        <v>75.58</v>
      </c>
      <c r="F19" s="2793">
        <f>'数据-基础表'!AZ5</f>
        <v>75.58</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75.58</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75.58</v>
      </c>
      <c r="F27" s="1140">
        <f>IF(SUM(F19:F26)=E8,SUM(F19:F26),"地上面积有误")</f>
        <v>75.58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75.58</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75.58</v>
      </c>
      <c r="F31" s="677">
        <f>F27+F30</f>
        <v>75.58</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M6" sqref="M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45455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55676</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30">
        <f>SUMIF('数据-汇总表'!C$19:C$33,A6,'数据-汇总表'!E$19:E$33)</f>
        <v>75.58</v>
      </c>
      <c r="L6" s="733">
        <v>4400</v>
      </c>
      <c r="M6" s="67">
        <f t="shared" ref="M6:M14" si="0">ROUND(K6*L6/10000,0)</f>
        <v>33</v>
      </c>
      <c r="N6" s="731">
        <f>N20</f>
        <v>0.74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6">
        <f>'比较法-租金'!C50</f>
        <v>5.6</v>
      </c>
      <c r="V6" s="70">
        <v>2.5000000000000001E-2</v>
      </c>
      <c r="W6" s="70">
        <v>0.1</v>
      </c>
      <c r="X6" s="1040"/>
      <c r="Y6" s="3818">
        <f>N6</f>
        <v>0.74</v>
      </c>
      <c r="Z6" s="72"/>
      <c r="AA6" s="66"/>
      <c r="AB6" s="66"/>
      <c r="AC6" s="1040"/>
      <c r="AD6" s="73"/>
      <c r="AE6" s="1041">
        <f ca="1">IF(AN6="",0,SUMIF(INDIRECT("'"&amp;AN6&amp;"'"&amp;"!E:E"),$AE$5,INDIRECT("'"&amp;AN6&amp;"'"&amp;"!F:F")))</f>
        <v>28</v>
      </c>
      <c r="AF6" s="1348"/>
      <c r="AG6" s="138">
        <f>IF(AF6="",0,AE6-AF6)</f>
        <v>0</v>
      </c>
      <c r="AH6" s="74"/>
      <c r="AI6" s="76">
        <v>365</v>
      </c>
      <c r="AJ6" s="77"/>
      <c r="AK6" s="78">
        <v>0.01</v>
      </c>
      <c r="AL6" s="79">
        <v>1.5E-3</v>
      </c>
      <c r="AM6" s="80">
        <v>0.01</v>
      </c>
      <c r="AN6" s="1715" t="s">
        <v>3394</v>
      </c>
      <c r="AO6" s="52">
        <f ca="1">SUMIF(INDIRECT("'"&amp;AN6&amp;"'"&amp;"!A:A"),"总价",INDIRECT("'"&amp;AN6&amp;"'"&amp;"!B:B"))</f>
        <v>204.25389999999999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0.81599999999999995</v>
      </c>
      <c r="H16" s="90">
        <f>ROUND(SUMPRODUCT(H6:H13,K6:K13)/SUMPRODUCT((H6:H13&gt;0)*(K6:K13)),3)</f>
        <v>0.05</v>
      </c>
      <c r="I16" s="91"/>
      <c r="J16" s="91"/>
      <c r="K16" s="92">
        <f>SUM(K6:K15)</f>
        <v>75.58</v>
      </c>
      <c r="L16" s="93">
        <f>ROUND(M16*10000/SUM(K6:K14),0)</f>
        <v>4366</v>
      </c>
      <c r="M16" s="93">
        <f>SUM(M6:M14)</f>
        <v>33</v>
      </c>
      <c r="N16" s="94">
        <f>ROUND(SUMPRODUCT(M6:M14,N6:N14)/M16,3)</f>
        <v>0.74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3455" t="s">
        <v>3390</v>
      </c>
      <c r="N17" s="2669">
        <v>2004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3455" t="s">
        <v>3391</v>
      </c>
      <c r="N18" s="2669">
        <f>ROUND(1-(2024-N17)/60,2)</f>
        <v>0.67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2301</v>
      </c>
      <c r="D19" s="2674"/>
      <c r="E19" s="2671"/>
      <c r="F19" s="2671"/>
      <c r="G19" s="2671"/>
      <c r="H19" s="2671"/>
      <c r="I19" s="2671"/>
      <c r="J19" s="2671"/>
      <c r="K19" s="2670"/>
      <c r="L19" s="2670"/>
      <c r="M19" s="3455" t="s">
        <v>3392</v>
      </c>
      <c r="N19" s="2669">
        <v>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2299</v>
      </c>
      <c r="D20" s="2674"/>
      <c r="E20" s="2671"/>
      <c r="F20" s="2671"/>
      <c r="G20" s="2671"/>
      <c r="H20" s="2671"/>
      <c r="I20" s="2671"/>
      <c r="J20" s="2671"/>
      <c r="K20" s="2670"/>
      <c r="L20" s="2670"/>
      <c r="M20" s="3455" t="s">
        <v>3393</v>
      </c>
      <c r="N20" s="2669">
        <f>ROUND((N18+N19)/2,2)</f>
        <v>0.74</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2303</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'收益法 (元)'!C17/10000</f>
        <v>1.5116000000000001</v>
      </c>
      <c r="C29" s="2800" t="s">
        <v>2290</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2291</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2292</v>
      </c>
      <c r="D34" s="2682" t="s">
        <v>2300</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2293</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1" t="s">
        <v>2294</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2295</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2295</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2310</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2304</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2296</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2297</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2296</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2298</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2302</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65" t="s">
        <v>2282</v>
      </c>
      <c r="B1" s="3566"/>
      <c r="C1" s="3566"/>
      <c r="D1" s="3566"/>
      <c r="E1" s="3566"/>
      <c r="F1" s="3566"/>
      <c r="G1" s="356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3456" t="s">
        <v>3396</v>
      </c>
      <c r="D3" s="2464"/>
      <c r="E3" s="2442" t="s">
        <v>2280</v>
      </c>
      <c r="F3" s="2465" t="s">
        <v>2253</v>
      </c>
      <c r="G3" s="2466" t="s">
        <v>2281</v>
      </c>
      <c r="H3" s="799"/>
      <c r="I3" s="799"/>
      <c r="J3" s="799"/>
      <c r="K3" s="799"/>
      <c r="L3" s="799"/>
      <c r="M3" s="799"/>
      <c r="N3" s="799"/>
      <c r="O3" s="799"/>
      <c r="P3" s="799"/>
      <c r="Q3" s="799"/>
      <c r="R3" s="799"/>
    </row>
    <row r="4" spans="1:29" ht="36">
      <c r="A4" s="2442"/>
      <c r="B4" s="323" t="s">
        <v>2254</v>
      </c>
      <c r="C4" s="3457" t="s">
        <v>3397</v>
      </c>
      <c r="D4" s="2464"/>
      <c r="E4" s="2467"/>
      <c r="F4" s="1373" t="s">
        <v>2255</v>
      </c>
      <c r="G4" s="2468" t="s">
        <v>2256</v>
      </c>
      <c r="H4" s="799"/>
      <c r="I4" s="799"/>
      <c r="J4" s="799"/>
      <c r="K4" s="799"/>
      <c r="L4" s="799"/>
      <c r="M4" s="799"/>
      <c r="N4" s="799"/>
      <c r="O4" s="799"/>
      <c r="P4" s="799"/>
      <c r="Q4" s="799"/>
      <c r="R4" s="799"/>
    </row>
    <row r="5" spans="1:29" ht="24">
      <c r="A5" s="2442"/>
      <c r="B5" s="323" t="s">
        <v>2257</v>
      </c>
      <c r="C5" s="3457" t="s">
        <v>3397</v>
      </c>
      <c r="D5" s="2464"/>
      <c r="E5" s="2467"/>
      <c r="F5" s="323" t="s">
        <v>2258</v>
      </c>
      <c r="G5" s="2468" t="s">
        <v>2259</v>
      </c>
      <c r="H5" s="799"/>
      <c r="I5" s="799"/>
      <c r="J5" s="799"/>
      <c r="K5" s="799"/>
      <c r="L5" s="799"/>
      <c r="M5" s="799"/>
      <c r="N5" s="799"/>
      <c r="O5" s="799"/>
      <c r="P5" s="799"/>
      <c r="Q5" s="799"/>
      <c r="R5" s="799"/>
    </row>
    <row r="6" spans="1:29">
      <c r="A6" s="2442"/>
      <c r="B6" s="323" t="s">
        <v>2260</v>
      </c>
      <c r="C6" s="3458" t="s">
        <v>3396</v>
      </c>
      <c r="D6" s="2464"/>
      <c r="E6" s="2467"/>
      <c r="F6" s="323" t="s">
        <v>2261</v>
      </c>
      <c r="G6" s="2468" t="s">
        <v>2262</v>
      </c>
      <c r="H6" s="799"/>
      <c r="I6" s="799"/>
      <c r="J6" s="799"/>
      <c r="K6" s="799"/>
      <c r="L6" s="799"/>
      <c r="M6" s="799"/>
      <c r="N6" s="799"/>
      <c r="O6" s="799"/>
      <c r="P6" s="799"/>
      <c r="Q6" s="799"/>
      <c r="R6" s="799"/>
    </row>
    <row r="7" spans="1:29" ht="24.75" thickBot="1">
      <c r="A7" s="2442"/>
      <c r="B7" s="323" t="s">
        <v>2258</v>
      </c>
      <c r="C7" s="3458" t="s">
        <v>3396</v>
      </c>
      <c r="D7" s="2469"/>
      <c r="E7" s="2470"/>
      <c r="F7" s="2471" t="s">
        <v>2263</v>
      </c>
      <c r="G7" s="2472" t="s">
        <v>2264</v>
      </c>
      <c r="H7" s="799"/>
      <c r="I7" s="799"/>
      <c r="J7" s="799"/>
      <c r="K7" s="799"/>
      <c r="L7" s="799"/>
      <c r="M7" s="799"/>
      <c r="N7" s="799"/>
      <c r="O7" s="799"/>
      <c r="P7" s="799"/>
      <c r="Q7" s="799"/>
      <c r="R7" s="799"/>
    </row>
    <row r="8" spans="1:29">
      <c r="A8" s="2442"/>
      <c r="B8" s="323" t="s">
        <v>2261</v>
      </c>
      <c r="C8" s="3458" t="s">
        <v>3399</v>
      </c>
      <c r="D8" s="2469"/>
      <c r="E8" s="2469"/>
      <c r="F8" s="2473"/>
      <c r="G8" s="2473"/>
      <c r="H8" s="799"/>
      <c r="I8" s="799"/>
      <c r="J8" s="799"/>
      <c r="K8" s="799"/>
      <c r="L8" s="799"/>
      <c r="M8" s="799"/>
      <c r="N8" s="799"/>
      <c r="O8" s="799"/>
      <c r="P8" s="799"/>
      <c r="Q8" s="799"/>
      <c r="R8" s="799"/>
    </row>
    <row r="9" spans="1:29">
      <c r="A9" s="2442"/>
      <c r="B9" s="323" t="s">
        <v>2265</v>
      </c>
      <c r="C9" s="3457" t="s">
        <v>3396</v>
      </c>
      <c r="D9" s="2464"/>
      <c r="E9" s="2469"/>
      <c r="F9" s="2473"/>
      <c r="G9" s="2473"/>
      <c r="H9" s="799"/>
      <c r="I9" s="799"/>
      <c r="J9" s="799"/>
      <c r="K9" s="799"/>
      <c r="L9" s="799"/>
      <c r="M9" s="799"/>
      <c r="N9" s="799"/>
      <c r="O9" s="799"/>
      <c r="P9" s="799"/>
      <c r="Q9" s="799"/>
      <c r="R9" s="799"/>
    </row>
    <row r="10" spans="1:29" s="2479" customFormat="1" ht="15" thickBot="1">
      <c r="A10" s="2443"/>
      <c r="B10" s="2474" t="s">
        <v>2266</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2283</v>
      </c>
      <c r="B13" s="2482"/>
      <c r="C13" s="2482"/>
      <c r="D13" s="2480"/>
      <c r="E13" s="2482"/>
      <c r="F13" s="2482"/>
      <c r="G13" s="2482"/>
    </row>
    <row r="14" spans="1:29" ht="15" thickBot="1">
      <c r="A14" s="2492"/>
      <c r="B14" s="2492"/>
      <c r="C14" s="2493" t="s">
        <v>2267</v>
      </c>
      <c r="D14" s="2464"/>
      <c r="E14" s="2494"/>
      <c r="F14" s="2494"/>
      <c r="G14" s="2460" t="s">
        <v>2268</v>
      </c>
    </row>
    <row r="15" spans="1:29" ht="25.5">
      <c r="A15" s="2444" t="s">
        <v>2269</v>
      </c>
      <c r="B15" s="2495" t="s">
        <v>2252</v>
      </c>
      <c r="C15" s="2496" t="str">
        <f>C3</f>
        <v>较好</v>
      </c>
      <c r="D15" s="2464"/>
      <c r="E15" s="2445" t="s">
        <v>2270</v>
      </c>
      <c r="F15" s="2495" t="s">
        <v>2271</v>
      </c>
      <c r="G15" s="2497" t="str">
        <f>G3</f>
        <v>估价对象位于XX开发区，园区建设成熟度XX，产业集聚程度XX</v>
      </c>
    </row>
    <row r="16" spans="1:29" ht="38.25">
      <c r="A16" s="2446"/>
      <c r="B16" s="2498" t="s">
        <v>2254</v>
      </c>
      <c r="C16" s="2499" t="str">
        <f>C4</f>
        <v>较好</v>
      </c>
      <c r="D16" s="2464"/>
      <c r="E16" s="2447"/>
      <c r="F16" s="2500" t="s">
        <v>2255</v>
      </c>
      <c r="G16" s="2501" t="str">
        <f>G4</f>
        <v>估价对象周边道路状况、公共交通通达情况、停车便捷程度，综合评价交通便捷度较好</v>
      </c>
    </row>
    <row r="17" spans="1:18">
      <c r="A17" s="2446"/>
      <c r="B17" s="2498" t="s">
        <v>2257</v>
      </c>
      <c r="C17" s="2499" t="str">
        <f>C5</f>
        <v>较好</v>
      </c>
      <c r="D17" s="2469"/>
      <c r="E17" s="2447"/>
      <c r="F17" s="2500" t="s">
        <v>2272</v>
      </c>
      <c r="G17" s="2502"/>
    </row>
    <row r="18" spans="1:18" ht="25.5">
      <c r="A18" s="2446"/>
      <c r="B18" s="2500" t="s">
        <v>2260</v>
      </c>
      <c r="C18" s="2501" t="str">
        <f>C6</f>
        <v>较好</v>
      </c>
      <c r="D18" s="2469"/>
      <c r="E18" s="2447"/>
      <c r="F18" s="2500" t="s">
        <v>2263</v>
      </c>
      <c r="G18" s="2501" t="str">
        <f>G7</f>
        <v>该园区内是否有污染型企业，绿化情况，卫生条件，整体环境状况判断</v>
      </c>
    </row>
    <row r="19" spans="1:18" ht="25.5">
      <c r="A19" s="2446"/>
      <c r="B19" s="2500" t="s">
        <v>2273</v>
      </c>
      <c r="C19" s="2502"/>
      <c r="D19" s="2464"/>
      <c r="E19" s="2447"/>
      <c r="F19" s="323" t="s">
        <v>2258</v>
      </c>
      <c r="G19" s="2501" t="str">
        <f>G5</f>
        <v>估价对象所在区域公共配套设施齐备情况</v>
      </c>
    </row>
    <row r="20" spans="1:18">
      <c r="A20" s="2446"/>
      <c r="B20" s="2500" t="s">
        <v>2274</v>
      </c>
      <c r="C20" s="2499" t="str">
        <f>C9</f>
        <v>较好</v>
      </c>
      <c r="D20" s="2469"/>
      <c r="E20" s="2447"/>
      <c r="F20" s="323" t="s">
        <v>2261</v>
      </c>
      <c r="G20" s="2501" t="str">
        <f>G6</f>
        <v>估价对象所在区域基础设施水平</v>
      </c>
    </row>
    <row r="21" spans="1:18">
      <c r="A21" s="2446"/>
      <c r="B21" s="323" t="s">
        <v>2258</v>
      </c>
      <c r="C21" s="2501" t="str">
        <f>C7</f>
        <v>较好</v>
      </c>
      <c r="D21" s="2464"/>
      <c r="E21" s="2447"/>
      <c r="F21" s="2500" t="s">
        <v>2275</v>
      </c>
      <c r="G21" s="2503"/>
    </row>
    <row r="22" spans="1:18" ht="13.5" customHeight="1">
      <c r="A22" s="2446"/>
      <c r="B22" s="323" t="s">
        <v>2261</v>
      </c>
      <c r="C22" s="2501" t="str">
        <f>C8</f>
        <v>七通</v>
      </c>
      <c r="D22" s="2464"/>
      <c r="E22" s="2447"/>
      <c r="F22" s="2500" t="s">
        <v>2266</v>
      </c>
      <c r="G22" s="2502"/>
    </row>
    <row r="23" spans="1:18" s="799" customFormat="1" ht="15" thickBot="1">
      <c r="A23" s="2446"/>
      <c r="B23" s="2500" t="s">
        <v>2275</v>
      </c>
      <c r="C23" s="2503"/>
      <c r="D23" s="1741"/>
      <c r="E23" s="2448"/>
      <c r="F23" s="2504" t="s">
        <v>2276</v>
      </c>
      <c r="G23" s="2505"/>
      <c r="H23" s="2489"/>
      <c r="I23" s="2490"/>
      <c r="J23" s="2489"/>
      <c r="K23" s="2489"/>
      <c r="L23" s="2490"/>
      <c r="M23" s="2489"/>
      <c r="N23" s="2489"/>
      <c r="O23" s="2490"/>
      <c r="P23" s="2489"/>
      <c r="Q23" s="2489"/>
      <c r="R23" s="2491"/>
    </row>
    <row r="24" spans="1:18" s="799" customFormat="1" ht="15" thickBot="1">
      <c r="A24" s="2449"/>
      <c r="B24" s="2504" t="s">
        <v>2277</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75.58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45455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265</v>
      </c>
      <c r="C5" s="2510">
        <f ca="1">IF(B5=D14,结果表!H102,ROUND(B5*10000/$B$1,0))</f>
        <v>35021</v>
      </c>
      <c r="D5" s="2510" t="e">
        <f ca="1">ROUND(B5*10000/$B$2,0)</f>
        <v>#DIV/0!</v>
      </c>
      <c r="E5" s="2684"/>
      <c r="F5" s="2685"/>
      <c r="G5" s="2685"/>
      <c r="H5" s="2686"/>
      <c r="I5" s="2686"/>
      <c r="J5" s="2686"/>
      <c r="K5" s="2686"/>
    </row>
    <row r="6" spans="1:11" ht="16.5">
      <c r="A6" s="2510" t="s">
        <v>656</v>
      </c>
      <c r="B6" s="2510">
        <f ca="1">SUM(G14:G23)</f>
        <v>265</v>
      </c>
      <c r="C6" s="2510">
        <f ca="1">IF(B6=G14,结果表!H108,ROUND(B6*10000/$B$1,0))</f>
        <v>35021</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3356</v>
      </c>
      <c r="D10" s="2510" t="s">
        <v>3357</v>
      </c>
      <c r="E10" s="3439"/>
      <c r="F10" s="3443" t="s">
        <v>3358</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'数据-汇总表'!E31</f>
        <v>75.58</v>
      </c>
      <c r="C14" s="2516"/>
      <c r="D14" s="2516">
        <f ca="1">结果表!G19</f>
        <v>265</v>
      </c>
      <c r="E14" s="2516">
        <f ca="1">ROUND(D14*10000/B14,0)</f>
        <v>35062</v>
      </c>
      <c r="F14" s="2516" t="e">
        <f ca="1">ROUND(D14*10000/C14,0)</f>
        <v>#DIV/0!</v>
      </c>
      <c r="G14" s="2516">
        <f ca="1">D14</f>
        <v>265</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23" sqref="J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3443</v>
      </c>
      <c r="H1" s="1750" t="str">
        <f>IF(G1="现房","——","估价对象范围")</f>
        <v>——</v>
      </c>
      <c r="I1" s="1751"/>
    </row>
    <row r="2" spans="1:12" ht="21.75" customHeight="1" thickBot="1">
      <c r="A2" s="3634" t="str">
        <f>项目基本情况!S2</f>
        <v>北京市海淀区长春桥路11号2号楼1层102房地产</v>
      </c>
      <c r="B2" s="3635"/>
      <c r="C2" s="3635"/>
      <c r="D2" s="3635"/>
      <c r="E2" s="3635"/>
      <c r="F2" s="3635"/>
      <c r="G2" s="3635"/>
      <c r="H2" s="3635"/>
      <c r="I2" s="3636"/>
    </row>
    <row r="3" spans="1:12" ht="12.75">
      <c r="A3" s="3638" t="s">
        <v>1264</v>
      </c>
      <c r="B3" s="3639"/>
      <c r="C3" s="3639"/>
      <c r="D3" s="3639"/>
      <c r="E3" s="3639"/>
      <c r="F3" s="3639"/>
      <c r="G3" s="3639"/>
      <c r="H3" s="3639"/>
      <c r="I3" s="3639"/>
    </row>
    <row r="4" spans="1:12" ht="14.25">
      <c r="A4" s="1754" t="s">
        <v>1265</v>
      </c>
      <c r="B4" s="1755" t="s">
        <v>1266</v>
      </c>
      <c r="C4" s="1756" t="s">
        <v>3446</v>
      </c>
      <c r="D4" s="1756" t="s">
        <v>3394</v>
      </c>
      <c r="E4" s="3643" t="s">
        <v>1267</v>
      </c>
      <c r="F4" s="3644"/>
      <c r="G4" s="3644"/>
      <c r="H4" s="3644"/>
      <c r="I4" s="364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2" t="s">
        <v>1268</v>
      </c>
      <c r="B5" s="3637">
        <v>25</v>
      </c>
      <c r="C5" s="3640"/>
      <c r="D5" s="3628"/>
      <c r="E5" s="131" t="s">
        <v>1269</v>
      </c>
      <c r="F5" s="1757"/>
      <c r="G5" s="1757"/>
      <c r="H5" s="1757"/>
      <c r="I5" s="1373"/>
    </row>
    <row r="6" spans="1:12" ht="12.75">
      <c r="A6" s="3582"/>
      <c r="B6" s="3637"/>
      <c r="C6" s="3642"/>
      <c r="D6" s="3628"/>
      <c r="E6" s="131" t="s">
        <v>1270</v>
      </c>
      <c r="F6" s="1757"/>
      <c r="G6" s="1757"/>
      <c r="H6" s="1757"/>
      <c r="I6" s="1373"/>
    </row>
    <row r="7" spans="1:12" ht="12.75">
      <c r="A7" s="3582"/>
      <c r="B7" s="3637"/>
      <c r="C7" s="3641"/>
      <c r="D7" s="3628"/>
      <c r="E7" s="131" t="s">
        <v>1271</v>
      </c>
      <c r="F7" s="1757"/>
      <c r="G7" s="1757"/>
      <c r="H7" s="1757"/>
      <c r="I7" s="1373"/>
    </row>
    <row r="8" spans="1:12" ht="12.75">
      <c r="A8" s="3582" t="s">
        <v>1272</v>
      </c>
      <c r="B8" s="3637">
        <v>15</v>
      </c>
      <c r="C8" s="3640"/>
      <c r="D8" s="3628"/>
      <c r="E8" s="131" t="s">
        <v>1273</v>
      </c>
      <c r="F8" s="1757"/>
      <c r="G8" s="1757"/>
      <c r="H8" s="1757"/>
      <c r="I8" s="1373"/>
    </row>
    <row r="9" spans="1:12" ht="12.75">
      <c r="A9" s="3582"/>
      <c r="B9" s="3637"/>
      <c r="C9" s="3641"/>
      <c r="D9" s="3628"/>
      <c r="E9" s="131" t="s">
        <v>1274</v>
      </c>
      <c r="F9" s="1757"/>
      <c r="G9" s="1757"/>
      <c r="H9" s="1757"/>
      <c r="I9" s="1373"/>
    </row>
    <row r="10" spans="1:12" ht="12.75">
      <c r="A10" s="3582" t="s">
        <v>1275</v>
      </c>
      <c r="B10" s="3637">
        <v>15</v>
      </c>
      <c r="C10" s="3640"/>
      <c r="D10" s="3628"/>
      <c r="E10" s="131" t="s">
        <v>1276</v>
      </c>
      <c r="F10" s="1757"/>
      <c r="G10" s="1757"/>
      <c r="H10" s="1757"/>
      <c r="I10" s="1373"/>
    </row>
    <row r="11" spans="1:12" ht="12.75">
      <c r="A11" s="3582"/>
      <c r="B11" s="3637"/>
      <c r="C11" s="3641"/>
      <c r="D11" s="3628"/>
      <c r="E11" s="131" t="s">
        <v>1277</v>
      </c>
      <c r="F11" s="1757"/>
      <c r="G11" s="1757"/>
      <c r="H11" s="1757"/>
      <c r="I11" s="1373"/>
    </row>
    <row r="12" spans="1:12" ht="12.75">
      <c r="A12" s="3582" t="s">
        <v>1278</v>
      </c>
      <c r="B12" s="3637">
        <v>15</v>
      </c>
      <c r="C12" s="3640"/>
      <c r="D12" s="3628"/>
      <c r="E12" s="131" t="s">
        <v>1279</v>
      </c>
      <c r="F12" s="1757"/>
      <c r="G12" s="1757"/>
      <c r="H12" s="1757"/>
      <c r="I12" s="1373"/>
    </row>
    <row r="13" spans="1:12" ht="12.75">
      <c r="A13" s="3582"/>
      <c r="B13" s="3637"/>
      <c r="C13" s="3641"/>
      <c r="D13" s="3628"/>
      <c r="E13" s="131" t="s">
        <v>1280</v>
      </c>
      <c r="F13" s="1757"/>
      <c r="G13" s="1757"/>
      <c r="H13" s="1757"/>
      <c r="I13" s="1373"/>
    </row>
    <row r="14" spans="1:12" ht="12.75">
      <c r="A14" s="3582" t="s">
        <v>1281</v>
      </c>
      <c r="B14" s="3637">
        <v>30</v>
      </c>
      <c r="C14" s="3640">
        <v>6</v>
      </c>
      <c r="D14" s="3628">
        <v>4</v>
      </c>
      <c r="E14" s="131" t="s">
        <v>1282</v>
      </c>
      <c r="F14" s="1757"/>
      <c r="G14" s="1757"/>
      <c r="H14" s="1757"/>
      <c r="I14" s="1373"/>
    </row>
    <row r="15" spans="1:12" ht="12.75">
      <c r="A15" s="3582"/>
      <c r="B15" s="3637"/>
      <c r="C15" s="3642"/>
      <c r="D15" s="3628"/>
      <c r="E15" s="131" t="s">
        <v>1283</v>
      </c>
      <c r="F15" s="1757"/>
      <c r="G15" s="1757"/>
      <c r="H15" s="1757"/>
      <c r="I15" s="1373"/>
    </row>
    <row r="16" spans="1:12" ht="12.75">
      <c r="A16" s="3582"/>
      <c r="B16" s="3637"/>
      <c r="C16" s="3641"/>
      <c r="D16" s="3628"/>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59" t="s">
        <v>2131</v>
      </c>
      <c r="F18" s="3660"/>
      <c r="G18" s="3660"/>
      <c r="H18" s="3660"/>
      <c r="I18" s="3660"/>
      <c r="K18" s="302" t="s">
        <v>1289</v>
      </c>
      <c r="L18" s="302">
        <f>IF(C1="",'数据-汇总表'!E3,SUMIF(项目类型,C1,'数据-汇总表'!E17:E26)+SUMIF(项目类型,C1,'数据-汇总表'!I17:I26))</f>
        <v>75.58</v>
      </c>
      <c r="M18" s="302">
        <f>IF(C1="",'数据-汇总表'!E3,SUMIF(项目类型,C1,'数据-汇总表'!E17:E26))</f>
        <v>75.58</v>
      </c>
    </row>
    <row r="19" spans="1:36" ht="15">
      <c r="A19" s="1761" t="s">
        <v>1290</v>
      </c>
      <c r="B19" s="1762" t="s">
        <v>1291</v>
      </c>
      <c r="C19" s="134">
        <f ca="1">SUMIF(INDIRECT("'"&amp;C4&amp;"'"&amp;"!A:A"),结果表!B19,INDIRECT("'"&amp;C4&amp;"'"&amp;"!B:B"))</f>
        <v>304.98039999999997</v>
      </c>
      <c r="D19" s="135">
        <f ca="1">SUMIF(INDIRECT("'"&amp;D4&amp;"'"&amp;"!A:A"),结果表!B19,INDIRECT("'"&amp;D4&amp;"'"&amp;"!B:B"))</f>
        <v>204.25389999999999</v>
      </c>
      <c r="E19" s="1761" t="s">
        <v>1292</v>
      </c>
      <c r="F19" s="1762" t="s">
        <v>1291</v>
      </c>
      <c r="G19" s="136">
        <f ca="1">ROUND(C19*$C$18+D19*$D$18,0)</f>
        <v>265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40352</v>
      </c>
      <c r="D20" s="138">
        <f ca="1">SUMIF(INDIRECT("'"&amp;D4&amp;"'"&amp;"!A:A"),结果表!B20,INDIRECT("'"&amp;D4&amp;"'"&amp;"!B:B"))</f>
        <v>27025</v>
      </c>
      <c r="E20" s="1764"/>
      <c r="F20" s="1026" t="s">
        <v>1295</v>
      </c>
      <c r="G20" s="139">
        <f ca="1">ROUND(C20*$C$18+D20*$D$18,0)</f>
        <v>35021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0.49314358257051638</v>
      </c>
      <c r="E22" s="129"/>
      <c r="F22" s="129"/>
      <c r="G22" s="129"/>
      <c r="H22" s="129"/>
      <c r="I22" s="129"/>
    </row>
    <row r="23" spans="1:36" ht="13.5" thickBot="1">
      <c r="A23" s="1747"/>
      <c r="B23" s="1747"/>
      <c r="C23" s="1747"/>
      <c r="D23" s="1747"/>
      <c r="E23" s="129"/>
      <c r="F23" s="129"/>
      <c r="G23" s="129"/>
      <c r="H23" s="129"/>
      <c r="I23" s="129"/>
    </row>
    <row r="24" spans="1:36" ht="14.25">
      <c r="A24" s="3652" t="s">
        <v>1299</v>
      </c>
      <c r="B24" s="1762" t="s">
        <v>1291</v>
      </c>
      <c r="C24" s="136">
        <f>IF(B30=0,0,D30)</f>
        <v>0</v>
      </c>
      <c r="D24" s="1769"/>
      <c r="E24" s="129"/>
      <c r="F24" s="129"/>
      <c r="G24" s="129"/>
      <c r="H24" s="129"/>
      <c r="I24" s="129"/>
    </row>
    <row r="25" spans="1:36" ht="14.25">
      <c r="A25" s="365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35021</v>
      </c>
      <c r="D32" s="1775" t="s">
        <v>3444</v>
      </c>
      <c r="E32" s="129"/>
      <c r="F32" s="129"/>
      <c r="G32" s="129"/>
      <c r="H32" s="129"/>
      <c r="I32" s="129"/>
    </row>
    <row r="33" spans="1:15" ht="15">
      <c r="A33" s="786" t="s">
        <v>1306</v>
      </c>
      <c r="B33" s="1776"/>
      <c r="C33" s="1777" t="s">
        <v>3445</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29" t="s">
        <v>1312</v>
      </c>
      <c r="B36" s="1787" t="s">
        <v>1313</v>
      </c>
      <c r="C36" s="145"/>
      <c r="D36" s="1788"/>
      <c r="E36" s="1789"/>
      <c r="F36" s="1790"/>
      <c r="G36" s="129"/>
      <c r="H36" s="129"/>
      <c r="I36" s="129"/>
    </row>
    <row r="37" spans="1:15" ht="15.75" thickBot="1">
      <c r="A37" s="3630"/>
      <c r="B37" s="1674" t="s">
        <v>1314</v>
      </c>
      <c r="C37" s="147"/>
      <c r="D37" s="1139"/>
      <c r="E37" s="1139"/>
      <c r="F37" s="1790"/>
      <c r="G37" s="129"/>
      <c r="H37" s="129"/>
      <c r="I37" s="129"/>
    </row>
    <row r="38" spans="1:15" ht="15.75" thickBot="1">
      <c r="A38" s="363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9" t="s">
        <v>1326</v>
      </c>
      <c r="B45" s="3650"/>
      <c r="C45" s="3651"/>
      <c r="D45" s="155">
        <f ca="1">ROUND(H101*F45,0)</f>
        <v>265</v>
      </c>
      <c r="E45" s="156" t="s">
        <v>1327</v>
      </c>
      <c r="F45" s="157">
        <v>1</v>
      </c>
      <c r="G45" s="158" t="s">
        <v>1328</v>
      </c>
      <c r="H45" s="129"/>
      <c r="I45" s="129"/>
      <c r="J45" s="3569" t="s">
        <v>1329</v>
      </c>
      <c r="K45" s="3569"/>
      <c r="L45" s="3569"/>
      <c r="M45" s="3569"/>
      <c r="N45" s="3569"/>
      <c r="O45" s="3569"/>
    </row>
    <row r="46" spans="1:15" ht="14.25" customHeight="1">
      <c r="A46" s="3646" t="s">
        <v>1330</v>
      </c>
      <c r="B46" s="3647"/>
      <c r="C46" s="3647"/>
      <c r="D46" s="3647"/>
      <c r="E46" s="3647"/>
      <c r="F46" s="3647"/>
      <c r="G46" s="3648"/>
      <c r="H46" s="1806"/>
      <c r="I46" s="159"/>
      <c r="J46" s="2521">
        <v>1</v>
      </c>
      <c r="K46" s="3570" t="s">
        <v>1331</v>
      </c>
      <c r="L46" s="3570"/>
      <c r="M46" s="3571"/>
      <c r="N46" s="3571"/>
      <c r="O46" s="3571"/>
    </row>
    <row r="47" spans="1:15" ht="12" customHeight="1">
      <c r="A47" s="160" t="s">
        <v>1332</v>
      </c>
      <c r="B47" s="161"/>
      <c r="C47" s="162"/>
      <c r="D47" s="1087" t="s">
        <v>1333</v>
      </c>
      <c r="E47" s="302" t="s">
        <v>1334</v>
      </c>
      <c r="F47" s="163" t="s">
        <v>1335</v>
      </c>
      <c r="G47" s="2544" t="s">
        <v>1336</v>
      </c>
      <c r="H47" s="2545"/>
      <c r="I47" s="159"/>
      <c r="J47" s="2521">
        <v>2</v>
      </c>
      <c r="K47" s="3570" t="s">
        <v>1337</v>
      </c>
      <c r="L47" s="3570"/>
      <c r="M47" s="3572">
        <f>'数据-取费表'!B2</f>
        <v>45455</v>
      </c>
      <c r="N47" s="3572"/>
      <c r="O47" s="3572"/>
    </row>
    <row r="48" spans="1:15" ht="25.5">
      <c r="A48" s="3632" t="s">
        <v>1338</v>
      </c>
      <c r="B48" s="3633"/>
      <c r="C48" s="3633"/>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570" t="s">
        <v>1340</v>
      </c>
      <c r="L48" s="3570"/>
      <c r="M48" s="3573">
        <f ca="1">H101</f>
        <v>265</v>
      </c>
      <c r="N48" s="3573"/>
      <c r="O48" s="3573"/>
    </row>
    <row r="49" spans="1:35" ht="25.5" customHeight="1">
      <c r="A49" s="2333" t="s">
        <v>1341</v>
      </c>
      <c r="B49" s="3618" t="s">
        <v>1342</v>
      </c>
      <c r="C49" s="3618"/>
      <c r="D49" s="1590">
        <v>0</v>
      </c>
      <c r="E49" s="324" t="s">
        <v>1343</v>
      </c>
      <c r="F49" s="2424" t="s">
        <v>28</v>
      </c>
      <c r="G49" s="3601"/>
      <c r="H49" s="2310" t="s">
        <v>2134</v>
      </c>
      <c r="I49" s="2311"/>
      <c r="J49" s="2521">
        <v>4</v>
      </c>
      <c r="K49" s="3570" t="str">
        <f>IF(项目基本情况!E8="房地产抵押价值","房地产抵押价值","抵押担保权已注销时的房地产抵押价值")</f>
        <v>房地产抵押价值</v>
      </c>
      <c r="L49" s="3570"/>
      <c r="M49" s="3573">
        <f ca="1">IF(项目基本情况!E8="房地产抵押价值",H107,H109)</f>
        <v>265</v>
      </c>
      <c r="N49" s="3573"/>
      <c r="O49" s="3573"/>
    </row>
    <row r="50" spans="1:35" ht="25.5" customHeight="1">
      <c r="A50" s="2549"/>
      <c r="B50" s="3618" t="s">
        <v>1344</v>
      </c>
      <c r="C50" s="3618"/>
      <c r="D50" s="2550"/>
      <c r="E50" s="332"/>
      <c r="F50" s="2424"/>
      <c r="G50" s="3602"/>
      <c r="H50" s="2312" t="s">
        <v>2135</v>
      </c>
      <c r="I50" s="2311"/>
      <c r="J50" s="3569" t="s">
        <v>1345</v>
      </c>
      <c r="K50" s="3569"/>
      <c r="L50" s="3569"/>
      <c r="M50" s="3569"/>
      <c r="N50" s="3569"/>
      <c r="O50" s="3569"/>
    </row>
    <row r="51" spans="1:35" ht="20.45" customHeight="1">
      <c r="A51" s="2551"/>
      <c r="B51" s="3618" t="s">
        <v>1346</v>
      </c>
      <c r="C51" s="3618"/>
      <c r="D51" s="1087"/>
      <c r="E51" s="327"/>
      <c r="F51" s="2424"/>
      <c r="G51" s="3603"/>
      <c r="H51" s="2312" t="s">
        <v>2136</v>
      </c>
      <c r="I51" s="2311"/>
      <c r="J51" s="2522" t="s">
        <v>1347</v>
      </c>
      <c r="K51" s="3570" t="s">
        <v>1348</v>
      </c>
      <c r="L51" s="3570"/>
      <c r="M51" s="2522" t="s">
        <v>1349</v>
      </c>
      <c r="N51" s="2522" t="s">
        <v>1350</v>
      </c>
      <c r="O51" s="2522" t="s">
        <v>1351</v>
      </c>
    </row>
    <row r="52" spans="1:35" ht="24" customHeight="1">
      <c r="A52" s="2335" t="s">
        <v>1352</v>
      </c>
      <c r="B52" s="3618" t="s">
        <v>1353</v>
      </c>
      <c r="C52" s="3618"/>
      <c r="D52" s="1087">
        <f ca="1">ROUND(D45*'数据-取费表'!B41/(1+'数据-取费表'!C42),0)</f>
        <v>14</v>
      </c>
      <c r="E52" s="2334" t="s">
        <v>1354</v>
      </c>
      <c r="F52" s="2552">
        <f>'数据-取费表'!B41</f>
        <v>5.6000000000000001E-2</v>
      </c>
      <c r="G52" s="2553"/>
      <c r="H52" s="2542"/>
      <c r="I52" s="1807"/>
      <c r="J52" s="2521">
        <v>1</v>
      </c>
      <c r="K52" s="3595" t="s">
        <v>1355</v>
      </c>
      <c r="L52" s="3595"/>
      <c r="M52" s="2523" t="b">
        <f>D48</f>
        <v>0</v>
      </c>
      <c r="N52" s="2521" t="str">
        <f>E48</f>
        <v>销售额×税（费）率</v>
      </c>
      <c r="O52" s="2524">
        <f>F48</f>
        <v>5.6000000000000001E-2</v>
      </c>
    </row>
    <row r="53" spans="1:35" ht="12" customHeight="1">
      <c r="A53" s="2335" t="s">
        <v>1356</v>
      </c>
      <c r="B53" s="3619" t="s">
        <v>2287</v>
      </c>
      <c r="C53" s="3620"/>
      <c r="D53" s="1087">
        <f ca="1">ROUND(D45*'数据-取费表'!B41/(1+'数据-取费表'!C42),0)</f>
        <v>14</v>
      </c>
      <c r="E53" s="2334" t="s">
        <v>1354</v>
      </c>
      <c r="F53" s="2552">
        <f>'数据-取费表'!B41</f>
        <v>5.6000000000000001E-2</v>
      </c>
      <c r="G53" s="2553"/>
      <c r="H53" s="2542"/>
      <c r="I53" s="1807"/>
      <c r="J53" s="2521">
        <v>2</v>
      </c>
      <c r="K53" s="3595" t="s">
        <v>1357</v>
      </c>
      <c r="L53" s="3595"/>
      <c r="M53" s="2523">
        <f t="shared" ref="M53:O54" ca="1" si="0">D55</f>
        <v>0</v>
      </c>
      <c r="N53" s="2521" t="str">
        <f t="shared" si="0"/>
        <v>销售额×税（费）率</v>
      </c>
      <c r="O53" s="2524" t="str">
        <f t="shared" si="0"/>
        <v>免征</v>
      </c>
    </row>
    <row r="54" spans="1:35" ht="12" customHeight="1">
      <c r="A54" s="2335" t="s">
        <v>1358</v>
      </c>
      <c r="B54" s="3619" t="s">
        <v>2288</v>
      </c>
      <c r="C54" s="3620"/>
      <c r="D54" s="1087">
        <f ca="1">C68</f>
        <v>14</v>
      </c>
      <c r="E54" s="327" t="s">
        <v>1359</v>
      </c>
      <c r="F54" s="2552">
        <f>'数据-取费表'!B41</f>
        <v>5.6000000000000001E-2</v>
      </c>
      <c r="G54" s="2553"/>
      <c r="H54" s="2554"/>
      <c r="I54" s="1807"/>
      <c r="J54" s="2521">
        <v>3</v>
      </c>
      <c r="K54" s="3595" t="s">
        <v>1360</v>
      </c>
      <c r="L54" s="3595"/>
      <c r="M54" s="2523">
        <f t="shared" ca="1" si="0"/>
        <v>149</v>
      </c>
      <c r="N54" s="2521" t="str">
        <f t="shared" si="0"/>
        <v>增值额×税（费）率</v>
      </c>
      <c r="O54" s="2525" t="str">
        <f t="shared" si="0"/>
        <v>免征</v>
      </c>
    </row>
    <row r="55" spans="1:35" ht="24" customHeight="1">
      <c r="A55" s="3655" t="s">
        <v>1361</v>
      </c>
      <c r="B55" s="3633"/>
      <c r="C55" s="3633"/>
      <c r="D55" s="2324">
        <f ca="1">IF(H55="个人住宅",0,ROUND(D45*I55,0))</f>
        <v>0</v>
      </c>
      <c r="E55" s="2334" t="s">
        <v>1362</v>
      </c>
      <c r="F55" s="2552" t="str">
        <f>IF(H55="正常",I55,"免征")</f>
        <v>免征</v>
      </c>
      <c r="G55" s="2553"/>
      <c r="H55" s="2548"/>
      <c r="I55" s="165">
        <f>'数据-取费表'!B49</f>
        <v>5.0000000000000001E-4</v>
      </c>
      <c r="J55" s="2521">
        <f>IF(H59="非个人房产","",4)</f>
        <v>4</v>
      </c>
      <c r="K55" s="3595" t="str">
        <f>IF(H59="非个人房产","——","个人所得税")</f>
        <v>个人所得税</v>
      </c>
      <c r="L55" s="3595"/>
      <c r="M55" s="2526">
        <f ca="1">D59</f>
        <v>3</v>
      </c>
      <c r="N55" s="2040" t="str">
        <f>E59</f>
        <v>差额计税</v>
      </c>
      <c r="O55" s="2527">
        <f>F59</f>
        <v>0.01</v>
      </c>
    </row>
    <row r="56" spans="1:35" ht="24.75">
      <c r="A56" s="3655" t="s">
        <v>1363</v>
      </c>
      <c r="B56" s="3633"/>
      <c r="C56" s="3633"/>
      <c r="D56" s="2324">
        <f ca="1">IF(H56="个人住宅",D57,D58)</f>
        <v>149</v>
      </c>
      <c r="E56" s="2334" t="s">
        <v>1364</v>
      </c>
      <c r="F56" s="2552" t="str">
        <f>IF(H56="正常",F58,"免征")</f>
        <v>免征</v>
      </c>
      <c r="G56" s="2555" t="s">
        <v>1365</v>
      </c>
      <c r="H56" s="2556"/>
      <c r="I56" s="1808"/>
      <c r="J56" s="2521" t="str">
        <f>IF(项目基本情况!K6="上海银行",IF(J55="",4,J55+1),"")</f>
        <v/>
      </c>
      <c r="K56" s="3576" t="str">
        <f>IF(项目基本情况!K6="上海银行","其他处置费用","")</f>
        <v/>
      </c>
      <c r="L56" s="3577"/>
      <c r="M56" s="2523" t="str">
        <f>IF(项目基本情况!K6="上海银行",M69,"")</f>
        <v/>
      </c>
      <c r="N56" s="3576" t="str">
        <f>IF(项目基本情况!K6="上海银行","包含处置中涉及的律师、诉讼、拍卖、评估等费用","")</f>
        <v/>
      </c>
      <c r="O56" s="3579"/>
    </row>
    <row r="57" spans="1:35" ht="12.75">
      <c r="A57" s="2335" t="s">
        <v>1341</v>
      </c>
      <c r="B57" s="3619" t="s">
        <v>1366</v>
      </c>
      <c r="C57" s="3620"/>
      <c r="D57" s="1590">
        <v>0</v>
      </c>
      <c r="E57" s="324" t="s">
        <v>1343</v>
      </c>
      <c r="F57" s="302"/>
      <c r="G57" s="2553"/>
      <c r="H57" s="2557"/>
      <c r="I57" s="1808"/>
      <c r="J57" s="3595">
        <f>IF(AND(J55="",J56=""),4,IF(项目基本情况!K6="上海银行",结果表!J56+1,结果表!J55+1))</f>
        <v>5</v>
      </c>
      <c r="K57" s="3595" t="s">
        <v>1367</v>
      </c>
      <c r="L57" s="2528" t="s">
        <v>1368</v>
      </c>
      <c r="M57" s="2529"/>
      <c r="N57" s="2530">
        <f ca="1">SUMIF(M52:M56,"&lt;9e307")</f>
        <v>152</v>
      </c>
      <c r="O57" s="2531"/>
      <c r="P57" s="2688">
        <f ca="1">N57/M49</f>
        <v>0.57358490566037734</v>
      </c>
    </row>
    <row r="58" spans="1:35" ht="24.75">
      <c r="A58" s="2335" t="s">
        <v>1352</v>
      </c>
      <c r="B58" s="3619" t="s">
        <v>1369</v>
      </c>
      <c r="C58" s="3618"/>
      <c r="D58" s="2324">
        <f ca="1">IF(H58="转让取得",C81,C97)</f>
        <v>149</v>
      </c>
      <c r="E58" s="2334" t="s">
        <v>1364</v>
      </c>
      <c r="F58" s="302" t="s">
        <v>28</v>
      </c>
      <c r="G58" s="2553"/>
      <c r="H58" s="2556"/>
      <c r="I58" s="1808"/>
      <c r="J58" s="3595"/>
      <c r="K58" s="3595"/>
      <c r="L58" s="2528" t="s">
        <v>1370</v>
      </c>
      <c r="M58" s="2532"/>
      <c r="N58" s="2533" t="str">
        <f ca="1">NUMBERSTRING(INT(N57*10000),2)&amp;"元整"</f>
        <v>壹佰伍拾贰万元整</v>
      </c>
      <c r="O58" s="2534"/>
    </row>
    <row r="59" spans="1:35" ht="24.75" thickBot="1">
      <c r="A59" s="3599" t="s">
        <v>1371</v>
      </c>
      <c r="B59" s="3600"/>
      <c r="C59" s="3600"/>
      <c r="D59" s="2558">
        <f ca="1">IF(H59="非个人房产","——",IF(H59="个人住宅（满五唯一有凭证）",0,IF(H59="个人其他（无凭证）",ROUND(D45*F59,0),ROUND(C67*F59,0))))</f>
        <v>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97">
        <f>J57+1</f>
        <v>6</v>
      </c>
      <c r="K59" s="3595" t="s">
        <v>1372</v>
      </c>
      <c r="L59" s="2521" t="s">
        <v>1368</v>
      </c>
      <c r="M59" s="2535"/>
      <c r="N59" s="2536">
        <f ca="1">M49-N57</f>
        <v>113</v>
      </c>
      <c r="O59" s="2537"/>
    </row>
    <row r="60" spans="1:35" ht="12" customHeight="1">
      <c r="A60" s="1809"/>
      <c r="B60" s="1747"/>
      <c r="C60" s="1747"/>
      <c r="D60" s="1747"/>
      <c r="E60" s="1578"/>
      <c r="F60" s="1808"/>
      <c r="G60" s="1808"/>
      <c r="H60" s="1810"/>
      <c r="I60" s="129"/>
      <c r="J60" s="3598"/>
      <c r="K60" s="3595"/>
      <c r="L60" s="2528" t="s">
        <v>1370</v>
      </c>
      <c r="M60" s="2532"/>
      <c r="N60" s="2533" t="str">
        <f ca="1">NUMBERSTRING(INT(N59*10000),2)&amp;"元整"</f>
        <v>壹佰壹拾叁万元整</v>
      </c>
      <c r="O60" s="2534"/>
    </row>
    <row r="61" spans="1:35" ht="13.5" thickBot="1">
      <c r="A61" s="3654" t="s">
        <v>1373</v>
      </c>
      <c r="B61" s="3654"/>
      <c r="C61" s="3654"/>
      <c r="D61" s="3654"/>
      <c r="E61" s="3654"/>
      <c r="F61" s="1808"/>
      <c r="G61" s="1808"/>
      <c r="H61" s="1810"/>
      <c r="I61" s="129"/>
      <c r="J61" s="2521">
        <f>J59+1</f>
        <v>7</v>
      </c>
      <c r="K61" s="3595" t="s">
        <v>1374</v>
      </c>
      <c r="L61" s="3595"/>
      <c r="M61" s="2538"/>
      <c r="N61" s="2539">
        <f ca="1">ROUND(N59*10000/'数据-汇总表'!E3,0)</f>
        <v>14951</v>
      </c>
      <c r="O61" s="2540"/>
    </row>
    <row r="62" spans="1:35" ht="12.75">
      <c r="A62" s="3614" t="s">
        <v>1375</v>
      </c>
      <c r="B62" s="3615"/>
      <c r="C62" s="2021"/>
      <c r="D62" s="2021" t="s">
        <v>1376</v>
      </c>
      <c r="E62" s="166" t="s">
        <v>1377</v>
      </c>
      <c r="F62" s="1808"/>
      <c r="G62" s="1808"/>
      <c r="H62" s="1810"/>
      <c r="I62" s="129"/>
    </row>
    <row r="63" spans="1:35" ht="12.75">
      <c r="A63" s="173" t="s">
        <v>330</v>
      </c>
      <c r="B63" s="167" t="s">
        <v>1378</v>
      </c>
      <c r="C63" s="2562">
        <f ca="1">ROUND((C64+C65)/(1+'数据-取费表'!C42),0)</f>
        <v>252</v>
      </c>
      <c r="D63" s="167"/>
      <c r="E63" s="168"/>
      <c r="F63" s="1808"/>
      <c r="G63" s="1808"/>
      <c r="H63" s="1810"/>
      <c r="I63" s="129"/>
      <c r="J63" s="3578" t="s">
        <v>1379</v>
      </c>
      <c r="K63" s="1332" t="s">
        <v>1380</v>
      </c>
      <c r="L63" s="1332">
        <f ca="1">IF(M49&gt;10000,M49*0.5%,IF(AND(M49&gt;1000,M49&lt;=10000),M49*1%,IF(AND(M49&gt;100,M49&lt;=1000),M49*3%,IF(AND(M49&gt;10,M49&lt;=100),M49*5%,M49*8%))))</f>
        <v>7.9499999999999993</v>
      </c>
      <c r="M63" s="302">
        <f ca="1">ROUND(L63,1)</f>
        <v>8</v>
      </c>
      <c r="N63" s="2541"/>
      <c r="Z63" s="1752"/>
      <c r="AI63" s="1753"/>
    </row>
    <row r="64" spans="1:35" ht="14.25" customHeight="1">
      <c r="A64" s="169" t="s">
        <v>325</v>
      </c>
      <c r="B64" s="170" t="s">
        <v>1381</v>
      </c>
      <c r="C64" s="2563">
        <f ca="1">D45</f>
        <v>265</v>
      </c>
      <c r="D64" s="170" t="s">
        <v>26</v>
      </c>
      <c r="E64" s="172"/>
      <c r="F64" s="1808"/>
      <c r="G64" s="1808"/>
      <c r="H64" s="1810"/>
      <c r="I64" s="129"/>
      <c r="J64" s="3578"/>
      <c r="K64" s="1332" t="s">
        <v>1382</v>
      </c>
      <c r="L64" s="1332">
        <f ca="1">IF(M49&gt;2000,M49*0.5%,IF(AND(M49&gt;1000,M49&lt;=2000),M49*0.6%,IF(AND(M49&gt;500,M49&lt;=1000),M49*0.7%,IF(AND(M49&gt;200,M49&lt;=500),M49*0.8%,IF(AND(M49&gt;100,M49&lt;=200),M49*0.9%,IF(AND(M49&gt;50,M49&lt;=100),M49*1%,IF(AND(M49&gt;20,M49&lt;=50),M49*1.5%,IF(AND(M49&gt;10,M49&lt;=20),M49*2%,IF(AND(M49&gt;1,M49&lt;=10),M49*2.5%)))))))))</f>
        <v>2.12</v>
      </c>
      <c r="M64" s="302">
        <f t="shared" ref="M64:M65" ca="1" si="1">ROUND(L64,1)</f>
        <v>2.1</v>
      </c>
      <c r="N64" s="2542" t="s">
        <v>1383</v>
      </c>
      <c r="Z64" s="1752"/>
      <c r="AI64" s="1753"/>
    </row>
    <row r="65" spans="1:35" ht="14.25" customHeight="1">
      <c r="A65" s="169" t="s">
        <v>326</v>
      </c>
      <c r="B65" s="170" t="s">
        <v>1384</v>
      </c>
      <c r="C65" s="2564"/>
      <c r="D65" s="170"/>
      <c r="E65" s="172"/>
      <c r="F65" s="1808"/>
      <c r="G65" s="1808"/>
      <c r="H65" s="1810"/>
      <c r="I65" s="129"/>
      <c r="J65" s="3578"/>
      <c r="K65" s="1332" t="s">
        <v>1385</v>
      </c>
      <c r="L65" s="1332">
        <f ca="1">IF(M49&gt;1000,M49*0.1%,IF(AND(M49&gt;500,M49&lt;=1000),M49*0.5%,IF(AND(M49&gt;50,M49&lt;=500),M49*1%,IF(AND(M49&gt;1,M49&lt;=50),M49*1.5%))))</f>
        <v>2.65</v>
      </c>
      <c r="M65" s="302">
        <f t="shared" ca="1" si="1"/>
        <v>2.7</v>
      </c>
      <c r="N65" s="2542" t="s">
        <v>1383</v>
      </c>
      <c r="Z65" s="1752"/>
      <c r="AI65" s="1753"/>
    </row>
    <row r="66" spans="1:35" ht="14.25" customHeight="1">
      <c r="A66" s="173" t="s">
        <v>327</v>
      </c>
      <c r="B66" s="174" t="s">
        <v>1386</v>
      </c>
      <c r="C66" s="2565"/>
      <c r="D66" s="174" t="s">
        <v>26</v>
      </c>
      <c r="E66" s="1338" t="s">
        <v>671</v>
      </c>
      <c r="F66" s="1808"/>
      <c r="G66" s="1808"/>
      <c r="H66" s="1810"/>
      <c r="I66" s="129"/>
      <c r="J66" s="3578"/>
      <c r="K66" s="1332" t="s">
        <v>1387</v>
      </c>
      <c r="L66" s="1332">
        <f ca="1">M49*0.5%</f>
        <v>1.325</v>
      </c>
      <c r="M66" s="302">
        <f ca="1">IF(L66&gt;0.5,0.5,ROUND(L66,0))</f>
        <v>0.5</v>
      </c>
      <c r="N66" s="2542" t="s">
        <v>1388</v>
      </c>
      <c r="Z66" s="1752"/>
      <c r="AI66" s="1753"/>
    </row>
    <row r="67" spans="1:35" ht="14.25" customHeight="1">
      <c r="A67" s="173" t="s">
        <v>328</v>
      </c>
      <c r="B67" s="174" t="s">
        <v>1389</v>
      </c>
      <c r="C67" s="2566">
        <f ca="1">C63-C66</f>
        <v>252</v>
      </c>
      <c r="D67" s="170" t="s">
        <v>26</v>
      </c>
      <c r="E67" s="172"/>
      <c r="F67" s="1808"/>
      <c r="G67" s="1808"/>
      <c r="H67" s="1810"/>
      <c r="I67" s="129"/>
      <c r="J67" s="3578"/>
      <c r="K67" s="1332" t="s">
        <v>1390</v>
      </c>
      <c r="L67" s="1332">
        <f ca="1">IF(M49&gt;=10000,(8.25+(M49-10000)*0.01%),IF(AND(M49&gt;=8000,M49&lt;10000),(7.85+(M49-8000)*0.02%),IF(AND(M49&gt;=5000,M49&lt;8000),(6.65+(M49-5000)*0.04%),IF(AND(M49&gt;=2000,M49&lt;5000),(4.25+(PM49-2000)*0.08%),IF(AND(M49&gt;=1000,M49&lt;2000),(2.75+(M49-1000)*0.15%),IF(AND(M49&gt;=100,M49&lt;1000),(0.5+(M49-100)*0.25%),IF(AND(M49&gt;0,M49&lt;100),M49*0.5%)))))))</f>
        <v>0.91250000000000009</v>
      </c>
      <c r="M67" s="302">
        <f ca="1">ROUND(L67*0.9,1)</f>
        <v>0.8</v>
      </c>
      <c r="N67" s="2541"/>
      <c r="Z67" s="1752"/>
      <c r="AI67" s="1753"/>
    </row>
    <row r="68" spans="1:35" ht="14.25" customHeight="1" thickBot="1">
      <c r="A68" s="176" t="s">
        <v>329</v>
      </c>
      <c r="B68" s="177" t="s">
        <v>1391</v>
      </c>
      <c r="C68" s="2567">
        <f ca="1">IF(C67&lt;=0,0,ROUND(C67*D68,0))</f>
        <v>14</v>
      </c>
      <c r="D68" s="2568">
        <f>'数据-取费表'!B41</f>
        <v>5.6000000000000001E-2</v>
      </c>
      <c r="E68" s="178"/>
      <c r="F68" s="1808"/>
      <c r="G68" s="1808"/>
      <c r="H68" s="1810"/>
      <c r="I68" s="129"/>
      <c r="J68" s="3578"/>
      <c r="K68" s="1332" t="s">
        <v>1392</v>
      </c>
      <c r="L68" s="1332">
        <f ca="1">IF(M49&gt;10000,M49*0.5%,IF(AND(M49&gt;5000,M49&lt;=10000),M49*1%,IF(AND(M49&gt;1000,M49&lt;=5000),M49*2%,IF(AND(M49&gt;200,M49&lt;=1000),M49*3%,M49*5%))))</f>
        <v>7.9499999999999993</v>
      </c>
      <c r="M68" s="302">
        <f ca="1">ROUND(L68,1)</f>
        <v>8</v>
      </c>
      <c r="N68" s="2541"/>
      <c r="Z68" s="1752"/>
      <c r="AI68" s="1753"/>
    </row>
    <row r="69" spans="1:35" s="1772" customFormat="1" ht="16.5" customHeight="1">
      <c r="A69" s="1811"/>
      <c r="B69" s="1812"/>
      <c r="C69" s="1813"/>
      <c r="D69" s="1814"/>
      <c r="E69" s="1815"/>
      <c r="F69" s="1578"/>
      <c r="G69" s="1578"/>
      <c r="H69" s="1577"/>
      <c r="I69" s="1747"/>
      <c r="J69" s="3578"/>
      <c r="K69" s="1332" t="s">
        <v>1393</v>
      </c>
      <c r="L69" s="1332"/>
      <c r="M69" s="302">
        <f ca="1">ROUND(SUM(M63:M68),0)</f>
        <v>22</v>
      </c>
      <c r="N69" s="2543">
        <f ca="1">M69/M49</f>
        <v>8.3018867924528297E-2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2" t="s">
        <v>1394</v>
      </c>
      <c r="B70" s="3623"/>
      <c r="C70" s="3623"/>
      <c r="D70" s="3623"/>
      <c r="E70" s="3623"/>
      <c r="F70" s="3623"/>
      <c r="G70" s="3623"/>
      <c r="H70" s="3623"/>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4" t="s">
        <v>1375</v>
      </c>
      <c r="B71" s="3615"/>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252</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19" t="s">
        <v>1402</v>
      </c>
      <c r="F76" s="3618"/>
      <c r="G76" s="3618"/>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2</v>
      </c>
      <c r="D78" s="2575">
        <f>'数据-取费表'!B43</f>
        <v>6.000000000000001E-3</v>
      </c>
      <c r="E78" s="3611" t="s">
        <v>1406</v>
      </c>
      <c r="F78" s="3612"/>
      <c r="G78" s="3612"/>
      <c r="H78" s="361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250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125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149</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4" t="s">
        <v>1375</v>
      </c>
      <c r="B84" s="361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252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2</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80" t="s">
        <v>2129</v>
      </c>
      <c r="H90" s="3581"/>
      <c r="I90" s="1821"/>
      <c r="J90" s="2519"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11" t="s">
        <v>1419</v>
      </c>
      <c r="F91" s="3612"/>
      <c r="G91" s="361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11" t="s">
        <v>1422</v>
      </c>
      <c r="F92" s="3612"/>
      <c r="G92" s="3612"/>
      <c r="H92" s="3613"/>
      <c r="I92" s="1821"/>
      <c r="J92" s="2520"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2</v>
      </c>
      <c r="D93" s="2575">
        <f>'数据-取费表'!B43</f>
        <v>6.000000000000001E-3</v>
      </c>
      <c r="E93" s="3611" t="s">
        <v>1406</v>
      </c>
      <c r="F93" s="3612"/>
      <c r="G93" s="3612"/>
      <c r="H93" s="361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56" t="s">
        <v>1426</v>
      </c>
      <c r="F94" s="3657"/>
      <c r="G94" s="3657"/>
      <c r="H94" s="365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250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149</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1" t="s">
        <v>1428</v>
      </c>
      <c r="B100" s="3562"/>
      <c r="C100" s="3562"/>
      <c r="D100" s="3596"/>
      <c r="E100" s="3562" t="s">
        <v>1429</v>
      </c>
      <c r="F100" s="3562"/>
      <c r="G100" s="3562"/>
      <c r="H100" s="3596"/>
      <c r="I100" s="129"/>
    </row>
    <row r="101" spans="1:35" ht="18.75" customHeight="1">
      <c r="A101" s="3604" t="s">
        <v>1430</v>
      </c>
      <c r="B101" s="3605"/>
      <c r="C101" s="2583" t="str">
        <f>C4</f>
        <v>比较法-办公</v>
      </c>
      <c r="D101" s="2584" t="str">
        <f>D4</f>
        <v>收益法 (元)</v>
      </c>
      <c r="E101" s="3574" t="s">
        <v>1431</v>
      </c>
      <c r="F101" s="3575"/>
      <c r="G101" s="1827" t="s">
        <v>1432</v>
      </c>
      <c r="H101" s="2593">
        <f ca="1">H118</f>
        <v>265</v>
      </c>
      <c r="I101" s="129"/>
    </row>
    <row r="102" spans="1:35" ht="18.75" customHeight="1">
      <c r="A102" s="3606" t="s">
        <v>1433</v>
      </c>
      <c r="B102" s="2582" t="s">
        <v>1432</v>
      </c>
      <c r="C102" s="2583">
        <f ca="1">IF(D32="楼面单价",ROUND(C19,0),C19)</f>
        <v>305</v>
      </c>
      <c r="D102" s="2584">
        <f ca="1">IF(D32="楼面单价",ROUND(D19,0),D19)</f>
        <v>204</v>
      </c>
      <c r="E102" s="3574"/>
      <c r="F102" s="3575"/>
      <c r="G102" s="1827" t="s">
        <v>1434</v>
      </c>
      <c r="H102" s="2553">
        <f ca="1">I118</f>
        <v>35021</v>
      </c>
      <c r="I102" s="129"/>
    </row>
    <row r="103" spans="1:35" ht="42.75" customHeight="1">
      <c r="A103" s="3606"/>
      <c r="B103" s="2582" t="s">
        <v>1434</v>
      </c>
      <c r="C103" s="2585">
        <f ca="1">C20</f>
        <v>40352</v>
      </c>
      <c r="D103" s="2586">
        <f ca="1">D20</f>
        <v>27025</v>
      </c>
      <c r="E103" s="3567" t="s">
        <v>1435</v>
      </c>
      <c r="F103" s="3568"/>
      <c r="G103" s="1828" t="s">
        <v>1436</v>
      </c>
      <c r="H103" s="2593">
        <f>IF(D36="正常操作",H104+H105+H106,H105+H106)</f>
        <v>0</v>
      </c>
      <c r="I103" s="129"/>
    </row>
    <row r="104" spans="1:35" ht="18.75" customHeight="1">
      <c r="A104" s="3606" t="s">
        <v>1437</v>
      </c>
      <c r="B104" s="2587" t="s">
        <v>1432</v>
      </c>
      <c r="C104" s="2588">
        <f ca="1">H118</f>
        <v>265</v>
      </c>
      <c r="D104" s="2589"/>
      <c r="E104" s="1674" t="s">
        <v>1438</v>
      </c>
      <c r="F104" s="1666"/>
      <c r="G104" s="1828" t="s">
        <v>1436</v>
      </c>
      <c r="H104" s="2594">
        <f>IF(D36="同一抵押权人同一抵押物续贷",C36&amp;"（续贷，未扣减，详见特别提示）",C36)</f>
        <v>0</v>
      </c>
      <c r="I104" s="129"/>
    </row>
    <row r="105" spans="1:35" ht="18.75" customHeight="1" thickBot="1">
      <c r="A105" s="3616"/>
      <c r="B105" s="2590" t="s">
        <v>1434</v>
      </c>
      <c r="C105" s="2591">
        <f ca="1">I118</f>
        <v>35021</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07" t="str">
        <f>IF(项目基本情况!E8="已注销","——","3.房地产抵押价值")</f>
        <v>3.房地产抵押价值</v>
      </c>
      <c r="F107" s="3575"/>
      <c r="G107" s="1827" t="s">
        <v>1432</v>
      </c>
      <c r="H107" s="2593">
        <f ca="1">IF(E107="——","——",H101-H103)</f>
        <v>265</v>
      </c>
      <c r="I107" s="129"/>
    </row>
    <row r="108" spans="1:35" ht="18.75" customHeight="1">
      <c r="A108" s="129"/>
      <c r="B108" s="129"/>
      <c r="C108" s="129"/>
      <c r="D108" s="129"/>
      <c r="E108" s="3607"/>
      <c r="F108" s="3575"/>
      <c r="G108" s="1827" t="s">
        <v>1434</v>
      </c>
      <c r="H108" s="2553">
        <f ca="1">IF(H107=H101,H102,ROUND(H107*10000/'数据-汇总表'!E3,0))</f>
        <v>35021</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575"/>
      <c r="G109" s="1827" t="s">
        <v>1432</v>
      </c>
      <c r="H109" s="2596" t="str">
        <f>IF(E109="——","——",H101-H105-H106)</f>
        <v>——</v>
      </c>
      <c r="I109" s="129"/>
    </row>
    <row r="110" spans="1:35" ht="18.75" customHeight="1">
      <c r="A110" s="129"/>
      <c r="B110" s="129"/>
      <c r="C110" s="129"/>
      <c r="D110" s="129"/>
      <c r="E110" s="3607"/>
      <c r="F110" s="3575"/>
      <c r="G110" s="1827" t="s">
        <v>1434</v>
      </c>
      <c r="H110" s="2553" t="str">
        <f>IF(H109="——","——",ROUND(H109*10000/'数据-汇总表'!E3,0))</f>
        <v>——</v>
      </c>
      <c r="I110" s="129"/>
    </row>
    <row r="111" spans="1:35" ht="18.75" customHeight="1">
      <c r="A111" s="129"/>
      <c r="B111" s="129"/>
      <c r="C111" s="129"/>
      <c r="D111" s="129"/>
      <c r="E111" s="3608" t="str">
        <f>IF(项目基本情况!E9="抵押净值",IF(OR(项目基本情况!E8="已注销",项目基本情况!E8="房地产抵押价值"),"4.抵押净值","5.抵押净值"),"——")</f>
        <v>——</v>
      </c>
      <c r="F111" s="3594"/>
      <c r="G111" s="1827" t="s">
        <v>1432</v>
      </c>
      <c r="H111" s="2593" t="str">
        <f>IF(E111="——","——",N59)</f>
        <v>——</v>
      </c>
      <c r="I111" s="129"/>
    </row>
    <row r="112" spans="1:35" ht="18.75" customHeight="1" thickBot="1">
      <c r="A112" s="129"/>
      <c r="B112" s="129"/>
      <c r="C112" s="129"/>
      <c r="D112" s="129"/>
      <c r="E112" s="3609"/>
      <c r="F112" s="3610"/>
      <c r="G112" s="1830" t="s">
        <v>1434</v>
      </c>
      <c r="H112" s="2597"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5" t="s">
        <v>1442</v>
      </c>
      <c r="B115" s="3626"/>
      <c r="C115" s="3626"/>
      <c r="D115" s="3626"/>
      <c r="E115" s="3626"/>
      <c r="F115" s="3626"/>
      <c r="G115" s="3626"/>
      <c r="H115" s="3626"/>
      <c r="I115" s="3627"/>
    </row>
    <row r="116" spans="1:27" ht="27" customHeight="1">
      <c r="A116" s="3582" t="s">
        <v>1443</v>
      </c>
      <c r="B116" s="3586" t="s">
        <v>1444</v>
      </c>
      <c r="C116" s="3586" t="s">
        <v>1445</v>
      </c>
      <c r="D116" s="3592" t="s">
        <v>1446</v>
      </c>
      <c r="E116" s="3593"/>
      <c r="F116" s="3624" t="s">
        <v>1447</v>
      </c>
      <c r="G116" s="3624"/>
      <c r="H116" s="3582" t="s">
        <v>1448</v>
      </c>
      <c r="I116" s="3582"/>
    </row>
    <row r="117" spans="1:27" ht="18.75" customHeight="1">
      <c r="A117" s="3582"/>
      <c r="B117" s="3587"/>
      <c r="C117" s="3587"/>
      <c r="D117" s="2329" t="s">
        <v>1449</v>
      </c>
      <c r="E117" s="2329" t="s">
        <v>1450</v>
      </c>
      <c r="F117" s="2329" t="s">
        <v>1449</v>
      </c>
      <c r="G117" s="2329" t="s">
        <v>1451</v>
      </c>
      <c r="H117" s="2329" t="s">
        <v>1449</v>
      </c>
      <c r="I117" s="2329" t="s">
        <v>1451</v>
      </c>
    </row>
    <row r="118" spans="1:27" ht="24.75" customHeight="1">
      <c r="A118" s="2598" t="str">
        <f>项目基本情况!S2</f>
        <v>北京市海淀区长春桥路11号2号楼1层102房地产</v>
      </c>
      <c r="B118" s="2329">
        <f>M18</f>
        <v>75.58</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265</v>
      </c>
      <c r="I118" s="2329">
        <f ca="1">ROUND(IF(D32="楼面单价",C32,H118*10000/B118),0)</f>
        <v>35021</v>
      </c>
    </row>
    <row r="119" spans="1:27" ht="18.75" customHeight="1">
      <c r="A119" s="3582" t="s">
        <v>1452</v>
      </c>
      <c r="B119" s="3582"/>
      <c r="C119" s="3582"/>
      <c r="D119" s="3588" t="str">
        <f>NUMBERSTRING(INT(D118*10000),2)&amp;"元整"</f>
        <v>零元整</v>
      </c>
      <c r="E119" s="3589"/>
      <c r="F119" s="3588" t="str">
        <f>NUMBERSTRING(INT(F118*10000),2)&amp;"元整"</f>
        <v>零元整</v>
      </c>
      <c r="G119" s="3589"/>
      <c r="H119" s="3588" t="str">
        <f ca="1">NUMBERSTRING(INT(H118*10000),2)&amp;"元整"</f>
        <v>贰佰陆拾伍万元整</v>
      </c>
      <c r="I119" s="3589"/>
    </row>
    <row r="120" spans="1:27" ht="18.75" customHeight="1">
      <c r="A120" s="3583" t="str">
        <f>IF(项目基本情况!B9="房地产市场价值","",MID(E103,3,LEN(E103)-2))</f>
        <v>估价师知悉的法定优先受偿款</v>
      </c>
      <c r="B120" s="3584"/>
      <c r="C120" s="3585"/>
      <c r="D120" s="3583">
        <f>H103</f>
        <v>0</v>
      </c>
      <c r="E120" s="3584"/>
      <c r="F120" s="3584"/>
      <c r="G120" s="3584"/>
      <c r="H120" s="3584"/>
      <c r="I120" s="358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8" t="s">
        <v>1452</v>
      </c>
      <c r="B121" s="3590"/>
      <c r="C121" s="3589"/>
      <c r="D121" s="3588" t="str">
        <f>IF(D120=0,"零元整",NUMBERSTRING(INT(D120*10000),2)&amp;"元整")</f>
        <v>零元整</v>
      </c>
      <c r="E121" s="3590"/>
      <c r="F121" s="3590"/>
      <c r="G121" s="3590"/>
      <c r="H121" s="3590"/>
      <c r="I121" s="3589"/>
      <c r="AA121" s="725"/>
    </row>
    <row r="122" spans="1:27" ht="18.75" customHeight="1">
      <c r="A122" s="3594" t="str">
        <f>IF(项目基本情况!B9="房地产市场价值","",MID(E107,3,LEN(E107)-2))</f>
        <v>房地产抵押价值</v>
      </c>
      <c r="B122" s="3594"/>
      <c r="C122" s="3594"/>
      <c r="D122" s="3583">
        <f ca="1">H107</f>
        <v>265</v>
      </c>
      <c r="E122" s="3584"/>
      <c r="F122" s="3584"/>
      <c r="G122" s="3584"/>
      <c r="H122" s="3584"/>
      <c r="I122" s="3585"/>
      <c r="AA122" s="725"/>
    </row>
    <row r="123" spans="1:27" ht="18.75" customHeight="1">
      <c r="A123" s="3582" t="s">
        <v>1452</v>
      </c>
      <c r="B123" s="3582"/>
      <c r="C123" s="3582"/>
      <c r="D123" s="3588" t="str">
        <f ca="1">NUMBERSTRING(INT(D122*10000),2)&amp;"元整"</f>
        <v>贰佰陆拾伍万元整</v>
      </c>
      <c r="E123" s="3590"/>
      <c r="F123" s="3590"/>
      <c r="G123" s="3590"/>
      <c r="H123" s="3590"/>
      <c r="I123" s="3589"/>
      <c r="AA123" s="725"/>
    </row>
    <row r="124" spans="1:27" ht="18.75" customHeight="1">
      <c r="A124" s="3594" t="str">
        <f>IF(项目基本情况!B9="房地产市场价值","",MID(E109,3,LEN(E109)-2))</f>
        <v/>
      </c>
      <c r="B124" s="3594"/>
      <c r="C124" s="3594"/>
      <c r="D124" s="3583" t="str">
        <f>H109</f>
        <v>——</v>
      </c>
      <c r="E124" s="3584"/>
      <c r="F124" s="3584"/>
      <c r="G124" s="3584"/>
      <c r="H124" s="3584"/>
      <c r="I124" s="3585"/>
      <c r="AA124" s="725"/>
    </row>
    <row r="125" spans="1:27" ht="18.75" customHeight="1">
      <c r="A125" s="3582" t="s">
        <v>1452</v>
      </c>
      <c r="B125" s="3582"/>
      <c r="C125" s="3582"/>
      <c r="D125" s="3588" t="e">
        <f>NUMBERSTRING(INT(D124*10000),2)&amp;"元整"</f>
        <v>#VALUE!</v>
      </c>
      <c r="E125" s="3590"/>
      <c r="F125" s="3590"/>
      <c r="G125" s="3590"/>
      <c r="H125" s="3590"/>
      <c r="I125" s="3589"/>
      <c r="AA125" s="725"/>
    </row>
    <row r="126" spans="1:27" ht="18.75" customHeight="1">
      <c r="A126" s="3594" t="str">
        <f>IF(项目基本情况!B9="房地产市场价值","",MID(E111,3,LEN(E111)-2))</f>
        <v/>
      </c>
      <c r="B126" s="3594"/>
      <c r="C126" s="3594"/>
      <c r="D126" s="3583" t="str">
        <f>H111</f>
        <v>——</v>
      </c>
      <c r="E126" s="3584"/>
      <c r="F126" s="3584"/>
      <c r="G126" s="3584"/>
      <c r="H126" s="3584"/>
      <c r="I126" s="3585"/>
      <c r="AA126" s="725"/>
    </row>
    <row r="127" spans="1:27" ht="18.75" customHeight="1">
      <c r="A127" s="3582" t="s">
        <v>1452</v>
      </c>
      <c r="B127" s="3582"/>
      <c r="C127" s="3582"/>
      <c r="D127" s="3588" t="e">
        <f>NUMBERSTRING(INT(D126*10000),2)&amp;"元整"</f>
        <v>#VALUE!</v>
      </c>
      <c r="E127" s="3590"/>
      <c r="F127" s="3590"/>
      <c r="G127" s="3590"/>
      <c r="H127" s="3590"/>
      <c r="I127" s="3589"/>
      <c r="AA127" s="725"/>
    </row>
    <row r="128" spans="1:27" ht="21.75" customHeight="1">
      <c r="A128" s="3591" t="s">
        <v>1453</v>
      </c>
      <c r="B128" s="3591"/>
      <c r="C128" s="3591"/>
      <c r="D128" s="3591"/>
      <c r="E128" s="3591"/>
      <c r="F128" s="3591"/>
      <c r="G128" s="3591"/>
      <c r="H128" s="3591"/>
      <c r="I128" s="359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5425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1.5116000000000001</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1.5116000000000001</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75.58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75.58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75.58</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61" t="s">
        <v>1544</v>
      </c>
    </row>
    <row r="43" spans="1:7" ht="13.5" customHeight="1">
      <c r="A43" s="780" t="s">
        <v>347</v>
      </c>
      <c r="B43" s="215" t="s">
        <v>1545</v>
      </c>
      <c r="C43" s="238">
        <f ca="1">ROUND(IF('数据-取费表'!B22&lt;=1,C39*F22*'数据-取费表'!B21/2,C39*(POWER((1+F22),'数据-取费表'!B21/2)-1)),0)</f>
        <v>0</v>
      </c>
      <c r="D43" s="238"/>
      <c r="E43" s="238"/>
      <c r="F43" s="239"/>
      <c r="G43" s="3662"/>
    </row>
    <row r="44" spans="1:7" ht="13.5" customHeight="1">
      <c r="A44" s="780" t="s">
        <v>348</v>
      </c>
      <c r="B44" s="215" t="s">
        <v>1546</v>
      </c>
      <c r="C44" s="238">
        <f ca="1">ROUND(IF('数据-取费表'!B22&lt;=1,C40*F22*'数据-取费表'!B21/2,C40*(POWER((1+F22),'数据-取费表'!B21/2)-1)),4)</f>
        <v>6.9999999999999999E-4</v>
      </c>
      <c r="D44" s="238"/>
      <c r="E44" s="238"/>
      <c r="F44" s="239"/>
      <c r="G44" s="3663"/>
    </row>
    <row r="45" spans="1:7" s="214" customFormat="1" ht="13.5" customHeight="1">
      <c r="A45" s="255" t="s">
        <v>1547</v>
      </c>
      <c r="B45" s="244" t="s">
        <v>1513</v>
      </c>
      <c r="C45" s="245">
        <f ca="1">C46</f>
        <v>6</v>
      </c>
      <c r="D45" s="235">
        <f ca="1">C47</f>
        <v>3.0000000000000001E-3</v>
      </c>
      <c r="E45" s="236" t="s">
        <v>1539</v>
      </c>
      <c r="F45" s="246">
        <f ca="1">F27</f>
        <v>0.15</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49</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36</v>
      </c>
      <c r="D51" s="232"/>
      <c r="E51" s="232"/>
      <c r="F51" s="264"/>
      <c r="G51" s="234" t="s">
        <v>1560</v>
      </c>
    </row>
    <row r="52" spans="1:7" s="208" customFormat="1" ht="16.5" thickBot="1">
      <c r="A52" s="265" t="s">
        <v>1561</v>
      </c>
      <c r="B52" s="266"/>
      <c r="C52" s="267">
        <f ca="1">C31+C51</f>
        <v>41</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8" t="str">
        <f>项目基本情况!B1</f>
        <v>北京市海淀区长春桥路11号2号楼1层102房地产抵押价值预评估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39.361600000000003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15116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15116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15116</v>
      </c>
      <c r="D10" s="845">
        <f ca="1">IF(B1="",'数据-汇总表'!E6,IF(INDIRECT("'数据-取费表'!c"&amp;$G$1)="住宅",INDIRECT("'数据-取费表'!s"&amp;$G$1),INDIRECT("'数据-取费表'!k"&amp;$G$1)+INDIRECT("'数据-取费表'!s"&amp;$G$1)))</f>
        <v>75.58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15116</v>
      </c>
      <c r="D19" s="849">
        <f ca="1">D9+D10</f>
        <v>75.58</v>
      </c>
      <c r="E19" s="211">
        <f>'数据-取费表'!B31</f>
        <v>200</v>
      </c>
      <c r="F19" s="231"/>
      <c r="G19" s="1856"/>
    </row>
    <row r="20" spans="1:7" s="214" customFormat="1" ht="13.5" customHeight="1">
      <c r="A20" s="255" t="s">
        <v>1574</v>
      </c>
      <c r="B20" s="210" t="s">
        <v>1575</v>
      </c>
      <c r="C20" s="232">
        <f ca="1">ROUND((C5+C19)*F20,0)</f>
        <v>605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2143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1061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1061</v>
      </c>
      <c r="D24" s="238"/>
      <c r="E24" s="238"/>
      <c r="F24" s="239"/>
      <c r="G24" s="240" t="s">
        <v>1586</v>
      </c>
    </row>
    <row r="25" spans="1:7" s="214" customFormat="1" ht="24">
      <c r="A25" s="780" t="s">
        <v>1476</v>
      </c>
      <c r="B25" s="215" t="s">
        <v>1587</v>
      </c>
      <c r="C25" s="1128">
        <f ca="1">ROUND(IF('数据-取费表'!B22&lt;=1,C20*F22*'数据-取费表'!B22/2,C20*(POWER((1+F22),'数据-取费表'!B22/2)-1)),0)</f>
        <v>21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4626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4626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40743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364296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332552</v>
      </c>
      <c r="D34" s="217"/>
      <c r="E34" s="220"/>
      <c r="F34" s="257"/>
      <c r="G34" s="219"/>
    </row>
    <row r="35" spans="1:7" ht="13.5" customHeight="1">
      <c r="A35" s="780" t="s">
        <v>351</v>
      </c>
      <c r="B35" s="215" t="s">
        <v>1527</v>
      </c>
      <c r="C35" s="220">
        <f ca="1">ROUND(C34*F35,0)</f>
        <v>9977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15116</v>
      </c>
      <c r="D37" s="217">
        <f ca="1">D19</f>
        <v>75.58</v>
      </c>
      <c r="E37" s="249">
        <f>'数据-取费表'!B35</f>
        <v>200</v>
      </c>
      <c r="F37" s="259"/>
      <c r="G37" s="261"/>
    </row>
    <row r="38" spans="1:7" ht="13.5" customHeight="1">
      <c r="A38" s="780" t="s">
        <v>354</v>
      </c>
      <c r="B38" s="215" t="s">
        <v>1533</v>
      </c>
      <c r="C38" s="220">
        <f ca="1">ROUND(C34*F38,0)</f>
        <v>6651</v>
      </c>
      <c r="D38" s="220"/>
      <c r="E38" s="220"/>
      <c r="F38" s="259">
        <f>'数据-取费表'!B36</f>
        <v>0.02</v>
      </c>
      <c r="G38" s="219" t="s">
        <v>1528</v>
      </c>
    </row>
    <row r="39" spans="1:7" s="214" customFormat="1" ht="13.5" customHeight="1">
      <c r="A39" s="255" t="s">
        <v>1534</v>
      </c>
      <c r="B39" s="210" t="s">
        <v>1535</v>
      </c>
      <c r="C39" s="232">
        <f ca="1">ROUND(C33*F20,0)</f>
        <v>7286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12819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12568</v>
      </c>
      <c r="D42" s="238"/>
      <c r="E42" s="238"/>
      <c r="F42" s="239"/>
      <c r="G42" s="3661" t="s">
        <v>1591</v>
      </c>
    </row>
    <row r="43" spans="1:7" ht="13.5" customHeight="1">
      <c r="A43" s="780" t="s">
        <v>347</v>
      </c>
      <c r="B43" s="215" t="s">
        <v>1545</v>
      </c>
      <c r="C43" s="238">
        <f ca="1">ROUND(IF('数据-取费表'!B22&lt;=1,C39*F22*'数据-取费表'!B20/2,C39*(POWER((1+F22),'数据-取费表'!B20/2)-1)),0)</f>
        <v>251</v>
      </c>
      <c r="D43" s="238"/>
      <c r="E43" s="238"/>
      <c r="F43" s="239"/>
      <c r="G43" s="3662"/>
    </row>
    <row r="44" spans="1:7" ht="13.5" customHeight="1">
      <c r="A44" s="780" t="s">
        <v>348</v>
      </c>
      <c r="B44" s="215" t="s">
        <v>1546</v>
      </c>
      <c r="C44" s="238">
        <f ca="1">ROUND(IF('数据-取费表'!B22&lt;=1,C40*F22*'数据-取费表'!B20/2,C40*(POWER((1+F22),'数据-取费表'!B20/2)-1)),4)</f>
        <v>6.9999999999999999E-4</v>
      </c>
      <c r="D44" s="238"/>
      <c r="E44" s="238"/>
      <c r="F44" s="239"/>
      <c r="G44" s="3663"/>
    </row>
    <row r="45" spans="1:7" s="214" customFormat="1" ht="13.5" customHeight="1">
      <c r="A45" s="255" t="s">
        <v>1547</v>
      </c>
      <c r="B45" s="244" t="s">
        <v>1513</v>
      </c>
      <c r="C45" s="245">
        <f ca="1">C46</f>
        <v>55737</v>
      </c>
      <c r="D45" s="235">
        <f ca="1">C47</f>
        <v>3.0000000000000001E-3</v>
      </c>
      <c r="E45" s="236" t="s">
        <v>1539</v>
      </c>
      <c r="F45" s="246">
        <f ca="1">F27</f>
        <v>0.15</v>
      </c>
      <c r="G45" s="247" t="s">
        <v>1548</v>
      </c>
    </row>
    <row r="46" spans="1:7" s="214" customFormat="1" ht="13.5" customHeight="1">
      <c r="A46" s="780" t="s">
        <v>346</v>
      </c>
      <c r="B46" s="248" t="s">
        <v>1549</v>
      </c>
      <c r="C46" s="249">
        <f ca="1">ROUND((C33+C39)*F27,0)</f>
        <v>55737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476856</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352873</v>
      </c>
      <c r="D51" s="232"/>
      <c r="E51" s="232"/>
      <c r="F51" s="264"/>
      <c r="G51" s="234" t="s">
        <v>1560</v>
      </c>
    </row>
    <row r="52" spans="1:7" s="208" customFormat="1" ht="16.5" thickBot="1">
      <c r="A52" s="265" t="s">
        <v>1561</v>
      </c>
      <c r="B52" s="266"/>
      <c r="C52" s="267">
        <f ca="1">C31+C51</f>
        <v>393616</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75.58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75.58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0.48839999999999995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75.58</v>
      </c>
      <c r="E20" s="21">
        <f>'数据-取费表'!B28</f>
        <v>200</v>
      </c>
      <c r="F20" s="804"/>
      <c r="G20" s="12"/>
      <c r="H20" s="809"/>
      <c r="I20" s="809"/>
      <c r="J20" s="809"/>
      <c r="K20" s="810"/>
    </row>
    <row r="21" spans="1:33" s="803" customFormat="1" ht="13.5" customHeight="1">
      <c r="A21" s="790" t="s">
        <v>357</v>
      </c>
      <c r="B21" s="813" t="s">
        <v>1628</v>
      </c>
      <c r="C21" s="814">
        <f ca="1">C16+C17+C18</f>
        <v>0.48839999999999995</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0</v>
      </c>
      <c r="D6" s="155" t="s">
        <v>2109</v>
      </c>
      <c r="E6" s="302" t="s">
        <v>696</v>
      </c>
      <c r="F6" s="303">
        <f ca="1">INDIRECT("'数据-取费表'!u"&amp;$G$1)</f>
        <v>0</v>
      </c>
      <c r="G6" s="1384"/>
      <c r="H6" s="1069" t="s">
        <v>398</v>
      </c>
      <c r="I6" s="3666" t="s">
        <v>694</v>
      </c>
      <c r="J6" s="301">
        <f ca="1">ROUND(M6*M8*M7*(1-M9)/10000,0)</f>
        <v>0</v>
      </c>
      <c r="K6" s="155" t="s">
        <v>2108</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3"/>
  <sheetViews>
    <sheetView view="pageBreakPreview" zoomScale="85" zoomScaleNormal="70" zoomScaleSheetLayoutView="85" workbookViewId="0">
      <selection activeCell="G48" sqref="G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3415</v>
      </c>
      <c r="F1" s="1879" t="s">
        <v>3400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304.98039999999997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40352</v>
      </c>
      <c r="C3" s="354" t="s">
        <v>1768</v>
      </c>
      <c r="D3" s="353">
        <f>IF(D1="",'数据-汇总表'!E3,SUMIF('数据-汇总表'!$C19:$C33,D1,'数据-汇总表'!$E19:$E33))</f>
        <v>75.58</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674" t="s">
        <v>1771</v>
      </c>
      <c r="S4" s="3675"/>
      <c r="T4" s="3674" t="s">
        <v>1772</v>
      </c>
      <c r="U4" s="3675"/>
      <c r="V4" s="3703" t="s">
        <v>1773</v>
      </c>
      <c r="W4" s="3703"/>
      <c r="X4" s="1958"/>
      <c r="Y4" s="3674" t="s">
        <v>1775</v>
      </c>
      <c r="Z4" s="3675"/>
      <c r="AA4" s="3669" t="s">
        <v>1771</v>
      </c>
      <c r="AB4" s="3669" t="s">
        <v>1772</v>
      </c>
      <c r="AC4" s="3688" t="s">
        <v>1773</v>
      </c>
    </row>
    <row r="5" spans="1:29" ht="15">
      <c r="A5" s="358"/>
      <c r="B5" s="359"/>
      <c r="C5" s="3680" t="s">
        <v>3416</v>
      </c>
      <c r="D5" s="3681"/>
      <c r="E5" s="3678" t="str">
        <f>案例!A2</f>
        <v>金源时代商务中心</v>
      </c>
      <c r="F5" s="3679"/>
      <c r="G5" s="3684" t="str">
        <f>案例!A3</f>
        <v>嘉豪国际中心</v>
      </c>
      <c r="H5" s="3681"/>
      <c r="I5" s="3684" t="str">
        <f>案例!A4</f>
        <v>嘉豪国际中心</v>
      </c>
      <c r="J5" s="3681"/>
      <c r="K5" s="559"/>
      <c r="L5" s="2713"/>
      <c r="M5" s="2714"/>
      <c r="N5" s="2714"/>
      <c r="O5" s="2714"/>
      <c r="P5" s="3697"/>
      <c r="Q5" s="3698"/>
      <c r="R5" s="3676"/>
      <c r="S5" s="3677"/>
      <c r="T5" s="3676"/>
      <c r="U5" s="3677"/>
      <c r="V5" s="3704"/>
      <c r="W5" s="3704"/>
      <c r="X5" s="1355"/>
      <c r="Y5" s="3676"/>
      <c r="Z5" s="3677"/>
      <c r="AA5" s="3670"/>
      <c r="AB5" s="3670"/>
      <c r="AC5" s="3689"/>
    </row>
    <row r="6" spans="1:29" ht="15.75" thickBot="1">
      <c r="A6" s="360"/>
      <c r="B6" s="361"/>
      <c r="C6" s="3682" t="s">
        <v>1677</v>
      </c>
      <c r="D6" s="3683"/>
      <c r="E6" s="3685" t="s">
        <v>1677</v>
      </c>
      <c r="F6" s="3686"/>
      <c r="G6" s="3682" t="s">
        <v>1677</v>
      </c>
      <c r="H6" s="3683"/>
      <c r="I6" s="3682" t="s">
        <v>1677</v>
      </c>
      <c r="J6" s="3683"/>
      <c r="K6" s="559" t="s">
        <v>1678</v>
      </c>
      <c r="L6" s="2713"/>
      <c r="M6" s="2714"/>
      <c r="N6" s="2714"/>
      <c r="O6" s="2714"/>
      <c r="P6" s="3699"/>
      <c r="Q6" s="3700"/>
      <c r="R6" s="3676"/>
      <c r="S6" s="3677"/>
      <c r="T6" s="3701"/>
      <c r="U6" s="3702"/>
      <c r="V6" s="3704"/>
      <c r="W6" s="3704"/>
      <c r="X6" s="1355"/>
      <c r="Y6" s="3701"/>
      <c r="Z6" s="3702"/>
      <c r="AA6" s="3671"/>
      <c r="AB6" s="3671"/>
      <c r="AC6" s="3690"/>
    </row>
    <row r="7" spans="1:29" s="108" customFormat="1" ht="15.75" thickBot="1">
      <c r="A7" s="362" t="s">
        <v>1679</v>
      </c>
      <c r="B7" s="363"/>
      <c r="C7" s="364">
        <f>'数据-取费表'!B2</f>
        <v>45455</v>
      </c>
      <c r="D7" s="365">
        <v>100</v>
      </c>
      <c r="E7" s="366">
        <v>45450</v>
      </c>
      <c r="F7" s="367">
        <f>SUMIF(59:59,YEAR(E7)&amp;"-"&amp;MONTH(E7),60:60)</f>
        <v>100</v>
      </c>
      <c r="G7" s="366">
        <v>45450</v>
      </c>
      <c r="H7" s="365">
        <f>SUMIF(59:59,YEAR(G7)&amp;"-"&amp;MONTH(G7),60:60)</f>
        <v>100</v>
      </c>
      <c r="I7" s="366">
        <v>45450</v>
      </c>
      <c r="J7" s="365">
        <f>SUMIF(59:59,YEAR(I7)&amp;"-"&amp;MONTH(I7),60:60)</f>
        <v>100</v>
      </c>
      <c r="K7" s="560"/>
      <c r="L7" s="2715"/>
      <c r="M7" s="2716"/>
      <c r="N7" s="2716"/>
      <c r="O7" s="2716"/>
      <c r="P7" s="3705" t="s">
        <v>1680</v>
      </c>
      <c r="Q7" s="3706"/>
      <c r="R7" s="701" t="s">
        <v>14</v>
      </c>
      <c r="S7" s="702">
        <f t="shared" ref="S7:S15" si="0">F7</f>
        <v>100</v>
      </c>
      <c r="T7" s="701" t="s">
        <v>14</v>
      </c>
      <c r="U7" s="702">
        <f t="shared" ref="U7:U15" si="1">H7</f>
        <v>100</v>
      </c>
      <c r="V7" s="701" t="s">
        <v>14</v>
      </c>
      <c r="W7" s="702">
        <f t="shared" ref="W7:W15" si="2">J7</f>
        <v>100</v>
      </c>
      <c r="X7" s="703"/>
      <c r="Y7" s="3672" t="s">
        <v>1680</v>
      </c>
      <c r="Z7" s="3673"/>
      <c r="AA7" s="704">
        <f>D7/F7</f>
        <v>1</v>
      </c>
      <c r="AB7" s="704">
        <f>D7/H7</f>
        <v>1</v>
      </c>
      <c r="AC7" s="1959">
        <f>D7/J7</f>
        <v>1</v>
      </c>
    </row>
    <row r="8" spans="1:29" s="108" customFormat="1" ht="15.75" thickBot="1">
      <c r="A8" s="362" t="s">
        <v>1681</v>
      </c>
      <c r="B8" s="363"/>
      <c r="C8" s="368" t="s">
        <v>3417</v>
      </c>
      <c r="D8" s="365">
        <v>100</v>
      </c>
      <c r="E8" s="3467" t="s">
        <v>3422</v>
      </c>
      <c r="F8" s="367">
        <f>SUMIF(62:62,E8,63:63)-SUMIF(62:62,C8,63:63)+100</f>
        <v>105</v>
      </c>
      <c r="G8" s="3467" t="s">
        <v>3422</v>
      </c>
      <c r="H8" s="365">
        <f>SUMIF(62:62,G8,63:63)-SUMIF(62:62,C8,63:63)+100</f>
        <v>105</v>
      </c>
      <c r="I8" s="3467" t="s">
        <v>3422</v>
      </c>
      <c r="J8" s="365">
        <f>SUMIF(62:62,I8,63:63)-SUMIF(62:62,C8,63:63)+100</f>
        <v>105</v>
      </c>
      <c r="K8" s="560"/>
      <c r="L8" s="2715"/>
      <c r="M8" s="2716"/>
      <c r="N8" s="2716"/>
      <c r="O8" s="2716"/>
      <c r="P8" s="3705" t="s">
        <v>1683</v>
      </c>
      <c r="Q8" s="3673"/>
      <c r="R8" s="701" t="s">
        <v>14</v>
      </c>
      <c r="S8" s="702">
        <f t="shared" si="0"/>
        <v>105</v>
      </c>
      <c r="T8" s="701" t="s">
        <v>14</v>
      </c>
      <c r="U8" s="702">
        <f t="shared" si="1"/>
        <v>105</v>
      </c>
      <c r="V8" s="701" t="s">
        <v>14</v>
      </c>
      <c r="W8" s="702">
        <f t="shared" si="2"/>
        <v>105</v>
      </c>
      <c r="X8" s="703"/>
      <c r="Y8" s="3672" t="s">
        <v>1683</v>
      </c>
      <c r="Z8" s="3673"/>
      <c r="AA8" s="704">
        <f t="shared" ref="AA8:AA47" si="3">D8/F8</f>
        <v>0.95238095238095233</v>
      </c>
      <c r="AB8" s="704">
        <f t="shared" ref="AB8:AB47" si="4">D8/H8</f>
        <v>0.95238095238095233</v>
      </c>
      <c r="AC8" s="1959">
        <f t="shared" ref="AC8:AC47" si="5">D8/J8</f>
        <v>0.95238095238095233</v>
      </c>
    </row>
    <row r="9" spans="1:29" s="108" customFormat="1" ht="15" thickBot="1">
      <c r="A9" s="369" t="s">
        <v>1684</v>
      </c>
      <c r="B9" s="63" t="s">
        <v>1685</v>
      </c>
      <c r="C9" s="3460" t="s">
        <v>3418</v>
      </c>
      <c r="D9" s="126">
        <v>100</v>
      </c>
      <c r="E9" s="3468" t="s">
        <v>3418</v>
      </c>
      <c r="F9" s="126">
        <f>SUMIF(64:64,E9,65:65)-SUMIF(64:64,C9,65:65)+100</f>
        <v>100</v>
      </c>
      <c r="G9" s="3468" t="s">
        <v>3418</v>
      </c>
      <c r="H9" s="126">
        <f>SUMIF(64:64,G9,65:65)-SUMIF(64:64,C9,65:65)+100</f>
        <v>100</v>
      </c>
      <c r="I9" s="3468" t="s">
        <v>3418</v>
      </c>
      <c r="J9" s="126">
        <f>SUMIF(64:64,I9,65:65)-SUMIF(64:64,C9,65:65)+100</f>
        <v>100</v>
      </c>
      <c r="K9" s="560"/>
      <c r="L9" s="2715"/>
      <c r="M9" s="2716"/>
      <c r="N9" s="2716"/>
      <c r="O9" s="2716"/>
      <c r="P9" s="368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1959">
        <f t="shared" si="5"/>
        <v>1</v>
      </c>
    </row>
    <row r="10" spans="1:29" s="378" customFormat="1" ht="27.75" hidden="1" thickBot="1">
      <c r="A10" s="374"/>
      <c r="B10" s="375" t="s">
        <v>1688</v>
      </c>
      <c r="C10" s="3432"/>
      <c r="D10" s="127">
        <v>100</v>
      </c>
      <c r="E10" s="3432"/>
      <c r="F10" s="127">
        <f>SUMIF(66:66,E10,67:67)-SUMIF(66:66,C10,67:67)+100</f>
        <v>100</v>
      </c>
      <c r="G10" s="3432"/>
      <c r="H10" s="127">
        <f>SUMIF(66:66,G10,67:67)-SUMIF(66:66,C10,67:67)+100</f>
        <v>100</v>
      </c>
      <c r="I10" s="3432"/>
      <c r="J10" s="127">
        <f>SUMIF(66:66,I10,67:67)-SUMIF(66:66,C10,67:67)+100</f>
        <v>100</v>
      </c>
      <c r="K10" s="560"/>
      <c r="L10" s="2717"/>
      <c r="M10" s="2718"/>
      <c r="N10" s="2718"/>
      <c r="O10" s="2718"/>
      <c r="P10" s="368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9"/>
      <c r="M11" s="2714"/>
      <c r="N11" s="2714"/>
      <c r="O11" s="2714"/>
      <c r="P11" s="3687"/>
      <c r="Q11" s="1343"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383"/>
      <c r="H12" s="127">
        <f>SUMIF(71:71,G12,72:72)-SUMIF(71:71,C12,72:72)+100</f>
        <v>100</v>
      </c>
      <c r="I12" s="383"/>
      <c r="J12" s="127">
        <f>SUMIF(71:71,I12,72:72)-SUMIF(71:71,C12,72:72)+100</f>
        <v>100</v>
      </c>
      <c r="K12" s="562"/>
      <c r="L12" s="2715"/>
      <c r="M12" s="2716"/>
      <c r="N12" s="2716"/>
      <c r="O12" s="2716"/>
      <c r="P12" s="3687"/>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383"/>
      <c r="H13" s="386">
        <f>SUMIF(73:73,G13,74:74)-SUMIF(73:73,C13,74:74)+100</f>
        <v>100</v>
      </c>
      <c r="I13" s="383"/>
      <c r="J13" s="386">
        <f>SUMIF(73:73,I13,74:74)-SUMIF(73:73,C13,74:74)+100</f>
        <v>100</v>
      </c>
      <c r="K13" s="562"/>
      <c r="L13" s="2720"/>
      <c r="M13" s="2714"/>
      <c r="N13" s="2714"/>
      <c r="O13" s="2714"/>
      <c r="P13" s="3687"/>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576"/>
      <c r="H14" s="389">
        <f>SUMIF(75:75,G14,76:76)-SUMIF(75:75,C14,76:76)+100</f>
        <v>100</v>
      </c>
      <c r="I14" s="576"/>
      <c r="J14" s="389">
        <f>SUMIF(75:75,I14,76:76)-SUMIF(75:75,C14,76:76)+100</f>
        <v>100</v>
      </c>
      <c r="K14" s="562"/>
      <c r="L14" s="2720"/>
      <c r="M14" s="2714"/>
      <c r="N14" s="2714"/>
      <c r="O14" s="2714"/>
      <c r="P14" s="3687"/>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20"/>
      <c r="M15" s="2714"/>
      <c r="N15" s="2714"/>
      <c r="O15" s="2714"/>
      <c r="P15" s="3707" t="s">
        <v>1691</v>
      </c>
      <c r="Q15" s="1352" t="str">
        <f t="shared" si="6"/>
        <v>办公集聚程度</v>
      </c>
      <c r="R15" s="705" t="s">
        <v>14</v>
      </c>
      <c r="S15" s="706">
        <f t="shared" si="0"/>
        <v>100</v>
      </c>
      <c r="T15" s="705" t="s">
        <v>14</v>
      </c>
      <c r="U15" s="706">
        <f t="shared" si="1"/>
        <v>100</v>
      </c>
      <c r="V15" s="705" t="s">
        <v>14</v>
      </c>
      <c r="W15" s="706">
        <f t="shared" si="2"/>
        <v>100</v>
      </c>
      <c r="X15" s="1355"/>
      <c r="Y15" s="3709" t="s">
        <v>1691</v>
      </c>
      <c r="Z15" s="1356" t="str">
        <f t="shared" si="7"/>
        <v>办公集聚程度</v>
      </c>
      <c r="AA15" s="1353">
        <f t="shared" si="3"/>
        <v>1</v>
      </c>
      <c r="AB15" s="1353">
        <f t="shared" si="4"/>
        <v>1</v>
      </c>
      <c r="AC15" s="1962">
        <f t="shared" si="5"/>
        <v>1</v>
      </c>
    </row>
    <row r="16" spans="1:29" ht="15">
      <c r="A16" s="379"/>
      <c r="B16" s="578"/>
      <c r="C16" s="1904" t="s">
        <v>3395</v>
      </c>
      <c r="D16" s="399"/>
      <c r="E16" s="3469" t="s">
        <v>3442</v>
      </c>
      <c r="F16" s="399"/>
      <c r="G16" s="3469" t="s">
        <v>3442</v>
      </c>
      <c r="H16" s="401"/>
      <c r="I16" s="3469" t="s">
        <v>3442</v>
      </c>
      <c r="J16" s="399"/>
      <c r="K16" s="564"/>
      <c r="L16" s="2720"/>
      <c r="M16" s="2714"/>
      <c r="N16" s="2714"/>
      <c r="O16" s="2714"/>
      <c r="P16" s="3708"/>
      <c r="Q16" s="1352"/>
      <c r="R16" s="705"/>
      <c r="S16" s="706"/>
      <c r="T16" s="705"/>
      <c r="U16" s="706"/>
      <c r="V16" s="705"/>
      <c r="W16" s="706"/>
      <c r="X16" s="1355"/>
      <c r="Y16" s="3710"/>
      <c r="Z16" s="1356"/>
      <c r="AA16" s="1353">
        <v>1</v>
      </c>
      <c r="AB16" s="1353">
        <v>1</v>
      </c>
      <c r="AC16" s="1962">
        <v>1</v>
      </c>
    </row>
    <row r="17" spans="1:29" ht="15">
      <c r="A17" s="379"/>
      <c r="B17" s="579" t="s">
        <v>1259</v>
      </c>
      <c r="C17" s="1963" t="str">
        <f>估价对象房地状况!C6</f>
        <v>较好</v>
      </c>
      <c r="D17" s="401">
        <v>100</v>
      </c>
      <c r="E17" s="3471"/>
      <c r="F17" s="401">
        <f>SUMIF(79:79,E18,80:80)-SUMIF(79:79,C18,80:80)+100</f>
        <v>100</v>
      </c>
      <c r="G17" s="3471"/>
      <c r="H17" s="406">
        <f>SUMIF(79:79,G18,80:80)-SUMIF(79:79,C18,80:80)+100</f>
        <v>100</v>
      </c>
      <c r="I17" s="3471"/>
      <c r="J17" s="406">
        <f>SUMIF(79:79,I18,80:80)-SUMIF(79:79,C18,80:80)+100</f>
        <v>100</v>
      </c>
      <c r="K17" s="563">
        <v>2</v>
      </c>
      <c r="L17" s="2720"/>
      <c r="M17" s="2714"/>
      <c r="N17" s="2714"/>
      <c r="O17" s="2714"/>
      <c r="P17" s="3708"/>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962">
        <f t="shared" si="5"/>
        <v>1</v>
      </c>
    </row>
    <row r="18" spans="1:29" ht="15">
      <c r="A18" s="379"/>
      <c r="B18" s="580"/>
      <c r="C18" s="1964" t="s">
        <v>3395</v>
      </c>
      <c r="D18" s="401"/>
      <c r="E18" s="3470" t="s">
        <v>3442</v>
      </c>
      <c r="F18" s="401"/>
      <c r="G18" s="3470" t="s">
        <v>3442</v>
      </c>
      <c r="H18" s="399"/>
      <c r="I18" s="3470" t="s">
        <v>3442</v>
      </c>
      <c r="J18" s="399"/>
      <c r="K18" s="564"/>
      <c r="L18" s="2720"/>
      <c r="M18" s="2714"/>
      <c r="N18" s="2714"/>
      <c r="O18" s="2714"/>
      <c r="P18" s="3708"/>
      <c r="Q18" s="1352"/>
      <c r="R18" s="705"/>
      <c r="S18" s="706"/>
      <c r="T18" s="705"/>
      <c r="U18" s="706"/>
      <c r="V18" s="705"/>
      <c r="W18" s="706"/>
      <c r="X18" s="1355"/>
      <c r="Y18" s="3710"/>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20"/>
      <c r="M19" s="2714"/>
      <c r="N19" s="2714"/>
      <c r="O19" s="2714"/>
      <c r="P19" s="3708"/>
      <c r="Q19" s="1352" t="str">
        <f>B19</f>
        <v>公共配套设施</v>
      </c>
      <c r="R19" s="705" t="s">
        <v>14</v>
      </c>
      <c r="S19" s="706">
        <f>F19</f>
        <v>100</v>
      </c>
      <c r="T19" s="705" t="s">
        <v>14</v>
      </c>
      <c r="U19" s="706">
        <f>H19</f>
        <v>100</v>
      </c>
      <c r="V19" s="705" t="s">
        <v>14</v>
      </c>
      <c r="W19" s="706">
        <f>J19</f>
        <v>100</v>
      </c>
      <c r="X19" s="1355"/>
      <c r="Y19" s="3710"/>
      <c r="Z19" s="1356" t="str">
        <f>Q19</f>
        <v>公共配套设施</v>
      </c>
      <c r="AA19" s="1353">
        <f t="shared" si="3"/>
        <v>1</v>
      </c>
      <c r="AB19" s="1353">
        <f t="shared" si="4"/>
        <v>1</v>
      </c>
      <c r="AC19" s="1962">
        <f t="shared" si="5"/>
        <v>1</v>
      </c>
    </row>
    <row r="20" spans="1:29" ht="15">
      <c r="A20" s="379"/>
      <c r="B20" s="580"/>
      <c r="C20" s="1904" t="s">
        <v>3395</v>
      </c>
      <c r="D20" s="399"/>
      <c r="E20" s="3472" t="s">
        <v>3442</v>
      </c>
      <c r="F20" s="399"/>
      <c r="G20" s="3472" t="s">
        <v>3442</v>
      </c>
      <c r="H20" s="399"/>
      <c r="I20" s="3472" t="s">
        <v>3442</v>
      </c>
      <c r="J20" s="399"/>
      <c r="K20" s="564"/>
      <c r="L20" s="2720"/>
      <c r="M20" s="2714"/>
      <c r="N20" s="2714"/>
      <c r="O20" s="2714"/>
      <c r="P20" s="3708"/>
      <c r="Q20" s="1352"/>
      <c r="R20" s="705"/>
      <c r="S20" s="706"/>
      <c r="T20" s="705"/>
      <c r="U20" s="706"/>
      <c r="V20" s="705"/>
      <c r="W20" s="706"/>
      <c r="X20" s="1355"/>
      <c r="Y20" s="3710"/>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1</v>
      </c>
      <c r="L21" s="2720"/>
      <c r="M21" s="2714"/>
      <c r="N21" s="2714"/>
      <c r="O21" s="2714"/>
      <c r="P21" s="3708"/>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962">
        <f t="shared" ref="AC21" si="10">D21/J21</f>
        <v>1</v>
      </c>
    </row>
    <row r="22" spans="1:29" ht="15">
      <c r="A22" s="379"/>
      <c r="B22" s="581"/>
      <c r="C22" s="1964" t="s">
        <v>3398</v>
      </c>
      <c r="D22" s="399"/>
      <c r="E22" s="3469" t="s">
        <v>3434</v>
      </c>
      <c r="F22" s="399"/>
      <c r="G22" s="3469" t="s">
        <v>3434</v>
      </c>
      <c r="H22" s="399"/>
      <c r="I22" s="3469" t="s">
        <v>3434</v>
      </c>
      <c r="J22" s="399"/>
      <c r="K22" s="1130"/>
      <c r="L22" s="2720"/>
      <c r="M22" s="2714"/>
      <c r="N22" s="2714"/>
      <c r="O22" s="2714"/>
      <c r="P22" s="3708"/>
      <c r="Q22" s="1352"/>
      <c r="R22" s="705"/>
      <c r="S22" s="706"/>
      <c r="T22" s="705"/>
      <c r="U22" s="706"/>
      <c r="V22" s="705"/>
      <c r="W22" s="706"/>
      <c r="X22" s="1355"/>
      <c r="Y22" s="3710"/>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08"/>
      <c r="Q23" s="1352" t="str">
        <f>B23</f>
        <v>环境质量</v>
      </c>
      <c r="R23" s="705" t="s">
        <v>14</v>
      </c>
      <c r="S23" s="706">
        <f>F23</f>
        <v>100</v>
      </c>
      <c r="T23" s="705" t="s">
        <v>14</v>
      </c>
      <c r="U23" s="706">
        <f>H23</f>
        <v>100</v>
      </c>
      <c r="V23" s="705" t="s">
        <v>14</v>
      </c>
      <c r="W23" s="706">
        <f>J23</f>
        <v>100</v>
      </c>
      <c r="X23" s="1355"/>
      <c r="Y23" s="3710"/>
      <c r="Z23" s="1356" t="str">
        <f>Q23</f>
        <v>环境质量</v>
      </c>
      <c r="AA23" s="1353">
        <f t="shared" si="3"/>
        <v>1</v>
      </c>
      <c r="AB23" s="1353">
        <f t="shared" si="4"/>
        <v>1</v>
      </c>
      <c r="AC23" s="1962">
        <f t="shared" si="5"/>
        <v>1</v>
      </c>
    </row>
    <row r="24" spans="1:29" ht="15">
      <c r="A24" s="379"/>
      <c r="B24" s="580"/>
      <c r="C24" s="1904" t="s">
        <v>3395</v>
      </c>
      <c r="D24" s="399"/>
      <c r="E24" s="3472" t="s">
        <v>3442</v>
      </c>
      <c r="F24" s="399"/>
      <c r="G24" s="3473" t="s">
        <v>3442</v>
      </c>
      <c r="H24" s="399"/>
      <c r="I24" s="3473" t="s">
        <v>3442</v>
      </c>
      <c r="J24" s="399"/>
      <c r="K24" s="564"/>
      <c r="L24" s="2720"/>
      <c r="M24" s="2714"/>
      <c r="N24" s="2714"/>
      <c r="O24" s="2714"/>
      <c r="P24" s="3708"/>
      <c r="Q24" s="1352"/>
      <c r="R24" s="705"/>
      <c r="S24" s="706"/>
      <c r="T24" s="705"/>
      <c r="U24" s="706"/>
      <c r="V24" s="705"/>
      <c r="W24" s="706"/>
      <c r="X24" s="1355"/>
      <c r="Y24" s="3710"/>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08"/>
      <c r="Q25" s="1352" t="str">
        <f>B25</f>
        <v>毗邻道路的类型与等级</v>
      </c>
      <c r="R25" s="705" t="s">
        <v>14</v>
      </c>
      <c r="S25" s="706">
        <f>F25</f>
        <v>100</v>
      </c>
      <c r="T25" s="705" t="s">
        <v>14</v>
      </c>
      <c r="U25" s="706">
        <f>H25</f>
        <v>100</v>
      </c>
      <c r="V25" s="705" t="s">
        <v>14</v>
      </c>
      <c r="W25" s="706">
        <f>J25</f>
        <v>100</v>
      </c>
      <c r="X25" s="1355"/>
      <c r="Y25" s="3710"/>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708"/>
      <c r="Q26" s="1352"/>
      <c r="R26" s="705"/>
      <c r="S26" s="706"/>
      <c r="T26" s="705"/>
      <c r="U26" s="706"/>
      <c r="V26" s="705"/>
      <c r="W26" s="706"/>
      <c r="X26" s="1355"/>
      <c r="Y26" s="3710"/>
      <c r="Z26" s="1356"/>
      <c r="AA26" s="1353">
        <v>1</v>
      </c>
      <c r="AB26" s="1353">
        <v>1</v>
      </c>
      <c r="AC26" s="1962">
        <v>1</v>
      </c>
    </row>
    <row r="27" spans="1:29" ht="15.75" thickBot="1">
      <c r="A27" s="379"/>
      <c r="B27" s="580" t="s">
        <v>1783</v>
      </c>
      <c r="C27" s="3461" t="s">
        <v>3419</v>
      </c>
      <c r="D27" s="386">
        <v>100</v>
      </c>
      <c r="E27" s="565" t="str">
        <f>案例!D2</f>
        <v>中区</v>
      </c>
      <c r="F27" s="386">
        <f>SUMIF(89:89,E27,90:90)-SUMIF(89:89,C27,90:90)+100</f>
        <v>103</v>
      </c>
      <c r="G27" s="582" t="str">
        <f>案例!D3:D3</f>
        <v>中区</v>
      </c>
      <c r="H27" s="386">
        <f>SUMIF(89:89,G27,90:90)-SUMIF(89:89,C27,90:90)+100</f>
        <v>103</v>
      </c>
      <c r="I27" s="565" t="str">
        <f>案例!D4</f>
        <v>中区</v>
      </c>
      <c r="J27" s="386">
        <f>SUMIF(89:89,I27,90:90)-SUMIF(89:89,C27,90:90)+100</f>
        <v>103</v>
      </c>
      <c r="K27" s="3819">
        <v>3</v>
      </c>
      <c r="L27" s="2720"/>
      <c r="M27" s="2714"/>
      <c r="N27" s="2714"/>
      <c r="O27" s="2714"/>
      <c r="P27" s="3708"/>
      <c r="Q27" s="1352" t="str">
        <f t="shared" ref="Q27:Q47" si="11">B27</f>
        <v>楼层</v>
      </c>
      <c r="R27" s="705" t="s">
        <v>14</v>
      </c>
      <c r="S27" s="706">
        <f>F27</f>
        <v>103</v>
      </c>
      <c r="T27" s="705" t="s">
        <v>14</v>
      </c>
      <c r="U27" s="706">
        <f>H27</f>
        <v>103</v>
      </c>
      <c r="V27" s="705" t="s">
        <v>14</v>
      </c>
      <c r="W27" s="706">
        <f>J27</f>
        <v>103</v>
      </c>
      <c r="X27" s="1355"/>
      <c r="Y27" s="3710"/>
      <c r="Z27" s="1356" t="str">
        <f>Q27</f>
        <v>楼层</v>
      </c>
      <c r="AA27" s="1353">
        <f t="shared" si="3"/>
        <v>0.970873786407767</v>
      </c>
      <c r="AB27" s="1353">
        <f t="shared" si="4"/>
        <v>0.970873786407767</v>
      </c>
      <c r="AC27" s="1962">
        <f t="shared" si="5"/>
        <v>0.970873786407767</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08"/>
      <c r="Q28" s="1343" t="str">
        <f t="shared" si="11"/>
        <v>朝向</v>
      </c>
      <c r="R28" s="701" t="s">
        <v>14</v>
      </c>
      <c r="S28" s="702">
        <f>F28</f>
        <v>100</v>
      </c>
      <c r="T28" s="701" t="s">
        <v>14</v>
      </c>
      <c r="U28" s="702">
        <f>H28</f>
        <v>100</v>
      </c>
      <c r="V28" s="701" t="s">
        <v>14</v>
      </c>
      <c r="W28" s="702">
        <f>J28</f>
        <v>100</v>
      </c>
      <c r="X28" s="703"/>
      <c r="Y28" s="3710"/>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10"/>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08"/>
      <c r="Q30" s="1352">
        <f t="shared" si="11"/>
        <v>111</v>
      </c>
      <c r="R30" s="705" t="s">
        <v>14</v>
      </c>
      <c r="S30" s="706">
        <f t="shared" si="12"/>
        <v>100</v>
      </c>
      <c r="T30" s="705" t="s">
        <v>14</v>
      </c>
      <c r="U30" s="706">
        <f t="shared" si="13"/>
        <v>100</v>
      </c>
      <c r="V30" s="705" t="s">
        <v>14</v>
      </c>
      <c r="W30" s="706">
        <f t="shared" si="14"/>
        <v>100</v>
      </c>
      <c r="X30" s="1355"/>
      <c r="Y30" s="3710"/>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08"/>
      <c r="Q31" s="1352">
        <f t="shared" si="11"/>
        <v>111</v>
      </c>
      <c r="R31" s="705" t="s">
        <v>14</v>
      </c>
      <c r="S31" s="706">
        <f t="shared" si="12"/>
        <v>100</v>
      </c>
      <c r="T31" s="705" t="s">
        <v>14</v>
      </c>
      <c r="U31" s="706">
        <f t="shared" si="13"/>
        <v>100</v>
      </c>
      <c r="V31" s="705" t="s">
        <v>14</v>
      </c>
      <c r="W31" s="706">
        <f t="shared" si="14"/>
        <v>100</v>
      </c>
      <c r="X31" s="1355"/>
      <c r="Y31" s="3710"/>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08"/>
      <c r="Q32" s="1352">
        <f t="shared" si="11"/>
        <v>111</v>
      </c>
      <c r="R32" s="705" t="s">
        <v>14</v>
      </c>
      <c r="S32" s="706">
        <f t="shared" si="12"/>
        <v>100</v>
      </c>
      <c r="T32" s="705" t="s">
        <v>14</v>
      </c>
      <c r="U32" s="706">
        <f t="shared" si="13"/>
        <v>100</v>
      </c>
      <c r="V32" s="705" t="s">
        <v>14</v>
      </c>
      <c r="W32" s="706">
        <f t="shared" si="14"/>
        <v>100</v>
      </c>
      <c r="X32" s="1355"/>
      <c r="Y32" s="3710"/>
      <c r="Z32" s="1356">
        <f t="shared" si="15"/>
        <v>111</v>
      </c>
      <c r="AA32" s="1353">
        <f t="shared" si="3"/>
        <v>1</v>
      </c>
      <c r="AB32" s="1353">
        <f t="shared" si="4"/>
        <v>1</v>
      </c>
      <c r="AC32" s="1962">
        <f t="shared" si="5"/>
        <v>1</v>
      </c>
    </row>
    <row r="33" spans="1:29" ht="15">
      <c r="A33" s="391" t="s">
        <v>1694</v>
      </c>
      <c r="B33" s="63" t="s">
        <v>1817</v>
      </c>
      <c r="C33" s="3462" t="s">
        <v>3421</v>
      </c>
      <c r="D33" s="418">
        <v>100</v>
      </c>
      <c r="E33" s="3462" t="s">
        <v>3425</v>
      </c>
      <c r="F33" s="412">
        <f>SUMIF(101:101,E33,102:102)-SUMIF(101:101,C33,102:102)+100</f>
        <v>100</v>
      </c>
      <c r="G33" s="1967" t="s">
        <v>3420</v>
      </c>
      <c r="H33" s="386">
        <f>SUMIF(101:101,G33,102:102)-SUMIF(101:101,C33,102:102)+100</f>
        <v>100</v>
      </c>
      <c r="I33" s="3462" t="s">
        <v>3425</v>
      </c>
      <c r="J33" s="418">
        <f>SUMIF(101:101,I33,102:102)-SUMIF(101:101,C33,102:102)+100</f>
        <v>100</v>
      </c>
      <c r="K33" s="561">
        <v>1</v>
      </c>
      <c r="L33" s="2720"/>
      <c r="M33" s="2714"/>
      <c r="N33" s="2714"/>
      <c r="O33" s="2714"/>
      <c r="P33" s="3711" t="s">
        <v>1696</v>
      </c>
      <c r="Q33" s="1352" t="str">
        <f t="shared" si="11"/>
        <v>建筑类型</v>
      </c>
      <c r="R33" s="705" t="s">
        <v>14</v>
      </c>
      <c r="S33" s="706">
        <f t="shared" si="12"/>
        <v>100</v>
      </c>
      <c r="T33" s="705" t="s">
        <v>14</v>
      </c>
      <c r="U33" s="706">
        <f t="shared" si="13"/>
        <v>100</v>
      </c>
      <c r="V33" s="705" t="s">
        <v>14</v>
      </c>
      <c r="W33" s="706">
        <f t="shared" si="14"/>
        <v>100</v>
      </c>
      <c r="X33" s="1355"/>
      <c r="Y33" s="3714" t="s">
        <v>1696</v>
      </c>
      <c r="Z33" s="1356" t="str">
        <f t="shared" si="15"/>
        <v>建筑类型</v>
      </c>
      <c r="AA33" s="1353">
        <f t="shared" si="3"/>
        <v>1</v>
      </c>
      <c r="AB33" s="1353">
        <f t="shared" si="4"/>
        <v>1</v>
      </c>
      <c r="AC33" s="1962">
        <f t="shared" si="5"/>
        <v>1</v>
      </c>
    </row>
    <row r="34" spans="1:29" s="422" customFormat="1" ht="15">
      <c r="A34" s="419"/>
      <c r="B34" s="375" t="s">
        <v>1697</v>
      </c>
      <c r="C34" s="420">
        <f>'数据-汇总表'!E31</f>
        <v>75.58</v>
      </c>
      <c r="D34" s="127">
        <v>100</v>
      </c>
      <c r="E34" s="381">
        <f>案例!C2</f>
        <v>404</v>
      </c>
      <c r="F34" s="376">
        <f>LOOKUP(E34,104:104,105:105)-LOOKUP(C34,104:104,105:105)+100</f>
        <v>102</v>
      </c>
      <c r="G34" s="380">
        <f>案例!C3</f>
        <v>168</v>
      </c>
      <c r="H34" s="127">
        <f>LOOKUP(G34,104:104,105:105)-LOOKUP(C34,104:104,105:105)+100</f>
        <v>100</v>
      </c>
      <c r="I34" s="380">
        <f>案例!C4</f>
        <v>168.84</v>
      </c>
      <c r="J34" s="127">
        <f>LOOKUP(I34,104:104,105:105)-LOOKUP(C34,104:104,105:105)+100</f>
        <v>100</v>
      </c>
      <c r="K34" s="562"/>
      <c r="L34" s="2719"/>
      <c r="M34" s="2721"/>
      <c r="N34" s="2721"/>
      <c r="O34" s="2721"/>
      <c r="P34" s="3712"/>
      <c r="Q34" s="707" t="str">
        <f t="shared" si="11"/>
        <v>项目建筑规模</v>
      </c>
      <c r="R34" s="708" t="s">
        <v>14</v>
      </c>
      <c r="S34" s="709">
        <f t="shared" si="12"/>
        <v>102</v>
      </c>
      <c r="T34" s="708" t="s">
        <v>14</v>
      </c>
      <c r="U34" s="709">
        <f t="shared" si="13"/>
        <v>100</v>
      </c>
      <c r="V34" s="708" t="s">
        <v>14</v>
      </c>
      <c r="W34" s="709">
        <f t="shared" si="14"/>
        <v>100</v>
      </c>
      <c r="X34" s="710"/>
      <c r="Y34" s="3714"/>
      <c r="Z34" s="711" t="str">
        <f t="shared" si="15"/>
        <v>项目建筑规模</v>
      </c>
      <c r="AA34" s="1353">
        <f t="shared" si="3"/>
        <v>0.98039215686274506</v>
      </c>
      <c r="AB34" s="1353">
        <f t="shared" si="4"/>
        <v>1</v>
      </c>
      <c r="AC34" s="1962">
        <f t="shared" si="5"/>
        <v>1</v>
      </c>
    </row>
    <row r="35" spans="1:29" ht="15">
      <c r="A35" s="423"/>
      <c r="B35" s="375" t="s">
        <v>1698</v>
      </c>
      <c r="C35" s="411" t="s">
        <v>3426</v>
      </c>
      <c r="D35" s="386">
        <v>100</v>
      </c>
      <c r="E35" s="3474" t="s">
        <v>3427</v>
      </c>
      <c r="F35" s="412">
        <f>SUMIF(106:106,E35,107:107)-SUMIF(106:106,C35,107:107)+100</f>
        <v>100</v>
      </c>
      <c r="G35" s="411" t="s">
        <v>3426</v>
      </c>
      <c r="H35" s="386">
        <f>SUMIF(106:106,G35,107:107)-SUMIF(106:106,C35,107:107)+100</f>
        <v>100</v>
      </c>
      <c r="I35" s="3474" t="s">
        <v>3427</v>
      </c>
      <c r="J35" s="386">
        <f>SUMIF(106:106,I35,107:107)-SUMIF(106:106,C35,107:107)+100</f>
        <v>100</v>
      </c>
      <c r="K35" s="561">
        <v>2</v>
      </c>
      <c r="L35" s="2720"/>
      <c r="M35" s="2714"/>
      <c r="N35" s="2714"/>
      <c r="O35" s="2714"/>
      <c r="P35" s="3712"/>
      <c r="Q35" s="1352" t="str">
        <f t="shared" si="11"/>
        <v>建筑结构</v>
      </c>
      <c r="R35" s="705" t="s">
        <v>14</v>
      </c>
      <c r="S35" s="706">
        <f t="shared" si="12"/>
        <v>100</v>
      </c>
      <c r="T35" s="705" t="s">
        <v>14</v>
      </c>
      <c r="U35" s="706">
        <f t="shared" si="13"/>
        <v>100</v>
      </c>
      <c r="V35" s="705" t="s">
        <v>14</v>
      </c>
      <c r="W35" s="706">
        <f t="shared" si="14"/>
        <v>100</v>
      </c>
      <c r="X35" s="1355"/>
      <c r="Y35" s="3714"/>
      <c r="Z35" s="1356" t="str">
        <f t="shared" si="15"/>
        <v>建筑结构</v>
      </c>
      <c r="AA35" s="1353">
        <f t="shared" si="3"/>
        <v>1</v>
      </c>
      <c r="AB35" s="1353">
        <f t="shared" si="4"/>
        <v>1</v>
      </c>
      <c r="AC35" s="1962">
        <f t="shared" si="5"/>
        <v>1</v>
      </c>
    </row>
    <row r="36" spans="1:29" ht="15">
      <c r="A36" s="423"/>
      <c r="B36" s="375" t="s">
        <v>1785</v>
      </c>
      <c r="C36" s="411" t="s">
        <v>3429</v>
      </c>
      <c r="D36" s="386">
        <v>100</v>
      </c>
      <c r="E36" s="3474" t="s">
        <v>3430</v>
      </c>
      <c r="F36" s="412">
        <f>SUMIF(108:108,E36,109:109)-SUMIF(108:108,C36,109:109)+100</f>
        <v>100</v>
      </c>
      <c r="G36" s="411" t="s">
        <v>3429</v>
      </c>
      <c r="H36" s="386">
        <f>SUMIF(108:108,G36,109:109)-SUMIF(108:108,C36,109:109)+100</f>
        <v>100</v>
      </c>
      <c r="I36" s="3474" t="s">
        <v>3430</v>
      </c>
      <c r="J36" s="386">
        <f>SUMIF(108:108,I36,109:109)-SUMIF(108:108,C36,109:109)+100</f>
        <v>100</v>
      </c>
      <c r="K36" s="561">
        <v>1</v>
      </c>
      <c r="L36" s="2720"/>
      <c r="M36" s="2714"/>
      <c r="N36" s="2714"/>
      <c r="O36" s="2714"/>
      <c r="P36" s="3712"/>
      <c r="Q36" s="1352" t="str">
        <f t="shared" si="11"/>
        <v>公共部分装修</v>
      </c>
      <c r="R36" s="705" t="s">
        <v>14</v>
      </c>
      <c r="S36" s="706">
        <f t="shared" si="12"/>
        <v>100</v>
      </c>
      <c r="T36" s="705" t="s">
        <v>14</v>
      </c>
      <c r="U36" s="706">
        <f t="shared" si="13"/>
        <v>100</v>
      </c>
      <c r="V36" s="705" t="s">
        <v>14</v>
      </c>
      <c r="W36" s="706">
        <f t="shared" si="14"/>
        <v>100</v>
      </c>
      <c r="X36" s="1355"/>
      <c r="Y36" s="3714"/>
      <c r="Z36" s="1356" t="str">
        <f t="shared" si="15"/>
        <v>公共部分装修</v>
      </c>
      <c r="AA36" s="1353">
        <f t="shared" si="3"/>
        <v>1</v>
      </c>
      <c r="AB36" s="1353">
        <f t="shared" si="4"/>
        <v>1</v>
      </c>
      <c r="AC36" s="1962">
        <f t="shared" si="5"/>
        <v>1</v>
      </c>
    </row>
    <row r="37" spans="1:29" ht="15">
      <c r="A37" s="423"/>
      <c r="B37" s="375" t="s">
        <v>1786</v>
      </c>
      <c r="C37" s="425">
        <f>'数据-取费表'!N6</f>
        <v>0.74</v>
      </c>
      <c r="D37" s="386">
        <v>100</v>
      </c>
      <c r="E37" s="425">
        <v>0.76</v>
      </c>
      <c r="F37" s="412">
        <f>LOOKUP(E37,111:111,112:112)-LOOKUP(C37,111:111,112:112)+100</f>
        <v>100</v>
      </c>
      <c r="G37" s="425">
        <v>0.72</v>
      </c>
      <c r="H37" s="412">
        <f>LOOKUP(G37,111:111,112:112)-LOOKUP(C37,111:111,112:112)+100</f>
        <v>100</v>
      </c>
      <c r="I37" s="425">
        <v>0.73</v>
      </c>
      <c r="J37" s="386">
        <f>LOOKUP(I37,111:111,112:112)-LOOKUP(C37,111:111,112:112)+100</f>
        <v>100</v>
      </c>
      <c r="K37" s="561">
        <v>2</v>
      </c>
      <c r="L37" s="2720"/>
      <c r="M37" s="2714"/>
      <c r="N37" s="2714"/>
      <c r="O37" s="2714"/>
      <c r="P37" s="3712"/>
      <c r="Q37" s="1352" t="str">
        <f t="shared" si="11"/>
        <v>成新度</v>
      </c>
      <c r="R37" s="705" t="s">
        <v>14</v>
      </c>
      <c r="S37" s="706">
        <f t="shared" si="12"/>
        <v>100</v>
      </c>
      <c r="T37" s="705" t="s">
        <v>14</v>
      </c>
      <c r="U37" s="706">
        <f t="shared" si="13"/>
        <v>100</v>
      </c>
      <c r="V37" s="705" t="s">
        <v>14</v>
      </c>
      <c r="W37" s="706">
        <f t="shared" si="14"/>
        <v>100</v>
      </c>
      <c r="X37" s="1355"/>
      <c r="Y37" s="3714"/>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2"/>
      <c r="Q38" s="1343" t="str">
        <f t="shared" si="11"/>
        <v>写字楼等级</v>
      </c>
      <c r="R38" s="701" t="s">
        <v>14</v>
      </c>
      <c r="S38" s="702">
        <f t="shared" si="12"/>
        <v>100</v>
      </c>
      <c r="T38" s="701" t="s">
        <v>14</v>
      </c>
      <c r="U38" s="702">
        <f t="shared" si="13"/>
        <v>100</v>
      </c>
      <c r="V38" s="701" t="s">
        <v>14</v>
      </c>
      <c r="W38" s="702">
        <f t="shared" si="14"/>
        <v>100</v>
      </c>
      <c r="X38" s="703"/>
      <c r="Y38" s="3714"/>
      <c r="Z38" s="52" t="str">
        <f t="shared" si="15"/>
        <v>写字楼等级</v>
      </c>
      <c r="AA38" s="704">
        <f t="shared" si="3"/>
        <v>1</v>
      </c>
      <c r="AB38" s="704">
        <f t="shared" si="4"/>
        <v>1</v>
      </c>
      <c r="AC38" s="1959">
        <f t="shared" si="5"/>
        <v>1</v>
      </c>
    </row>
    <row r="39" spans="1:29" ht="15">
      <c r="A39" s="423"/>
      <c r="B39" s="375" t="s">
        <v>1819</v>
      </c>
      <c r="C39" s="411" t="s">
        <v>3432</v>
      </c>
      <c r="D39" s="386">
        <v>100</v>
      </c>
      <c r="E39" s="3474" t="s">
        <v>3433</v>
      </c>
      <c r="F39" s="412">
        <f>SUMIF(115:115,E39,116:116)-SUMIF(115:115,C39,116:116)+100</f>
        <v>100</v>
      </c>
      <c r="G39" s="411" t="s">
        <v>3432</v>
      </c>
      <c r="H39" s="386">
        <f>SUMIF(115:115,G39,116:116)-SUMIF(115:115,C39,116:116)+100</f>
        <v>100</v>
      </c>
      <c r="I39" s="411" t="s">
        <v>3432</v>
      </c>
      <c r="J39" s="386">
        <f>SUMIF(115:115,I39,116:116)-SUMIF(115:115,C39,116:116)+100</f>
        <v>100</v>
      </c>
      <c r="K39" s="561">
        <v>2</v>
      </c>
      <c r="L39" s="2720"/>
      <c r="M39" s="2714"/>
      <c r="N39" s="2714"/>
      <c r="O39" s="2714"/>
      <c r="P39" s="3712" t="s">
        <v>1696</v>
      </c>
      <c r="Q39" s="1352" t="str">
        <f t="shared" si="11"/>
        <v>物业管理</v>
      </c>
      <c r="R39" s="705" t="s">
        <v>14</v>
      </c>
      <c r="S39" s="706">
        <f t="shared" si="12"/>
        <v>100</v>
      </c>
      <c r="T39" s="705" t="s">
        <v>14</v>
      </c>
      <c r="U39" s="706">
        <f t="shared" si="13"/>
        <v>100</v>
      </c>
      <c r="V39" s="705" t="s">
        <v>14</v>
      </c>
      <c r="W39" s="706">
        <f t="shared" si="14"/>
        <v>100</v>
      </c>
      <c r="X39" s="1355"/>
      <c r="Y39" s="3714" t="s">
        <v>1696</v>
      </c>
      <c r="Z39" s="1356" t="str">
        <f t="shared" si="15"/>
        <v>物业管理</v>
      </c>
      <c r="AA39" s="1353">
        <f t="shared" si="3"/>
        <v>1</v>
      </c>
      <c r="AB39" s="1353">
        <f t="shared" si="4"/>
        <v>1</v>
      </c>
      <c r="AC39" s="1962">
        <f t="shared" si="5"/>
        <v>1</v>
      </c>
    </row>
    <row r="40" spans="1:29" ht="15">
      <c r="A40" s="423"/>
      <c r="B40" s="375" t="s">
        <v>1787</v>
      </c>
      <c r="C40" s="411" t="s">
        <v>3435</v>
      </c>
      <c r="D40" s="386">
        <v>100</v>
      </c>
      <c r="E40" s="3474" t="s">
        <v>3436</v>
      </c>
      <c r="F40" s="412">
        <f>SUMIF(117:117,E40,118:118)-SUMIF(117:117,C40,118:118)+100</f>
        <v>100</v>
      </c>
      <c r="G40" s="411" t="s">
        <v>3435</v>
      </c>
      <c r="H40" s="386">
        <f>SUMIF(117:117,G40,118:118)-SUMIF(117:117,C40,118:118)+100</f>
        <v>100</v>
      </c>
      <c r="I40" s="411" t="s">
        <v>3435</v>
      </c>
      <c r="J40" s="386">
        <f>SUMIF(117:117,I40,118:118)-SUMIF(117:117,C40,118:118)+100</f>
        <v>100</v>
      </c>
      <c r="K40" s="561">
        <v>1</v>
      </c>
      <c r="L40" s="2720"/>
      <c r="M40" s="2714"/>
      <c r="N40" s="2714"/>
      <c r="O40" s="2714"/>
      <c r="P40" s="3712"/>
      <c r="Q40" s="1352" t="str">
        <f t="shared" si="11"/>
        <v>市政基础设施</v>
      </c>
      <c r="R40" s="705" t="s">
        <v>14</v>
      </c>
      <c r="S40" s="706">
        <f t="shared" si="12"/>
        <v>100</v>
      </c>
      <c r="T40" s="705" t="s">
        <v>14</v>
      </c>
      <c r="U40" s="706">
        <f t="shared" si="13"/>
        <v>100</v>
      </c>
      <c r="V40" s="705" t="s">
        <v>14</v>
      </c>
      <c r="W40" s="706">
        <f t="shared" si="14"/>
        <v>100</v>
      </c>
      <c r="X40" s="1355"/>
      <c r="Y40" s="3714"/>
      <c r="Z40" s="1356" t="str">
        <f t="shared" si="15"/>
        <v>市政基础设施</v>
      </c>
      <c r="AA40" s="1353">
        <f t="shared" si="3"/>
        <v>1</v>
      </c>
      <c r="AB40" s="1353">
        <f t="shared" si="4"/>
        <v>1</v>
      </c>
      <c r="AC40" s="1962">
        <f t="shared" si="5"/>
        <v>1</v>
      </c>
    </row>
    <row r="41" spans="1:29" ht="15">
      <c r="A41" s="423"/>
      <c r="B41" s="375" t="s">
        <v>1789</v>
      </c>
      <c r="C41" s="565" t="s">
        <v>3438</v>
      </c>
      <c r="D41" s="386">
        <v>100</v>
      </c>
      <c r="E41" s="3475" t="s">
        <v>3439</v>
      </c>
      <c r="F41" s="412">
        <f>SUMIF(119:119,E41,120:120)-SUMIF(119:119,C41,120:120)+100</f>
        <v>100</v>
      </c>
      <c r="G41" s="565" t="s">
        <v>3438</v>
      </c>
      <c r="H41" s="386">
        <f>SUMIF(119:119,G41,120:120)-SUMIF(119:119,C41,120:120)+100</f>
        <v>100</v>
      </c>
      <c r="I41" s="565" t="s">
        <v>3438</v>
      </c>
      <c r="J41" s="386">
        <f>SUMIF(119:119,I41,120:120)-SUMIF(119:119,C41,120:120)+100</f>
        <v>100</v>
      </c>
      <c r="K41" s="561">
        <v>2</v>
      </c>
      <c r="L41" s="2720"/>
      <c r="M41" s="2714"/>
      <c r="N41" s="2714"/>
      <c r="O41" s="2714"/>
      <c r="P41" s="3712"/>
      <c r="Q41" s="1352" t="str">
        <f t="shared" si="11"/>
        <v>层高</v>
      </c>
      <c r="R41" s="705" t="s">
        <v>14</v>
      </c>
      <c r="S41" s="706">
        <f t="shared" si="12"/>
        <v>100</v>
      </c>
      <c r="T41" s="705" t="s">
        <v>14</v>
      </c>
      <c r="U41" s="706">
        <f t="shared" si="13"/>
        <v>100</v>
      </c>
      <c r="V41" s="705" t="s">
        <v>14</v>
      </c>
      <c r="W41" s="706">
        <f t="shared" si="14"/>
        <v>100</v>
      </c>
      <c r="X41" s="1355"/>
      <c r="Y41" s="3714"/>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2"/>
      <c r="Q42" s="707" t="str">
        <f t="shared" si="11"/>
        <v>单套建筑面积</v>
      </c>
      <c r="R42" s="708" t="s">
        <v>14</v>
      </c>
      <c r="S42" s="709">
        <f t="shared" si="12"/>
        <v>100</v>
      </c>
      <c r="T42" s="708" t="s">
        <v>14</v>
      </c>
      <c r="U42" s="709">
        <f t="shared" si="13"/>
        <v>100</v>
      </c>
      <c r="V42" s="708" t="s">
        <v>14</v>
      </c>
      <c r="W42" s="709">
        <f t="shared" si="14"/>
        <v>100</v>
      </c>
      <c r="X42" s="710"/>
      <c r="Y42" s="3714"/>
      <c r="Z42" s="711" t="str">
        <f t="shared" si="15"/>
        <v>单套建筑面积</v>
      </c>
      <c r="AA42" s="1353">
        <f t="shared" si="3"/>
        <v>1</v>
      </c>
      <c r="AB42" s="1353">
        <f t="shared" si="4"/>
        <v>1</v>
      </c>
      <c r="AC42" s="1962">
        <f t="shared" si="5"/>
        <v>1</v>
      </c>
    </row>
    <row r="43" spans="1:29" ht="15">
      <c r="A43" s="423"/>
      <c r="B43" s="375" t="s">
        <v>1792</v>
      </c>
      <c r="C43" s="411" t="s">
        <v>3408</v>
      </c>
      <c r="D43" s="386">
        <v>100</v>
      </c>
      <c r="E43" s="411" t="s">
        <v>3408</v>
      </c>
      <c r="F43" s="412">
        <f>SUMIF(123:123,E43,124:124)-SUMIF(123:123,C43,124:124)+100</f>
        <v>100</v>
      </c>
      <c r="G43" s="3820" t="s">
        <v>3408</v>
      </c>
      <c r="H43" s="386">
        <f>SUMIF(123:123,G43,124:124)-SUMIF(123:123,C43,124:124)+100</f>
        <v>100</v>
      </c>
      <c r="I43" s="3820" t="s">
        <v>3408</v>
      </c>
      <c r="J43" s="386">
        <f>SUMIF(123:123,I43,124:124)-SUMIF(123:123,C43,124:124)+100</f>
        <v>100</v>
      </c>
      <c r="K43" s="561">
        <v>1</v>
      </c>
      <c r="L43" s="2720"/>
      <c r="M43" s="2714"/>
      <c r="N43" s="2714"/>
      <c r="O43" s="2714"/>
      <c r="P43" s="3712"/>
      <c r="Q43" s="1352" t="str">
        <f t="shared" si="11"/>
        <v>内部装修</v>
      </c>
      <c r="R43" s="705" t="s">
        <v>14</v>
      </c>
      <c r="S43" s="706">
        <f t="shared" si="12"/>
        <v>100</v>
      </c>
      <c r="T43" s="705" t="s">
        <v>14</v>
      </c>
      <c r="U43" s="706">
        <f t="shared" si="13"/>
        <v>100</v>
      </c>
      <c r="V43" s="705" t="s">
        <v>14</v>
      </c>
      <c r="W43" s="706">
        <f t="shared" si="14"/>
        <v>100</v>
      </c>
      <c r="X43" s="1355"/>
      <c r="Y43" s="3714"/>
      <c r="Z43" s="1356" t="str">
        <f t="shared" si="15"/>
        <v>内部装修</v>
      </c>
      <c r="AA43" s="1353">
        <f t="shared" si="3"/>
        <v>1</v>
      </c>
      <c r="AB43" s="1353">
        <f t="shared" si="4"/>
        <v>1</v>
      </c>
      <c r="AC43" s="1962">
        <f t="shared" si="5"/>
        <v>1</v>
      </c>
    </row>
    <row r="44" spans="1:29" ht="15.75" thickBot="1">
      <c r="A44" s="423"/>
      <c r="B44" s="375" t="s">
        <v>1707</v>
      </c>
      <c r="C44" s="411" t="s">
        <v>3395</v>
      </c>
      <c r="D44" s="386">
        <v>100</v>
      </c>
      <c r="E44" s="3476" t="s">
        <v>3442</v>
      </c>
      <c r="F44" s="412">
        <f>SUMIF(125:125,E44,126:126)-SUMIF(125:125,C44,126:126)+100</f>
        <v>100</v>
      </c>
      <c r="G44" s="3476" t="s">
        <v>3442</v>
      </c>
      <c r="H44" s="386">
        <f>SUMIF(125:125,G44,126:126)-SUMIF(125:125,C44,126:126)+100</f>
        <v>100</v>
      </c>
      <c r="I44" s="3476" t="s">
        <v>3442</v>
      </c>
      <c r="J44" s="386">
        <f>SUMIF(125:125,I44,126:126)-SUMIF(125:125,C44,126:126)+100</f>
        <v>100</v>
      </c>
      <c r="K44" s="561">
        <v>1</v>
      </c>
      <c r="L44" s="2720"/>
      <c r="M44" s="2714"/>
      <c r="N44" s="2714"/>
      <c r="O44" s="2714"/>
      <c r="P44" s="3712"/>
      <c r="Q44" s="1352" t="str">
        <f t="shared" si="11"/>
        <v>内部装修维护情况</v>
      </c>
      <c r="R44" s="705" t="s">
        <v>14</v>
      </c>
      <c r="S44" s="706">
        <f t="shared" si="12"/>
        <v>100</v>
      </c>
      <c r="T44" s="705" t="s">
        <v>14</v>
      </c>
      <c r="U44" s="706">
        <f t="shared" si="13"/>
        <v>100</v>
      </c>
      <c r="V44" s="705" t="s">
        <v>14</v>
      </c>
      <c r="W44" s="706">
        <f t="shared" si="14"/>
        <v>100</v>
      </c>
      <c r="X44" s="1355"/>
      <c r="Y44" s="3714"/>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2"/>
      <c r="Q45" s="1343">
        <f t="shared" si="11"/>
        <v>111</v>
      </c>
      <c r="R45" s="701" t="s">
        <v>14</v>
      </c>
      <c r="S45" s="702">
        <f t="shared" si="12"/>
        <v>100</v>
      </c>
      <c r="T45" s="701" t="s">
        <v>14</v>
      </c>
      <c r="U45" s="702">
        <f t="shared" si="13"/>
        <v>100</v>
      </c>
      <c r="V45" s="701" t="s">
        <v>14</v>
      </c>
      <c r="W45" s="702">
        <f t="shared" si="14"/>
        <v>100</v>
      </c>
      <c r="X45" s="703"/>
      <c r="Y45" s="3714"/>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2"/>
      <c r="Q46" s="1352">
        <f t="shared" si="11"/>
        <v>111</v>
      </c>
      <c r="R46" s="705" t="s">
        <v>14</v>
      </c>
      <c r="S46" s="706">
        <f t="shared" si="12"/>
        <v>100</v>
      </c>
      <c r="T46" s="705" t="s">
        <v>14</v>
      </c>
      <c r="U46" s="706">
        <f t="shared" si="13"/>
        <v>100</v>
      </c>
      <c r="V46" s="705" t="s">
        <v>14</v>
      </c>
      <c r="W46" s="706">
        <f t="shared" si="14"/>
        <v>100</v>
      </c>
      <c r="X46" s="1355"/>
      <c r="Y46" s="3714"/>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3"/>
      <c r="Q47" s="1352">
        <f t="shared" si="11"/>
        <v>111</v>
      </c>
      <c r="R47" s="705" t="s">
        <v>14</v>
      </c>
      <c r="S47" s="706">
        <f t="shared" si="12"/>
        <v>100</v>
      </c>
      <c r="T47" s="705" t="s">
        <v>14</v>
      </c>
      <c r="U47" s="706">
        <f t="shared" si="13"/>
        <v>100</v>
      </c>
      <c r="V47" s="705" t="s">
        <v>14</v>
      </c>
      <c r="W47" s="706">
        <f t="shared" si="14"/>
        <v>100</v>
      </c>
      <c r="X47" s="1355"/>
      <c r="Y47" s="3715"/>
      <c r="Z47" s="1356">
        <f t="shared" si="15"/>
        <v>111</v>
      </c>
      <c r="AA47" s="1353">
        <f t="shared" si="3"/>
        <v>1</v>
      </c>
      <c r="AB47" s="1353">
        <f t="shared" si="4"/>
        <v>1</v>
      </c>
      <c r="AC47" s="1962">
        <f t="shared" si="5"/>
        <v>1</v>
      </c>
    </row>
    <row r="48" spans="1:29" ht="15">
      <c r="A48" s="430" t="s">
        <v>1708</v>
      </c>
      <c r="B48" s="431"/>
      <c r="C48" s="1154" t="s">
        <v>0</v>
      </c>
      <c r="D48" s="1155"/>
      <c r="E48" s="1156">
        <f>案例!B2</f>
        <v>43317</v>
      </c>
      <c r="F48" s="1157"/>
      <c r="G48" s="1158">
        <f>案例!B3</f>
        <v>41072</v>
      </c>
      <c r="H48" s="1159"/>
      <c r="I48" s="1156">
        <f>案例!B4</f>
        <v>47383</v>
      </c>
      <c r="J48" s="436"/>
      <c r="K48" s="714"/>
      <c r="L48" s="2722"/>
      <c r="M48" s="2714"/>
      <c r="N48" s="2714"/>
      <c r="O48" s="2714"/>
      <c r="P48" s="3687" t="str">
        <f>A48</f>
        <v>成交单价（元/平方米）</v>
      </c>
      <c r="Q48" s="3716"/>
      <c r="R48" s="3717">
        <f>E48</f>
        <v>43317</v>
      </c>
      <c r="S48" s="3717"/>
      <c r="T48" s="3717">
        <f>G48</f>
        <v>41072</v>
      </c>
      <c r="U48" s="3717"/>
      <c r="V48" s="3717">
        <f>I48</f>
        <v>47383</v>
      </c>
      <c r="W48" s="3717"/>
      <c r="X48" s="397"/>
      <c r="Y48" s="712"/>
      <c r="Z48" s="397"/>
      <c r="AA48" s="397"/>
      <c r="AB48" s="397"/>
      <c r="AC48" s="578"/>
    </row>
    <row r="49" spans="1:29" ht="15.75" thickBot="1">
      <c r="A49" s="437" t="s">
        <v>1793</v>
      </c>
      <c r="B49" s="438"/>
      <c r="C49" s="1160">
        <f>R50</f>
        <v>40352</v>
      </c>
      <c r="D49" s="2317" t="s">
        <v>2138</v>
      </c>
      <c r="E49" s="1161">
        <f>R49</f>
        <v>39267</v>
      </c>
      <c r="F49" s="2318"/>
      <c r="G49" s="1160">
        <f>T49</f>
        <v>37977</v>
      </c>
      <c r="H49" s="2318"/>
      <c r="I49" s="1161">
        <f>V49</f>
        <v>43812</v>
      </c>
      <c r="J49" s="2318"/>
      <c r="K49" s="2320">
        <f>F49+H49+J49</f>
        <v>0</v>
      </c>
      <c r="L49" s="2722"/>
      <c r="M49" s="2714"/>
      <c r="N49" s="2714"/>
      <c r="O49" s="2714"/>
      <c r="P49" s="3687" t="str">
        <f>A49</f>
        <v>比较价值（元/平方米）</v>
      </c>
      <c r="Q49" s="3716"/>
      <c r="R49" s="3717">
        <f>IF(F1="售价",ROUND(PRODUCT(R48,AA7:AA47),0),ROUND(PRODUCT(R48,AA7:AA47),1))</f>
        <v>39267</v>
      </c>
      <c r="S49" s="3717"/>
      <c r="T49" s="3717">
        <f>IF(F1="售价",ROUND(PRODUCT(T48,AB7:AB47),0),ROUND(PRODUCT(T48,AB7:AB47),1))</f>
        <v>37977</v>
      </c>
      <c r="U49" s="3717"/>
      <c r="V49" s="3717">
        <f>IF(F1="售价",ROUND(PRODUCT(V48,AC7:AC47),0),ROUND(PRODUCT(V48,AC7:AC47),1))</f>
        <v>43812</v>
      </c>
      <c r="W49" s="3717"/>
      <c r="X49" s="397"/>
      <c r="Y49" s="397"/>
      <c r="Z49" s="397"/>
      <c r="AA49" s="397"/>
      <c r="AB49" s="397"/>
      <c r="AC49" s="578"/>
    </row>
    <row r="50" spans="1:29" ht="15.75" thickBot="1">
      <c r="A50" s="441" t="s">
        <v>1794</v>
      </c>
      <c r="B50" s="442"/>
      <c r="C50" s="1163">
        <f>R50</f>
        <v>40352</v>
      </c>
      <c r="D50" s="1163"/>
      <c r="E50" s="1163"/>
      <c r="F50" s="1163"/>
      <c r="G50" s="1163"/>
      <c r="H50" s="1163"/>
      <c r="I50" s="1163"/>
      <c r="J50" s="443"/>
      <c r="K50" s="715"/>
      <c r="L50" s="2722"/>
      <c r="M50" s="2714"/>
      <c r="N50" s="2714"/>
      <c r="O50" s="2714"/>
      <c r="P50" s="3718" t="str">
        <f>A50</f>
        <v>估价对象XX用房的比较价值（楼面单价，元/平方米）</v>
      </c>
      <c r="Q50" s="3719"/>
      <c r="R50" s="3720">
        <f>IF(F1="售价",ROUND(IF(D49="简单平均",AVERAGE(R49:V49),R49*F49+T49*H49+V49*J49),0),ROUND(IF(D49="简单平均",AVERAGE(R49:V49),R49*F49+T49*H49+V49*J49),1))</f>
        <v>40352</v>
      </c>
      <c r="S50" s="3720"/>
      <c r="T50" s="3720"/>
      <c r="U50" s="3720"/>
      <c r="V50" s="3720"/>
      <c r="W50" s="3720"/>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0.10314004125601661</v>
      </c>
      <c r="F53" s="449" t="str">
        <f>IF(OR(E53&gt;=0.3,E53&lt;=-0.3),"超过30%","")</f>
        <v/>
      </c>
      <c r="G53" s="448">
        <f>IF(G48&lt;G49,G49/G48-1,G48/G49-1)</f>
        <v>8.1496695368249217E-2</v>
      </c>
      <c r="H53" s="449" t="str">
        <f>IF(OR(G53&gt;=0.3,G53&lt;=-0.3),"超过30%","")</f>
        <v/>
      </c>
      <c r="I53" s="448">
        <f>IF(I48&lt;I49,I49/I48-1,I48/I49-1)</f>
        <v>8.1507349584588606E-2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3.3967927956394695E-2</v>
      </c>
      <c r="F54" s="449" t="str">
        <f>IF(OR(E54&gt;=0.2,E54&lt;=-0.2),"超过20%","")</f>
        <v/>
      </c>
      <c r="G54" s="448">
        <f>IF(G49&lt;I49,I49/G49-1,G49/I49-1)</f>
        <v>0.1536456276167153</v>
      </c>
      <c r="H54" s="449" t="str">
        <f>IF(OR(G54&gt;=0.2,G54&lt;=-0.2),"超过20%","")</f>
        <v/>
      </c>
      <c r="I54" s="448">
        <f>IF(I49&lt;E49,E49/I49-1,I49/E49-1)</f>
        <v>0.11574604629841856</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5.4660109076743346E-2</v>
      </c>
      <c r="F55" s="449" t="str">
        <f>IF(OR(E55&gt;=0.3,E55&lt;=-0.3),"超过30%","")</f>
        <v/>
      </c>
      <c r="G55" s="448">
        <f>IF(G48&lt;I48,I48/G48-1,G48/I48-1)</f>
        <v>0.15365699259836374</v>
      </c>
      <c r="H55" s="449" t="str">
        <f>IF(OR(G55&gt;=0.3,G55&lt;=-0.3),"超过30%","")</f>
        <v/>
      </c>
      <c r="I55" s="448">
        <f>IF(I48&lt;E48,E48/I48-1,I48/E48-1)</f>
        <v>9.3866149548676114E-2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63" t="s">
        <v>3422</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hidden="1"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hidden="1"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hidden="1"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hidden="1">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hidden="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hidden="1"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hidden="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hidden="1"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hidden="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hidden="1"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hidden="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hidden="1"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hidden="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64" t="s">
        <v>3423</v>
      </c>
      <c r="D89" s="3464" t="s">
        <v>3424</v>
      </c>
      <c r="E89" s="3464" t="s">
        <v>3419</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2"/>
      <c r="O90" s="2752"/>
      <c r="P90" s="2760"/>
      <c r="Q90" s="2737"/>
      <c r="R90" s="2659"/>
      <c r="S90" s="2659"/>
      <c r="T90" s="2659"/>
      <c r="U90" s="2659"/>
      <c r="V90" s="2659"/>
      <c r="W90" s="2659"/>
      <c r="X90" s="2659"/>
      <c r="Y90" s="2659"/>
      <c r="Z90" s="2659"/>
      <c r="AA90" s="2659"/>
      <c r="AB90" s="2659"/>
      <c r="AC90" s="2659"/>
    </row>
    <row r="91" spans="1:29" s="422" customFormat="1" ht="15.75" hidden="1"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hidden="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hidden="1"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hidden="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hidden="1"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hidden="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hidden="1"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hidden="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hidden="1"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hidden="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65" t="s">
        <v>3425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0(含)-75</v>
      </c>
      <c r="D103" s="527" t="str">
        <f t="shared" ref="D103:L103" si="23">D104&amp;"(含)"&amp;"-"&amp;E104</f>
        <v>75(含)-300</v>
      </c>
      <c r="E103" s="527" t="str">
        <f t="shared" si="23"/>
        <v>300(含)-500</v>
      </c>
      <c r="F103" s="527" t="str">
        <f t="shared" si="23"/>
        <v>500(含)-800</v>
      </c>
      <c r="G103" s="527" t="str">
        <f t="shared" si="23"/>
        <v>800(含)-1200</v>
      </c>
      <c r="H103" s="527" t="str">
        <f t="shared" si="23"/>
        <v>1200(含)-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3821">
        <v>0</v>
      </c>
      <c r="D104" s="3821">
        <v>75</v>
      </c>
      <c r="E104" s="3821">
        <v>300</v>
      </c>
      <c r="F104" s="3821">
        <v>500</v>
      </c>
      <c r="G104" s="3821">
        <v>800</v>
      </c>
      <c r="H104" s="3821">
        <v>1200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3822">
        <f>D105-2</f>
        <v>96</v>
      </c>
      <c r="D105" s="3822">
        <v>98</v>
      </c>
      <c r="E105" s="3822">
        <v>100</v>
      </c>
      <c r="F105" s="3822">
        <f>E105-2</f>
        <v>98</v>
      </c>
      <c r="G105" s="3822">
        <f t="shared" ref="G105:H105" si="24">F105-2</f>
        <v>96</v>
      </c>
      <c r="H105" s="3822">
        <f t="shared" si="24"/>
        <v>94</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4" t="s">
        <v>3427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4" t="s">
        <v>3428</v>
      </c>
      <c r="D108" s="3464" t="s">
        <v>3430</v>
      </c>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hidden="1"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hidden="1"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64" t="s">
        <v>3431</v>
      </c>
      <c r="D115" s="3464" t="s">
        <v>3433</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64" t="s">
        <v>3434</v>
      </c>
      <c r="D117" s="3464" t="s">
        <v>3436</v>
      </c>
      <c r="E117" s="3464" t="s">
        <v>3437</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66" t="s">
        <v>3439</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hidden="1"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hidden="1"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4" t="s">
        <v>3428</v>
      </c>
      <c r="D123" s="3464" t="s">
        <v>3430</v>
      </c>
      <c r="E123" s="3464" t="s">
        <v>3440</v>
      </c>
      <c r="F123" s="3466" t="s">
        <v>3441</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hidden="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hidden="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hidden="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5" zoomScaleNormal="70" zoomScaleSheetLayoutView="85" workbookViewId="0">
      <selection activeCell="C37" sqref="C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204.25389999999999</v>
      </c>
      <c r="C2" s="1387" t="s">
        <v>879</v>
      </c>
      <c r="D2" s="1471">
        <f ca="1">C40+J29+L46</f>
        <v>2042539</v>
      </c>
      <c r="E2" s="1388" t="s">
        <v>880</v>
      </c>
      <c r="F2" s="1389"/>
      <c r="G2" s="2704"/>
      <c r="H2" s="2693"/>
      <c r="I2" s="2693"/>
      <c r="J2" s="2693"/>
      <c r="K2" s="2694"/>
      <c r="L2" s="2693"/>
      <c r="M2" s="2693"/>
    </row>
    <row r="3" spans="1:37" ht="18" customHeight="1" thickBot="1">
      <c r="A3" s="1390" t="s">
        <v>881</v>
      </c>
      <c r="B3" s="1391">
        <f ca="1">IF(ISERROR(D2/F43),0,ROUND(D2/F43,0))</f>
        <v>27025</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139211</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139037</v>
      </c>
      <c r="D6" s="155" t="s">
        <v>2106</v>
      </c>
      <c r="E6" s="302" t="s">
        <v>696</v>
      </c>
      <c r="F6" s="303">
        <f ca="1">INDIRECT("'数据-取费表'!u"&amp;$G$1)</f>
        <v>5.6</v>
      </c>
      <c r="G6" s="1384"/>
      <c r="H6" s="1069" t="s">
        <v>398</v>
      </c>
      <c r="I6" s="3666" t="s">
        <v>694</v>
      </c>
      <c r="J6" s="301">
        <f ca="1">ROUND(M6*M8*M7*(1-M9),0)</f>
        <v>0</v>
      </c>
      <c r="K6" s="1376" t="s">
        <v>2107</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75.58</v>
      </c>
      <c r="G7" s="1384"/>
      <c r="H7" s="304"/>
      <c r="I7" s="3667"/>
      <c r="J7" s="306"/>
      <c r="K7" s="307"/>
      <c r="L7" s="302" t="s">
        <v>697</v>
      </c>
      <c r="M7" s="303">
        <f ca="1">F7</f>
        <v>75.58</v>
      </c>
    </row>
    <row r="8" spans="1:37" ht="18" customHeight="1">
      <c r="A8" s="304"/>
      <c r="B8" s="3667"/>
      <c r="C8" s="306"/>
      <c r="D8" s="307"/>
      <c r="E8" s="302" t="s">
        <v>698</v>
      </c>
      <c r="F8" s="303">
        <f ca="1">INDIRECT("'数据-取费表'!ai"&amp;$G$1)</f>
        <v>365</v>
      </c>
      <c r="G8" s="1384"/>
      <c r="H8" s="304"/>
      <c r="I8" s="3667"/>
      <c r="J8" s="306"/>
      <c r="K8" s="307"/>
      <c r="L8" s="302" t="s">
        <v>698</v>
      </c>
      <c r="M8" s="303">
        <f ca="1">INDIRECT("'数据-取费表'!ai"&amp;$G$1)</f>
        <v>365</v>
      </c>
    </row>
    <row r="9" spans="1:37" ht="18" customHeight="1">
      <c r="A9" s="304"/>
      <c r="B9" s="3668"/>
      <c r="C9" s="306"/>
      <c r="D9" s="307"/>
      <c r="E9" s="302" t="s">
        <v>699</v>
      </c>
      <c r="F9" s="312">
        <f ca="1">INDIRECT("'数据-取费表'!w"&amp;$G$1)</f>
        <v>0.1</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174</v>
      </c>
      <c r="D10" s="1366" t="s">
        <v>2116</v>
      </c>
      <c r="E10" s="313" t="s">
        <v>701</v>
      </c>
      <c r="F10" s="1116" t="s">
        <v>3447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352873</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332552</v>
      </c>
      <c r="D14" s="1345" t="s">
        <v>708</v>
      </c>
      <c r="E14" s="1342"/>
      <c r="F14" s="319"/>
      <c r="G14" s="1384"/>
      <c r="H14" s="982" t="s">
        <v>398</v>
      </c>
      <c r="I14" s="302" t="s">
        <v>709</v>
      </c>
      <c r="J14" s="21">
        <f ca="1">C29</f>
        <v>476856</v>
      </c>
      <c r="K14" s="12"/>
      <c r="L14" s="807"/>
      <c r="M14" s="808"/>
    </row>
    <row r="15" spans="1:37" s="1397" customFormat="1" ht="18" customHeight="1" thickBot="1">
      <c r="A15" s="982" t="s">
        <v>399</v>
      </c>
      <c r="B15" s="302" t="s">
        <v>710</v>
      </c>
      <c r="C15" s="21">
        <f ca="1">ROUND(C14*F15,0)</f>
        <v>9977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4769</v>
      </c>
      <c r="K16" s="1087" t="s">
        <v>715</v>
      </c>
      <c r="L16" s="1088"/>
      <c r="M16" s="1072"/>
    </row>
    <row r="17" spans="1:37" s="1397" customFormat="1" ht="18" customHeight="1">
      <c r="A17" s="982" t="s">
        <v>681</v>
      </c>
      <c r="B17" s="302" t="s">
        <v>716</v>
      </c>
      <c r="C17" s="21">
        <f ca="1">ROUND(F17*(F43+INDIRECT("'数据-取费表'!S"&amp;$G$1)),0)</f>
        <v>15116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6651</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364296</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7286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4769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12819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-4769</v>
      </c>
      <c r="K25" s="1095" t="s">
        <v>753</v>
      </c>
      <c r="L25" s="1096"/>
      <c r="M25" s="1097"/>
    </row>
    <row r="26" spans="1:37" ht="18" customHeight="1">
      <c r="A26" s="982" t="s">
        <v>397</v>
      </c>
      <c r="B26" s="302" t="s">
        <v>754</v>
      </c>
      <c r="C26" s="21">
        <f ca="1">ROUND((C19+C20)*F26,0)</f>
        <v>55737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476856</v>
      </c>
      <c r="D29" s="1092"/>
      <c r="E29" s="1090"/>
      <c r="F29" s="1093"/>
      <c r="G29" s="1396"/>
      <c r="H29" s="334" t="s">
        <v>396</v>
      </c>
      <c r="I29" s="335" t="s">
        <v>768</v>
      </c>
      <c r="J29" s="336">
        <f ca="1">ROUND(J26/(1+F40)^F41,0)</f>
        <v>0</v>
      </c>
      <c r="K29" s="337" t="s">
        <v>769</v>
      </c>
      <c r="L29" s="338"/>
      <c r="M29" s="339">
        <f ca="1">INDIRECT("'数据-取费表'!k"&amp;$G$1)</f>
        <v>75.58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29995</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23305</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IF(项目基本情况!B11="自然人","——",ROUND(C6*F32/(1+'数据-取费表'!C42),0))</f>
        <v>7415</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15890</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4769</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529</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ROUND(C5*F38,0)</f>
        <v>1392</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109216</v>
      </c>
      <c r="D39" s="1095" t="s">
        <v>773</v>
      </c>
      <c r="E39" s="1096"/>
      <c r="F39" s="1097"/>
      <c r="G39" s="1384"/>
      <c r="H39" s="2698"/>
      <c r="I39" s="1398"/>
      <c r="J39" s="1399"/>
      <c r="K39" s="2702"/>
      <c r="L39" s="2698"/>
      <c r="M39" s="2698"/>
    </row>
    <row r="40" spans="1:18" ht="18" customHeight="1">
      <c r="A40" s="299" t="s">
        <v>395</v>
      </c>
      <c r="B40" s="300" t="s">
        <v>774</v>
      </c>
      <c r="C40" s="301">
        <f ca="1">ROUND(C39*(1-((1+F42)/(1+F40))^F41)/(F40-F42),0)</f>
        <v>2017362</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ROUND(C40/F43,0)</f>
        <v>26692</v>
      </c>
      <c r="D43" s="337" t="s">
        <v>777</v>
      </c>
      <c r="E43" s="338" t="s">
        <v>778</v>
      </c>
      <c r="F43" s="339">
        <f ca="1">INDIRECT("'数据-取费表'!k"&amp;$G$1)</f>
        <v>75.58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3352</v>
      </c>
      <c r="B45" s="1400"/>
      <c r="C45" s="1472">
        <f ca="1">ROUND((C68-C40)/10000,4)</f>
        <v>-209.21770000000001</v>
      </c>
      <c r="D45" s="3430" t="s">
        <v>3353</v>
      </c>
      <c r="E45" s="1400"/>
      <c r="F45" s="1400"/>
      <c r="O45" s="1403" t="s">
        <v>808</v>
      </c>
      <c r="P45" s="1461"/>
      <c r="Q45" s="1461"/>
      <c r="R45" s="1461"/>
    </row>
    <row r="46" spans="1:18" s="1384" customFormat="1" ht="13.5" thickBot="1">
      <c r="A46" s="1404" t="s">
        <v>809</v>
      </c>
      <c r="C46" s="1405">
        <f ca="1">ROUND(C45,0)</f>
        <v>-209</v>
      </c>
      <c r="D46" s="1406" t="str">
        <f>C2</f>
        <v>万元</v>
      </c>
      <c r="I46" s="1407" t="s">
        <v>810</v>
      </c>
      <c r="J46" s="1408"/>
      <c r="K46" s="1409"/>
      <c r="L46" s="1410">
        <f ca="1">IF(M47="住宅",0,IF(L48&gt;J51,L60,J60))</f>
        <v>25177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3426</v>
      </c>
      <c r="K47" s="1416" t="s">
        <v>816</v>
      </c>
      <c r="L47" s="1417">
        <f ca="1">INDIRECT("'数据-取费表'!d"&amp;$G$1)</f>
        <v>50</v>
      </c>
      <c r="M47" s="1380" t="str">
        <f>IF(ISNUMBER(FIND("住宅",C1)),"住宅","非住宅")</f>
        <v>非住宅</v>
      </c>
      <c r="O47" s="1418" t="s">
        <v>403</v>
      </c>
      <c r="P47" s="1419" t="s">
        <v>817</v>
      </c>
      <c r="Q47" s="1420">
        <f ca="1">C40+J29</f>
        <v>2017362</v>
      </c>
      <c r="R47" s="1420" t="s">
        <v>818</v>
      </c>
    </row>
    <row r="48" spans="1:18" s="1384" customFormat="1" ht="28.5" thickBot="1">
      <c r="A48" s="1110" t="s">
        <v>438</v>
      </c>
      <c r="B48" s="300" t="s">
        <v>692</v>
      </c>
      <c r="C48" s="1359">
        <f ca="1">C49+C53+C55</f>
        <v>0</v>
      </c>
      <c r="D48" s="1112"/>
      <c r="E48" s="1113"/>
      <c r="F48" s="962"/>
      <c r="G48" s="722"/>
      <c r="H48" s="723"/>
      <c r="I48" s="1421" t="s">
        <v>819</v>
      </c>
      <c r="J48" s="1422" t="s">
        <v>3448</v>
      </c>
      <c r="K48" s="1423" t="s">
        <v>820</v>
      </c>
      <c r="L48" s="1424">
        <f ca="1">INDIRECT("'数据-取费表'!f"&amp;$G$1)</f>
        <v>28</v>
      </c>
      <c r="O48" s="1418" t="s">
        <v>404</v>
      </c>
      <c r="P48" s="1419" t="s">
        <v>821</v>
      </c>
      <c r="Q48" s="1420">
        <f ca="1">J60</f>
        <v>25177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476856</v>
      </c>
      <c r="R49" s="1420" t="s">
        <v>818</v>
      </c>
    </row>
    <row r="50" spans="1:18" s="1384" customFormat="1" ht="13.5" thickBot="1">
      <c r="A50" s="976"/>
      <c r="B50" s="979"/>
      <c r="C50" s="980"/>
      <c r="D50" s="953"/>
      <c r="E50" s="1056" t="s">
        <v>697</v>
      </c>
      <c r="F50" s="1057">
        <f ca="1">F7</f>
        <v>75.58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1450198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v>
      </c>
      <c r="K53" s="3664" t="s">
        <v>837</v>
      </c>
      <c r="L53" s="3665"/>
      <c r="O53" s="1418" t="s">
        <v>409</v>
      </c>
      <c r="P53" s="1419" t="s">
        <v>838</v>
      </c>
      <c r="Q53" s="1420">
        <f ca="1">Q47+Q48</f>
        <v>2042539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352873</v>
      </c>
      <c r="D56" s="1447"/>
      <c r="E56" s="1448"/>
      <c r="F56" s="1440"/>
      <c r="I56" s="1449" t="s">
        <v>842</v>
      </c>
      <c r="J56" s="1450" t="s">
        <v>3449</v>
      </c>
      <c r="K56" s="1421" t="s">
        <v>843</v>
      </c>
      <c r="L56" s="1424" t="str">
        <f ca="1">IF(L48&lt;J51,"——",L48-J51)</f>
        <v>——</v>
      </c>
      <c r="O56" s="1418" t="s">
        <v>403</v>
      </c>
      <c r="P56" s="1419" t="s">
        <v>817</v>
      </c>
      <c r="Q56" s="1420">
        <f ca="1">C40+J29</f>
        <v>2017362</v>
      </c>
      <c r="R56" s="1420" t="s">
        <v>818</v>
      </c>
    </row>
    <row r="57" spans="1:18" s="1384" customFormat="1" ht="24.75" thickBot="1">
      <c r="A57" s="1451"/>
      <c r="B57" s="950" t="s">
        <v>767</v>
      </c>
      <c r="C57" s="238">
        <f ca="1">C29</f>
        <v>476856</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5298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190742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25177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2017362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4769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529</v>
      </c>
      <c r="D65" s="964" t="s">
        <v>743</v>
      </c>
      <c r="E65" s="950" t="s">
        <v>744</v>
      </c>
      <c r="F65" s="330">
        <f t="shared" ca="1" si="0"/>
        <v>1.5E-3</v>
      </c>
      <c r="I65" s="1462" t="s">
        <v>867</v>
      </c>
      <c r="J65" s="1463">
        <v>40</v>
      </c>
      <c r="K65" s="1463">
        <v>30</v>
      </c>
      <c r="L65" s="1463">
        <v>50</v>
      </c>
      <c r="M65" s="1465">
        <v>0.02</v>
      </c>
      <c r="O65" s="1418" t="s">
        <v>403</v>
      </c>
      <c r="P65" s="1419" t="s">
        <v>868</v>
      </c>
      <c r="Q65" s="1420">
        <f ca="1">C40+J29</f>
        <v>2017362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-5298</v>
      </c>
      <c r="D67" s="963" t="s">
        <v>753</v>
      </c>
      <c r="E67" s="968"/>
      <c r="F67" s="969"/>
      <c r="O67" s="1428" t="s">
        <v>405</v>
      </c>
      <c r="P67" s="1419" t="s">
        <v>850</v>
      </c>
      <c r="Q67" s="1466">
        <f ca="1">L51</f>
        <v>1450198</v>
      </c>
      <c r="R67" s="1420" t="s">
        <v>870</v>
      </c>
    </row>
    <row r="68" spans="1:18" s="1384" customFormat="1" ht="16.5" thickBot="1">
      <c r="A68" s="947" t="s">
        <v>395</v>
      </c>
      <c r="B68" s="948" t="s">
        <v>774</v>
      </c>
      <c r="C68" s="301">
        <f ca="1">ROUND(C67*(1-((1+F70)/(1+F68))^F69)/(F68-F70),0)</f>
        <v>-74815</v>
      </c>
      <c r="D68" s="965" t="s">
        <v>758</v>
      </c>
      <c r="E68" s="950" t="s">
        <v>759</v>
      </c>
      <c r="F68" s="312">
        <f ca="1">F40</f>
        <v>5.5E-2</v>
      </c>
      <c r="O68" s="1428" t="s">
        <v>406</v>
      </c>
      <c r="P68" s="1467" t="s">
        <v>871</v>
      </c>
      <c r="Q68" s="1420">
        <f ca="1">ROUND(Q69-Q70*Q71,0)</f>
        <v>84515</v>
      </c>
      <c r="R68" s="1420" t="s">
        <v>414</v>
      </c>
    </row>
    <row r="69" spans="1:18" s="1384" customFormat="1" ht="13.5" thickBot="1">
      <c r="A69" s="951"/>
      <c r="B69" s="952"/>
      <c r="C69" s="306"/>
      <c r="D69" s="970" t="s">
        <v>762</v>
      </c>
      <c r="E69" s="950" t="s">
        <v>763</v>
      </c>
      <c r="F69" s="333">
        <f ca="1">F41</f>
        <v>28</v>
      </c>
      <c r="O69" s="1428" t="s">
        <v>411</v>
      </c>
      <c r="P69" s="1467" t="s">
        <v>872</v>
      </c>
      <c r="Q69" s="1420">
        <f ca="1">C39</f>
        <v>109216</v>
      </c>
      <c r="R69" s="1420" t="s">
        <v>818</v>
      </c>
    </row>
    <row r="70" spans="1:18" s="1384" customFormat="1" ht="13.5" thickBot="1">
      <c r="A70" s="954"/>
      <c r="B70" s="955"/>
      <c r="C70" s="310"/>
      <c r="D70" s="966"/>
      <c r="E70" s="950" t="s">
        <v>766</v>
      </c>
      <c r="F70" s="1054"/>
      <c r="O70" s="1428" t="s">
        <v>412</v>
      </c>
      <c r="P70" s="1467" t="s">
        <v>873</v>
      </c>
      <c r="Q70" s="1420">
        <f ca="1">C13</f>
        <v>352873</v>
      </c>
      <c r="R70" s="1420" t="s">
        <v>818</v>
      </c>
    </row>
    <row r="71" spans="1:18" s="1384" customFormat="1" ht="13.5" thickBot="1">
      <c r="A71" s="971" t="s">
        <v>396</v>
      </c>
      <c r="B71" s="972" t="s">
        <v>776</v>
      </c>
      <c r="C71" s="336">
        <f ca="1">ROUND(C68/F71,0)</f>
        <v>-990</v>
      </c>
      <c r="D71" s="973" t="s">
        <v>777</v>
      </c>
      <c r="E71" s="974" t="s">
        <v>778</v>
      </c>
      <c r="F71" s="339">
        <f ca="1">F43</f>
        <v>75.58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24701</v>
      </c>
      <c r="D75" s="1384"/>
      <c r="E75" s="1384"/>
      <c r="F75" s="1384"/>
      <c r="K75" s="1402"/>
      <c r="L75" s="1384"/>
      <c r="O75" s="1418" t="s">
        <v>409</v>
      </c>
      <c r="P75" s="1419" t="s">
        <v>838</v>
      </c>
      <c r="Q75" s="1420">
        <f ca="1">Q65+Q66</f>
        <v>2017362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0.77400000000000002</v>
      </c>
    </row>
    <row r="80" spans="1:18">
      <c r="B80" s="340" t="s">
        <v>800</v>
      </c>
      <c r="C80" s="274">
        <f ca="1">ROUND(C75/C39,3)</f>
        <v>0.22600000000000001</v>
      </c>
    </row>
    <row r="81" spans="2:3">
      <c r="B81" s="270" t="s">
        <v>801</v>
      </c>
      <c r="C81" s="238"/>
    </row>
    <row r="82" spans="2:3">
      <c r="B82" s="273" t="s">
        <v>802</v>
      </c>
      <c r="C82" s="275">
        <f ca="1">1-C83</f>
        <v>0.82499999999999996</v>
      </c>
    </row>
    <row r="83" spans="2:3">
      <c r="B83" s="273" t="s">
        <v>803</v>
      </c>
      <c r="C83" s="274">
        <f ca="1">ROUND(C13/C40,3)</f>
        <v>0.17499999999999999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5" t="s">
        <v>2315</v>
      </c>
      <c r="B2" s="2841" t="e">
        <f>IF(D2="——",C40,C40+E2)</f>
        <v>#DIV/0!</v>
      </c>
      <c r="C2" s="2842" t="s">
        <v>2316</v>
      </c>
      <c r="D2" s="3441" t="s">
        <v>3359</v>
      </c>
      <c r="E2" s="3442"/>
      <c r="F2" s="2844"/>
      <c r="G2" s="2845"/>
      <c r="H2" s="2846"/>
      <c r="I2" s="2847"/>
      <c r="J2" s="3721" t="s">
        <v>2317</v>
      </c>
      <c r="K2" s="3722"/>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723" t="s">
        <v>2327</v>
      </c>
      <c r="K3" s="3724"/>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723" t="s">
        <v>2329</v>
      </c>
      <c r="K4" s="3724"/>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725" t="s">
        <v>2333</v>
      </c>
      <c r="B6" s="3726"/>
      <c r="C6" s="3727"/>
      <c r="D6" s="2868"/>
      <c r="E6" s="2869"/>
      <c r="F6" s="2870"/>
      <c r="G6" s="2871"/>
      <c r="H6" s="2846"/>
      <c r="I6" s="2847"/>
      <c r="J6" s="3728">
        <v>1</v>
      </c>
      <c r="K6" s="3729"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728"/>
      <c r="K7" s="3730"/>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732" t="s">
        <v>2347</v>
      </c>
      <c r="C8" s="3733"/>
      <c r="D8" s="2887" t="s">
        <v>2348</v>
      </c>
      <c r="E8" s="2888" t="s">
        <v>2349</v>
      </c>
      <c r="F8" s="2889" t="s">
        <v>2350</v>
      </c>
      <c r="G8" s="2890"/>
      <c r="H8" s="2846"/>
      <c r="I8" s="2847"/>
      <c r="J8" s="3728"/>
      <c r="K8" s="3730"/>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732" t="s">
        <v>2353</v>
      </c>
      <c r="C9" s="3733"/>
      <c r="D9" s="2887">
        <f>ROUND(D6*E9,0)</f>
        <v>0</v>
      </c>
      <c r="E9" s="2891"/>
      <c r="F9" s="2892" t="s">
        <v>2354</v>
      </c>
      <c r="G9" s="2871"/>
      <c r="H9" s="2846"/>
      <c r="I9" s="2847"/>
      <c r="J9" s="3728"/>
      <c r="K9" s="3730"/>
      <c r="L9" s="2881" t="s">
        <v>2355</v>
      </c>
      <c r="M9" s="2882"/>
      <c r="N9" s="2858"/>
      <c r="O9" s="2883"/>
      <c r="P9" s="2883"/>
      <c r="Q9" s="2884">
        <v>365</v>
      </c>
      <c r="R9" s="2885">
        <f t="shared" si="0"/>
        <v>0</v>
      </c>
      <c r="S9" s="2839"/>
      <c r="T9" s="2839"/>
      <c r="U9" s="2839"/>
      <c r="V9" s="2847"/>
    </row>
    <row r="10" spans="1:22" s="2851" customFormat="1" ht="13.15" customHeight="1">
      <c r="A10" s="2886">
        <v>2</v>
      </c>
      <c r="B10" s="3732" t="s">
        <v>2356</v>
      </c>
      <c r="C10" s="3733"/>
      <c r="D10" s="2887">
        <f>ROUND(D6*E10,0)</f>
        <v>0</v>
      </c>
      <c r="E10" s="2891"/>
      <c r="F10" s="2892" t="s">
        <v>2357</v>
      </c>
      <c r="G10" s="2871"/>
      <c r="H10" s="2846"/>
      <c r="I10" s="2847"/>
      <c r="J10" s="3728"/>
      <c r="K10" s="3730"/>
      <c r="L10" s="2881" t="s">
        <v>2358</v>
      </c>
      <c r="M10" s="2882"/>
      <c r="N10" s="2858"/>
      <c r="O10" s="2883"/>
      <c r="P10" s="2883"/>
      <c r="Q10" s="2884">
        <v>365</v>
      </c>
      <c r="R10" s="2885">
        <f t="shared" si="0"/>
        <v>0</v>
      </c>
      <c r="S10" s="2839"/>
      <c r="T10" s="2839"/>
      <c r="U10" s="2839"/>
      <c r="V10" s="2847"/>
    </row>
    <row r="11" spans="1:22" s="2851" customFormat="1" ht="13.15" customHeight="1">
      <c r="A11" s="2886">
        <v>3</v>
      </c>
      <c r="B11" s="3732" t="s">
        <v>2359</v>
      </c>
      <c r="C11" s="3733"/>
      <c r="D11" s="2887">
        <f>D12+D14+D15+D16</f>
        <v>0</v>
      </c>
      <c r="E11" s="2893" t="e">
        <f>D11/D6</f>
        <v>#DIV/0!</v>
      </c>
      <c r="F11" s="2889"/>
      <c r="G11" s="2890"/>
      <c r="H11" s="2846"/>
      <c r="I11" s="2847"/>
      <c r="J11" s="3728"/>
      <c r="K11" s="3730"/>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734" t="s">
        <v>2362</v>
      </c>
      <c r="C12" s="3735"/>
      <c r="D12" s="2895">
        <f>ROUND(D13*1.2%*(1-30%),0)</f>
        <v>0</v>
      </c>
      <c r="E12" s="2896">
        <v>1.2E-2</v>
      </c>
      <c r="F12" s="2889" t="s">
        <v>2363</v>
      </c>
      <c r="G12" s="2890"/>
      <c r="H12" s="2846"/>
      <c r="I12" s="2847"/>
      <c r="J12" s="3728"/>
      <c r="K12" s="3730"/>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728"/>
      <c r="K13" s="3730"/>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734" t="s">
        <v>2368</v>
      </c>
      <c r="C14" s="3735"/>
      <c r="D14" s="2895">
        <f>ROUND(E14*B5/10000,0)</f>
        <v>0</v>
      </c>
      <c r="E14" s="2884"/>
      <c r="F14" s="2889" t="s">
        <v>2369</v>
      </c>
      <c r="G14" s="2890"/>
      <c r="H14" s="2846"/>
      <c r="I14" s="2847"/>
      <c r="J14" s="3728"/>
      <c r="K14" s="3731"/>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734" t="s">
        <v>2372</v>
      </c>
      <c r="C15" s="3735"/>
      <c r="D15" s="2895">
        <f>ROUND(D6*E15,0)</f>
        <v>0</v>
      </c>
      <c r="E15" s="2896">
        <v>5.5E-2</v>
      </c>
      <c r="F15" s="2889" t="s">
        <v>2373</v>
      </c>
      <c r="G15" s="2871"/>
      <c r="H15" s="2846"/>
      <c r="I15" s="2847"/>
      <c r="J15" s="3728">
        <v>2</v>
      </c>
      <c r="K15" s="3729"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734" t="s">
        <v>2381</v>
      </c>
      <c r="C16" s="3735"/>
      <c r="D16" s="2906">
        <f>D6*E16</f>
        <v>0</v>
      </c>
      <c r="E16" s="2907"/>
      <c r="F16" s="2892" t="s">
        <v>2382</v>
      </c>
      <c r="G16" s="2871"/>
      <c r="H16" s="2846"/>
      <c r="I16" s="2847"/>
      <c r="J16" s="3728"/>
      <c r="K16" s="3730"/>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736" t="s">
        <v>2384</v>
      </c>
      <c r="C17" s="3737"/>
      <c r="D17" s="2909">
        <f>ROUND(D6*E17,0)</f>
        <v>0</v>
      </c>
      <c r="E17" s="2910"/>
      <c r="F17" s="2911" t="s">
        <v>2385</v>
      </c>
      <c r="G17" s="2871"/>
      <c r="H17" s="2846"/>
      <c r="I17" s="2847"/>
      <c r="J17" s="3728"/>
      <c r="K17" s="3730"/>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728"/>
      <c r="K18" s="3730"/>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728"/>
      <c r="K19" s="3731"/>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28">
        <v>3</v>
      </c>
      <c r="K20" s="3729"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728"/>
      <c r="K21" s="3730"/>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728"/>
      <c r="K22" s="3730"/>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728"/>
      <c r="K23" s="3730"/>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728"/>
      <c r="K24" s="3731"/>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738">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739"/>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721" t="s">
        <v>2317</v>
      </c>
      <c r="K32" s="3722"/>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723" t="s">
        <v>2327</v>
      </c>
      <c r="K33" s="3724"/>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723" t="s">
        <v>2329</v>
      </c>
      <c r="K34" s="3724"/>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728">
        <v>1</v>
      </c>
      <c r="K36" s="3729"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728"/>
      <c r="K37" s="3730"/>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28"/>
      <c r="K38" s="3730"/>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728"/>
      <c r="K39" s="3730"/>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728"/>
      <c r="K40" s="3731"/>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738">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739"/>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204.25389999999999</v>
      </c>
      <c r="C2" s="1872" t="s">
        <v>1651</v>
      </c>
      <c r="D2" s="1873" t="s">
        <v>1652</v>
      </c>
      <c r="E2" s="2605">
        <f>SUM(E6:E13)</f>
        <v>75.58</v>
      </c>
      <c r="F2" s="2705"/>
      <c r="G2" s="1489"/>
      <c r="H2" s="1489"/>
      <c r="I2" s="1489"/>
      <c r="J2" s="1489"/>
      <c r="K2" s="1489"/>
      <c r="L2" s="1489"/>
      <c r="M2" s="1489"/>
      <c r="N2" s="1489"/>
      <c r="O2" s="1489"/>
      <c r="P2" s="1489"/>
      <c r="Q2" s="1489"/>
      <c r="R2" s="1489"/>
      <c r="S2" s="1489"/>
    </row>
    <row r="3" spans="1:22" ht="15.75">
      <c r="A3" s="1870" t="s">
        <v>686</v>
      </c>
      <c r="B3" s="2599">
        <f ca="1">ROUND(B2*10000/E2,0)</f>
        <v>27025</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40" t="s">
        <v>1654</v>
      </c>
      <c r="C5" s="3741"/>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204.25389999999999</v>
      </c>
      <c r="C6" s="1872" t="s">
        <v>1651</v>
      </c>
      <c r="D6" s="2707"/>
      <c r="E6" s="2604">
        <f>IF(OR(A6=0,F6="否"),0,'数据-取费表'!K6+'数据-取费表'!S6)</f>
        <v>75.58</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75.58</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1" t="s">
        <v>1667</v>
      </c>
      <c r="D4" s="3692"/>
      <c r="E4" s="3693" t="s">
        <v>1668</v>
      </c>
      <c r="F4" s="3694"/>
      <c r="G4" s="3691" t="s">
        <v>1669</v>
      </c>
      <c r="H4" s="3692"/>
      <c r="I4" s="3691" t="s">
        <v>1670</v>
      </c>
      <c r="J4" s="3692"/>
      <c r="K4" s="1889" t="s">
        <v>1671</v>
      </c>
      <c r="L4" s="2713"/>
      <c r="M4" s="2714"/>
      <c r="N4" s="2714"/>
      <c r="O4" s="2714"/>
      <c r="P4" s="3745" t="s">
        <v>1672</v>
      </c>
      <c r="Q4" s="3746"/>
      <c r="R4" s="3743" t="s">
        <v>1668</v>
      </c>
      <c r="S4" s="3744"/>
      <c r="T4" s="3743" t="s">
        <v>1669</v>
      </c>
      <c r="U4" s="3744"/>
      <c r="V4" s="3704" t="s">
        <v>1670</v>
      </c>
      <c r="W4" s="3704"/>
      <c r="X4" s="1355"/>
      <c r="Y4" s="3743" t="s">
        <v>1672</v>
      </c>
      <c r="Z4" s="3744"/>
      <c r="AA4" s="3742" t="s">
        <v>1668</v>
      </c>
      <c r="AB4" s="3742" t="s">
        <v>1669</v>
      </c>
      <c r="AC4" s="3742" t="s">
        <v>1670</v>
      </c>
    </row>
    <row r="5" spans="1:29" ht="15">
      <c r="A5" s="358"/>
      <c r="B5" s="359"/>
      <c r="C5" s="3684" t="s">
        <v>1673</v>
      </c>
      <c r="D5" s="3681"/>
      <c r="E5" s="3678" t="s">
        <v>1674</v>
      </c>
      <c r="F5" s="3679"/>
      <c r="G5" s="3684" t="s">
        <v>1675</v>
      </c>
      <c r="H5" s="3681"/>
      <c r="I5" s="3684" t="s">
        <v>1676</v>
      </c>
      <c r="J5" s="3681"/>
      <c r="K5" s="1890"/>
      <c r="L5" s="2713"/>
      <c r="M5" s="2714"/>
      <c r="N5" s="2714"/>
      <c r="O5" s="2714"/>
      <c r="P5" s="3747"/>
      <c r="Q5" s="3698"/>
      <c r="R5" s="3676"/>
      <c r="S5" s="3677"/>
      <c r="T5" s="3676"/>
      <c r="U5" s="3677"/>
      <c r="V5" s="3704"/>
      <c r="W5" s="3704"/>
      <c r="X5" s="1355"/>
      <c r="Y5" s="3676"/>
      <c r="Z5" s="3677"/>
      <c r="AA5" s="3670"/>
      <c r="AB5" s="3670"/>
      <c r="AC5" s="3670"/>
    </row>
    <row r="6" spans="1:29" ht="15.75" thickBot="1">
      <c r="A6" s="360"/>
      <c r="B6" s="361"/>
      <c r="C6" s="3682" t="s">
        <v>1677</v>
      </c>
      <c r="D6" s="3683"/>
      <c r="E6" s="3685" t="s">
        <v>1677</v>
      </c>
      <c r="F6" s="3686"/>
      <c r="G6" s="3682" t="s">
        <v>1677</v>
      </c>
      <c r="H6" s="3683"/>
      <c r="I6" s="3682" t="s">
        <v>1677</v>
      </c>
      <c r="J6" s="3683"/>
      <c r="K6" s="1890" t="s">
        <v>1678</v>
      </c>
      <c r="L6" s="2713"/>
      <c r="M6" s="2714"/>
      <c r="N6" s="2714"/>
      <c r="O6" s="2714"/>
      <c r="P6" s="3748"/>
      <c r="Q6" s="3700"/>
      <c r="R6" s="3676"/>
      <c r="S6" s="3677"/>
      <c r="T6" s="3701"/>
      <c r="U6" s="3702"/>
      <c r="V6" s="3704"/>
      <c r="W6" s="3704"/>
      <c r="X6" s="1355"/>
      <c r="Y6" s="3701"/>
      <c r="Z6" s="3702"/>
      <c r="AA6" s="3671"/>
      <c r="AB6" s="3671"/>
      <c r="AC6" s="3671"/>
    </row>
    <row r="7" spans="1:29" s="108" customFormat="1" ht="15.75" thickBot="1">
      <c r="A7" s="362" t="s">
        <v>1679</v>
      </c>
      <c r="B7" s="363"/>
      <c r="C7" s="364">
        <f>'数据-取费表'!B2</f>
        <v>45455</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72" t="s">
        <v>1680</v>
      </c>
      <c r="Q7" s="3706"/>
      <c r="R7" s="701" t="s">
        <v>20</v>
      </c>
      <c r="S7" s="702">
        <f t="shared" ref="S7:S15" si="0">F7</f>
        <v>0</v>
      </c>
      <c r="T7" s="701" t="s">
        <v>20</v>
      </c>
      <c r="U7" s="702">
        <f t="shared" ref="U7:U15" si="1">H7</f>
        <v>0</v>
      </c>
      <c r="V7" s="701" t="s">
        <v>20</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72" t="s">
        <v>1683</v>
      </c>
      <c r="Q8" s="3673"/>
      <c r="R8" s="701" t="s">
        <v>20</v>
      </c>
      <c r="S8" s="702">
        <f t="shared" si="0"/>
        <v>100</v>
      </c>
      <c r="T8" s="701" t="s">
        <v>20</v>
      </c>
      <c r="U8" s="702">
        <f t="shared" si="1"/>
        <v>100</v>
      </c>
      <c r="V8" s="701" t="s">
        <v>20</v>
      </c>
      <c r="W8" s="702">
        <f t="shared" si="2"/>
        <v>100</v>
      </c>
      <c r="X8" s="703"/>
      <c r="Y8" s="3672" t="s">
        <v>1683</v>
      </c>
      <c r="Z8" s="367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8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7"/>
      <c r="Q11" s="1343" t="str">
        <f t="shared" si="6"/>
        <v>容积率</v>
      </c>
      <c r="R11" s="701" t="s">
        <v>18</v>
      </c>
      <c r="S11" s="702" t="e">
        <f t="shared" si="0"/>
        <v>#N/A</v>
      </c>
      <c r="T11" s="701" t="s">
        <v>18</v>
      </c>
      <c r="U11" s="702" t="e">
        <f t="shared" si="1"/>
        <v>#N/A</v>
      </c>
      <c r="V11" s="701" t="s">
        <v>18</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7"/>
      <c r="Q12" s="1343">
        <f t="shared" si="6"/>
        <v>111</v>
      </c>
      <c r="R12" s="701" t="s">
        <v>18</v>
      </c>
      <c r="S12" s="702">
        <f t="shared" si="0"/>
        <v>100</v>
      </c>
      <c r="T12" s="701" t="s">
        <v>18</v>
      </c>
      <c r="U12" s="702">
        <f t="shared" si="1"/>
        <v>100</v>
      </c>
      <c r="V12" s="701" t="s">
        <v>18</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7"/>
      <c r="Q13" s="1343">
        <f t="shared" si="6"/>
        <v>111</v>
      </c>
      <c r="R13" s="701" t="s">
        <v>18</v>
      </c>
      <c r="S13" s="702">
        <f t="shared" si="0"/>
        <v>100</v>
      </c>
      <c r="T13" s="701" t="s">
        <v>18</v>
      </c>
      <c r="U13" s="702">
        <f t="shared" si="1"/>
        <v>100</v>
      </c>
      <c r="V13" s="701" t="s">
        <v>18</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7"/>
      <c r="Q14" s="1343">
        <f t="shared" si="6"/>
        <v>111</v>
      </c>
      <c r="R14" s="701" t="s">
        <v>18</v>
      </c>
      <c r="S14" s="702">
        <f t="shared" si="0"/>
        <v>100</v>
      </c>
      <c r="T14" s="701" t="s">
        <v>18</v>
      </c>
      <c r="U14" s="702">
        <f t="shared" si="1"/>
        <v>100</v>
      </c>
      <c r="V14" s="701" t="s">
        <v>18</v>
      </c>
      <c r="W14" s="702">
        <f t="shared" si="2"/>
        <v>100</v>
      </c>
      <c r="X14" s="703"/>
      <c r="Y14" s="3637"/>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2" t="str">
        <f t="shared" si="6"/>
        <v>居住社区成熟度</v>
      </c>
      <c r="R15" s="705" t="s">
        <v>18</v>
      </c>
      <c r="S15" s="706">
        <f t="shared" si="0"/>
        <v>100</v>
      </c>
      <c r="T15" s="705" t="s">
        <v>18</v>
      </c>
      <c r="U15" s="706">
        <f t="shared" si="1"/>
        <v>100</v>
      </c>
      <c r="V15" s="705" t="s">
        <v>18</v>
      </c>
      <c r="W15" s="706">
        <f t="shared" si="2"/>
        <v>100</v>
      </c>
      <c r="X15" s="1355"/>
      <c r="Y15" s="370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08"/>
      <c r="Q16" s="1352"/>
      <c r="R16" s="705"/>
      <c r="S16" s="706"/>
      <c r="T16" s="705"/>
      <c r="U16" s="706"/>
      <c r="V16" s="705"/>
      <c r="W16" s="706"/>
      <c r="X16" s="1355"/>
      <c r="Y16" s="3710"/>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2" t="str">
        <f>B17</f>
        <v>交通便捷度</v>
      </c>
      <c r="R17" s="705" t="s">
        <v>18</v>
      </c>
      <c r="S17" s="706">
        <f>F17</f>
        <v>100</v>
      </c>
      <c r="T17" s="705" t="s">
        <v>18</v>
      </c>
      <c r="U17" s="706">
        <f>H17</f>
        <v>100</v>
      </c>
      <c r="V17" s="705" t="s">
        <v>18</v>
      </c>
      <c r="W17" s="706">
        <f>J17</f>
        <v>100</v>
      </c>
      <c r="X17" s="1355"/>
      <c r="Y17" s="371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08"/>
      <c r="Q18" s="1352"/>
      <c r="R18" s="705"/>
      <c r="S18" s="706"/>
      <c r="T18" s="705"/>
      <c r="U18" s="706"/>
      <c r="V18" s="705"/>
      <c r="W18" s="706"/>
      <c r="X18" s="1355"/>
      <c r="Y18" s="3710"/>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2" t="str">
        <f>B19</f>
        <v>公共配套设施</v>
      </c>
      <c r="R19" s="705" t="s">
        <v>18</v>
      </c>
      <c r="S19" s="706">
        <f>F19</f>
        <v>100</v>
      </c>
      <c r="T19" s="705" t="s">
        <v>18</v>
      </c>
      <c r="U19" s="706">
        <f>H19</f>
        <v>100</v>
      </c>
      <c r="V19" s="705" t="s">
        <v>18</v>
      </c>
      <c r="W19" s="706">
        <f>J19</f>
        <v>100</v>
      </c>
      <c r="X19" s="1355"/>
      <c r="Y19" s="371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08"/>
      <c r="Q20" s="1352"/>
      <c r="R20" s="705"/>
      <c r="S20" s="706"/>
      <c r="T20" s="705"/>
      <c r="U20" s="706"/>
      <c r="V20" s="705"/>
      <c r="W20" s="706"/>
      <c r="X20" s="1355"/>
      <c r="Y20" s="3710"/>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08"/>
      <c r="Q22" s="1352"/>
      <c r="R22" s="705"/>
      <c r="S22" s="706"/>
      <c r="T22" s="705"/>
      <c r="U22" s="706"/>
      <c r="V22" s="705"/>
      <c r="W22" s="706"/>
      <c r="X22" s="1355"/>
      <c r="Y22" s="3710"/>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2" t="str">
        <f>B23</f>
        <v>自然及人文环境</v>
      </c>
      <c r="R23" s="705" t="s">
        <v>18</v>
      </c>
      <c r="S23" s="706">
        <f>F23</f>
        <v>100</v>
      </c>
      <c r="T23" s="705" t="s">
        <v>18</v>
      </c>
      <c r="U23" s="706">
        <f>H23</f>
        <v>100</v>
      </c>
      <c r="V23" s="705" t="s">
        <v>18</v>
      </c>
      <c r="W23" s="706">
        <f>J23</f>
        <v>100</v>
      </c>
      <c r="X23" s="1355"/>
      <c r="Y23" s="371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08"/>
      <c r="Q24" s="1352"/>
      <c r="R24" s="705"/>
      <c r="S24" s="706"/>
      <c r="T24" s="705"/>
      <c r="U24" s="706"/>
      <c r="V24" s="705"/>
      <c r="W24" s="706"/>
      <c r="X24" s="1355"/>
      <c r="Y24" s="371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08"/>
      <c r="Q26" s="1352" t="str">
        <f t="shared" si="11"/>
        <v>朝向</v>
      </c>
      <c r="R26" s="705" t="s">
        <v>18</v>
      </c>
      <c r="S26" s="706">
        <f t="shared" si="12"/>
        <v>100</v>
      </c>
      <c r="T26" s="705" t="s">
        <v>18</v>
      </c>
      <c r="U26" s="706">
        <f t="shared" si="13"/>
        <v>100</v>
      </c>
      <c r="V26" s="705" t="s">
        <v>18</v>
      </c>
      <c r="W26" s="706">
        <f t="shared" si="14"/>
        <v>100</v>
      </c>
      <c r="X26" s="1355"/>
      <c r="Y26" s="371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08"/>
      <c r="Q27" s="1343">
        <f t="shared" si="11"/>
        <v>111</v>
      </c>
      <c r="R27" s="701" t="s">
        <v>18</v>
      </c>
      <c r="S27" s="702">
        <f t="shared" si="12"/>
        <v>100</v>
      </c>
      <c r="T27" s="701" t="s">
        <v>18</v>
      </c>
      <c r="U27" s="702">
        <f t="shared" si="13"/>
        <v>100</v>
      </c>
      <c r="V27" s="701" t="s">
        <v>18</v>
      </c>
      <c r="W27" s="702">
        <f t="shared" si="14"/>
        <v>100</v>
      </c>
      <c r="X27" s="703"/>
      <c r="Y27" s="371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08"/>
      <c r="Q28" s="1352">
        <f t="shared" si="11"/>
        <v>111</v>
      </c>
      <c r="R28" s="705" t="s">
        <v>18</v>
      </c>
      <c r="S28" s="706">
        <f t="shared" si="12"/>
        <v>100</v>
      </c>
      <c r="T28" s="705" t="s">
        <v>18</v>
      </c>
      <c r="U28" s="706">
        <f t="shared" si="13"/>
        <v>100</v>
      </c>
      <c r="V28" s="705" t="s">
        <v>18</v>
      </c>
      <c r="W28" s="706">
        <f t="shared" si="14"/>
        <v>100</v>
      </c>
      <c r="X28" s="1355"/>
      <c r="Y28" s="371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08"/>
      <c r="Q29" s="1352">
        <f t="shared" si="11"/>
        <v>111</v>
      </c>
      <c r="R29" s="705" t="s">
        <v>18</v>
      </c>
      <c r="S29" s="706">
        <f t="shared" si="12"/>
        <v>100</v>
      </c>
      <c r="T29" s="705" t="s">
        <v>18</v>
      </c>
      <c r="U29" s="706">
        <f t="shared" si="13"/>
        <v>100</v>
      </c>
      <c r="V29" s="705" t="s">
        <v>18</v>
      </c>
      <c r="W29" s="706">
        <f t="shared" si="14"/>
        <v>100</v>
      </c>
      <c r="X29" s="1355"/>
      <c r="Y29" s="371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08"/>
      <c r="Q30" s="1352">
        <f t="shared" si="11"/>
        <v>111</v>
      </c>
      <c r="R30" s="705" t="s">
        <v>18</v>
      </c>
      <c r="S30" s="706">
        <f t="shared" si="12"/>
        <v>100</v>
      </c>
      <c r="T30" s="705" t="s">
        <v>18</v>
      </c>
      <c r="U30" s="706">
        <f t="shared" si="13"/>
        <v>100</v>
      </c>
      <c r="V30" s="705" t="s">
        <v>18</v>
      </c>
      <c r="W30" s="706">
        <f t="shared" si="14"/>
        <v>100</v>
      </c>
      <c r="X30" s="1355"/>
      <c r="Y30" s="371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08"/>
      <c r="Q31" s="1352">
        <f t="shared" si="11"/>
        <v>111</v>
      </c>
      <c r="R31" s="705" t="s">
        <v>18</v>
      </c>
      <c r="S31" s="706">
        <f t="shared" si="12"/>
        <v>100</v>
      </c>
      <c r="T31" s="705" t="s">
        <v>18</v>
      </c>
      <c r="U31" s="706">
        <f t="shared" si="13"/>
        <v>100</v>
      </c>
      <c r="V31" s="705" t="s">
        <v>18</v>
      </c>
      <c r="W31" s="706">
        <f t="shared" si="14"/>
        <v>100</v>
      </c>
      <c r="X31" s="1355"/>
      <c r="Y31" s="371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11" t="s">
        <v>1696</v>
      </c>
      <c r="Q32" s="1352" t="str">
        <f t="shared" si="11"/>
        <v>建筑类型</v>
      </c>
      <c r="R32" s="705" t="s">
        <v>18</v>
      </c>
      <c r="S32" s="706">
        <f t="shared" si="12"/>
        <v>100</v>
      </c>
      <c r="T32" s="705" t="s">
        <v>18</v>
      </c>
      <c r="U32" s="706">
        <f t="shared" si="13"/>
        <v>100</v>
      </c>
      <c r="V32" s="705" t="s">
        <v>18</v>
      </c>
      <c r="W32" s="706">
        <f t="shared" si="14"/>
        <v>100</v>
      </c>
      <c r="X32" s="1355"/>
      <c r="Y32" s="371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12"/>
      <c r="Q33" s="707" t="str">
        <f t="shared" si="11"/>
        <v>项目建筑规模</v>
      </c>
      <c r="R33" s="708" t="s">
        <v>18</v>
      </c>
      <c r="S33" s="709" t="e">
        <f t="shared" si="12"/>
        <v>#N/A</v>
      </c>
      <c r="T33" s="708" t="s">
        <v>18</v>
      </c>
      <c r="U33" s="709" t="e">
        <f t="shared" si="13"/>
        <v>#N/A</v>
      </c>
      <c r="V33" s="708" t="s">
        <v>18</v>
      </c>
      <c r="W33" s="709" t="e">
        <f t="shared" si="14"/>
        <v>#N/A</v>
      </c>
      <c r="X33" s="710"/>
      <c r="Y33" s="371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12"/>
      <c r="Q34" s="1352" t="str">
        <f t="shared" si="11"/>
        <v>建筑结构</v>
      </c>
      <c r="R34" s="705" t="s">
        <v>18</v>
      </c>
      <c r="S34" s="706">
        <f t="shared" si="12"/>
        <v>100</v>
      </c>
      <c r="T34" s="705" t="s">
        <v>18</v>
      </c>
      <c r="U34" s="706">
        <f t="shared" si="13"/>
        <v>100</v>
      </c>
      <c r="V34" s="705" t="s">
        <v>18</v>
      </c>
      <c r="W34" s="706">
        <f t="shared" si="14"/>
        <v>100</v>
      </c>
      <c r="X34" s="1355"/>
      <c r="Y34" s="371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12"/>
      <c r="Q35" s="1352" t="str">
        <f t="shared" si="11"/>
        <v>建筑品质</v>
      </c>
      <c r="R35" s="705" t="s">
        <v>18</v>
      </c>
      <c r="S35" s="706">
        <f t="shared" si="12"/>
        <v>100</v>
      </c>
      <c r="T35" s="705" t="s">
        <v>18</v>
      </c>
      <c r="U35" s="706">
        <f t="shared" si="13"/>
        <v>100</v>
      </c>
      <c r="V35" s="705" t="s">
        <v>18</v>
      </c>
      <c r="W35" s="706">
        <f t="shared" si="14"/>
        <v>100</v>
      </c>
      <c r="X35" s="1355"/>
      <c r="Y35" s="371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12"/>
      <c r="Q36" s="1352" t="str">
        <f t="shared" si="11"/>
        <v>公共部分装修</v>
      </c>
      <c r="R36" s="705" t="s">
        <v>18</v>
      </c>
      <c r="S36" s="706">
        <f t="shared" si="12"/>
        <v>100</v>
      </c>
      <c r="T36" s="705" t="s">
        <v>18</v>
      </c>
      <c r="U36" s="706">
        <f t="shared" si="13"/>
        <v>100</v>
      </c>
      <c r="V36" s="705" t="s">
        <v>18</v>
      </c>
      <c r="W36" s="706">
        <f t="shared" si="14"/>
        <v>100</v>
      </c>
      <c r="X36" s="1355"/>
      <c r="Y36" s="371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12"/>
      <c r="Q37" s="1343" t="str">
        <f t="shared" si="11"/>
        <v>成新度</v>
      </c>
      <c r="R37" s="701" t="s">
        <v>18</v>
      </c>
      <c r="S37" s="702" t="e">
        <f t="shared" si="12"/>
        <v>#N/A</v>
      </c>
      <c r="T37" s="701" t="s">
        <v>18</v>
      </c>
      <c r="U37" s="702" t="e">
        <f t="shared" si="13"/>
        <v>#N/A</v>
      </c>
      <c r="V37" s="701" t="s">
        <v>18</v>
      </c>
      <c r="W37" s="702" t="e">
        <f t="shared" si="14"/>
        <v>#N/A</v>
      </c>
      <c r="X37" s="703"/>
      <c r="Y37" s="371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12" t="s">
        <v>1696</v>
      </c>
      <c r="Q38" s="1352" t="str">
        <f t="shared" si="11"/>
        <v>物业管理</v>
      </c>
      <c r="R38" s="705" t="s">
        <v>18</v>
      </c>
      <c r="S38" s="706">
        <f t="shared" si="12"/>
        <v>100</v>
      </c>
      <c r="T38" s="705" t="s">
        <v>18</v>
      </c>
      <c r="U38" s="706">
        <f t="shared" si="13"/>
        <v>100</v>
      </c>
      <c r="V38" s="705" t="s">
        <v>18</v>
      </c>
      <c r="W38" s="706">
        <f t="shared" si="14"/>
        <v>100</v>
      </c>
      <c r="X38" s="1355"/>
      <c r="Y38" s="371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12"/>
      <c r="Q39" s="1352" t="str">
        <f t="shared" si="11"/>
        <v>市政基础设施</v>
      </c>
      <c r="R39" s="705" t="s">
        <v>18</v>
      </c>
      <c r="S39" s="706">
        <f t="shared" si="12"/>
        <v>100</v>
      </c>
      <c r="T39" s="705" t="s">
        <v>18</v>
      </c>
      <c r="U39" s="706">
        <f t="shared" si="13"/>
        <v>100</v>
      </c>
      <c r="V39" s="705" t="s">
        <v>18</v>
      </c>
      <c r="W39" s="706">
        <f t="shared" si="14"/>
        <v>100</v>
      </c>
      <c r="X39" s="1355"/>
      <c r="Y39" s="371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12"/>
      <c r="Q40" s="1352" t="str">
        <f t="shared" si="11"/>
        <v>房型</v>
      </c>
      <c r="R40" s="705" t="s">
        <v>18</v>
      </c>
      <c r="S40" s="706">
        <f t="shared" si="12"/>
        <v>100</v>
      </c>
      <c r="T40" s="705" t="s">
        <v>18</v>
      </c>
      <c r="U40" s="706">
        <f t="shared" si="13"/>
        <v>100</v>
      </c>
      <c r="V40" s="705" t="s">
        <v>18</v>
      </c>
      <c r="W40" s="706">
        <f t="shared" si="14"/>
        <v>100</v>
      </c>
      <c r="X40" s="1355"/>
      <c r="Y40" s="371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12"/>
      <c r="Q41" s="707" t="str">
        <f t="shared" si="11"/>
        <v>单套/主力户型建筑面积</v>
      </c>
      <c r="R41" s="708" t="s">
        <v>18</v>
      </c>
      <c r="S41" s="709">
        <f t="shared" si="12"/>
        <v>100</v>
      </c>
      <c r="T41" s="708" t="s">
        <v>18</v>
      </c>
      <c r="U41" s="709">
        <f t="shared" si="13"/>
        <v>100</v>
      </c>
      <c r="V41" s="708" t="s">
        <v>18</v>
      </c>
      <c r="W41" s="709">
        <f t="shared" si="14"/>
        <v>100</v>
      </c>
      <c r="X41" s="710"/>
      <c r="Y41" s="371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12"/>
      <c r="Q42" s="1352" t="str">
        <f t="shared" si="11"/>
        <v>内部装修</v>
      </c>
      <c r="R42" s="705" t="s">
        <v>18</v>
      </c>
      <c r="S42" s="706">
        <f t="shared" si="12"/>
        <v>100</v>
      </c>
      <c r="T42" s="705" t="s">
        <v>18</v>
      </c>
      <c r="U42" s="706">
        <f t="shared" si="13"/>
        <v>100</v>
      </c>
      <c r="V42" s="705" t="s">
        <v>18</v>
      </c>
      <c r="W42" s="706">
        <f t="shared" si="14"/>
        <v>100</v>
      </c>
      <c r="X42" s="1355"/>
      <c r="Y42" s="371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12"/>
      <c r="Q43" s="1352" t="str">
        <f t="shared" si="11"/>
        <v>内部装修维护情况</v>
      </c>
      <c r="R43" s="705" t="s">
        <v>18</v>
      </c>
      <c r="S43" s="706">
        <f t="shared" si="12"/>
        <v>100</v>
      </c>
      <c r="T43" s="705" t="s">
        <v>18</v>
      </c>
      <c r="U43" s="706">
        <f t="shared" si="13"/>
        <v>100</v>
      </c>
      <c r="V43" s="705" t="s">
        <v>18</v>
      </c>
      <c r="W43" s="706">
        <f t="shared" si="14"/>
        <v>100</v>
      </c>
      <c r="X43" s="1355"/>
      <c r="Y43" s="371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12"/>
      <c r="Q44" s="1343">
        <f t="shared" si="11"/>
        <v>111</v>
      </c>
      <c r="R44" s="701" t="s">
        <v>18</v>
      </c>
      <c r="S44" s="702">
        <f t="shared" si="12"/>
        <v>100</v>
      </c>
      <c r="T44" s="701" t="s">
        <v>18</v>
      </c>
      <c r="U44" s="702">
        <f t="shared" si="13"/>
        <v>100</v>
      </c>
      <c r="V44" s="701" t="s">
        <v>18</v>
      </c>
      <c r="W44" s="702">
        <f t="shared" si="14"/>
        <v>100</v>
      </c>
      <c r="X44" s="703"/>
      <c r="Y44" s="371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12"/>
      <c r="Q45" s="1352">
        <f t="shared" si="11"/>
        <v>111</v>
      </c>
      <c r="R45" s="705" t="s">
        <v>18</v>
      </c>
      <c r="S45" s="706">
        <f t="shared" si="12"/>
        <v>100</v>
      </c>
      <c r="T45" s="705" t="s">
        <v>18</v>
      </c>
      <c r="U45" s="706">
        <f t="shared" si="13"/>
        <v>100</v>
      </c>
      <c r="V45" s="705" t="s">
        <v>18</v>
      </c>
      <c r="W45" s="706">
        <f t="shared" si="14"/>
        <v>100</v>
      </c>
      <c r="X45" s="1355"/>
      <c r="Y45" s="371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13"/>
      <c r="Q46" s="1352">
        <f t="shared" si="11"/>
        <v>111</v>
      </c>
      <c r="R46" s="705" t="s">
        <v>17</v>
      </c>
      <c r="S46" s="706">
        <f t="shared" si="12"/>
        <v>100</v>
      </c>
      <c r="T46" s="705" t="s">
        <v>17</v>
      </c>
      <c r="U46" s="706">
        <f t="shared" si="13"/>
        <v>100</v>
      </c>
      <c r="V46" s="705" t="s">
        <v>17</v>
      </c>
      <c r="W46" s="706">
        <f t="shared" si="14"/>
        <v>100</v>
      </c>
      <c r="X46" s="1355"/>
      <c r="Y46" s="371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716" t="str">
        <f>A47</f>
        <v>成交单价（元/平方米）</v>
      </c>
      <c r="Q47" s="3716"/>
      <c r="R47" s="3717">
        <f>E47</f>
        <v>0</v>
      </c>
      <c r="S47" s="3717"/>
      <c r="T47" s="3717">
        <f>G47</f>
        <v>0</v>
      </c>
      <c r="U47" s="3717"/>
      <c r="V47" s="3717">
        <f>I47</f>
        <v>0</v>
      </c>
      <c r="W47" s="371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75.58</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745" t="s">
        <v>1775</v>
      </c>
      <c r="Q4" s="3746"/>
      <c r="R4" s="3743" t="s">
        <v>1771</v>
      </c>
      <c r="S4" s="3744"/>
      <c r="T4" s="3743" t="s">
        <v>1772</v>
      </c>
      <c r="U4" s="3744"/>
      <c r="V4" s="3704" t="s">
        <v>1773</v>
      </c>
      <c r="W4" s="3704"/>
      <c r="X4" s="1355"/>
      <c r="Y4" s="3743" t="s">
        <v>1775</v>
      </c>
      <c r="Z4" s="3744"/>
      <c r="AA4" s="3742" t="s">
        <v>1771</v>
      </c>
      <c r="AB4" s="3704" t="s">
        <v>1772</v>
      </c>
      <c r="AC4" s="3742" t="s">
        <v>1773</v>
      </c>
    </row>
    <row r="5" spans="1:29" ht="15">
      <c r="A5" s="358"/>
      <c r="B5" s="359"/>
      <c r="C5" s="3684" t="s">
        <v>1673</v>
      </c>
      <c r="D5" s="3681"/>
      <c r="E5" s="3678" t="s">
        <v>1674</v>
      </c>
      <c r="F5" s="3679"/>
      <c r="G5" s="3684" t="s">
        <v>1675</v>
      </c>
      <c r="H5" s="3681"/>
      <c r="I5" s="3684" t="s">
        <v>1676</v>
      </c>
      <c r="J5" s="3681"/>
      <c r="K5" s="559"/>
      <c r="L5" s="2713"/>
      <c r="M5" s="2714"/>
      <c r="N5" s="2714"/>
      <c r="O5" s="2714"/>
      <c r="P5" s="3747"/>
      <c r="Q5" s="3698"/>
      <c r="R5" s="3676"/>
      <c r="S5" s="3677"/>
      <c r="T5" s="3676"/>
      <c r="U5" s="3677"/>
      <c r="V5" s="3704"/>
      <c r="W5" s="3704"/>
      <c r="X5" s="1355"/>
      <c r="Y5" s="3676"/>
      <c r="Z5" s="3677"/>
      <c r="AA5" s="3670"/>
      <c r="AB5" s="3704"/>
      <c r="AC5" s="3670"/>
    </row>
    <row r="6" spans="1:29" ht="15.75" thickBot="1">
      <c r="A6" s="360"/>
      <c r="B6" s="361"/>
      <c r="C6" s="3682" t="s">
        <v>1677</v>
      </c>
      <c r="D6" s="3683"/>
      <c r="E6" s="3685" t="s">
        <v>1677</v>
      </c>
      <c r="F6" s="3686"/>
      <c r="G6" s="3682" t="s">
        <v>1677</v>
      </c>
      <c r="H6" s="3683"/>
      <c r="I6" s="3682" t="s">
        <v>1677</v>
      </c>
      <c r="J6" s="3683"/>
      <c r="K6" s="559" t="s">
        <v>1678</v>
      </c>
      <c r="L6" s="2713"/>
      <c r="M6" s="2714"/>
      <c r="N6" s="2714"/>
      <c r="O6" s="2714"/>
      <c r="P6" s="3748"/>
      <c r="Q6" s="3700"/>
      <c r="R6" s="3676"/>
      <c r="S6" s="3677"/>
      <c r="T6" s="3701"/>
      <c r="U6" s="3702"/>
      <c r="V6" s="3704"/>
      <c r="W6" s="3704"/>
      <c r="X6" s="1355"/>
      <c r="Y6" s="3701"/>
      <c r="Z6" s="3702"/>
      <c r="AA6" s="3671"/>
      <c r="AB6" s="3704"/>
      <c r="AC6" s="3671"/>
    </row>
    <row r="7" spans="1:29" s="108" customFormat="1" ht="15.75" thickBot="1">
      <c r="A7" s="362" t="s">
        <v>1679</v>
      </c>
      <c r="B7" s="363"/>
      <c r="C7" s="364">
        <f>'数据-取费表'!B2</f>
        <v>45455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2" t="s">
        <v>1680</v>
      </c>
      <c r="Q7" s="3706"/>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2" t="s">
        <v>1683</v>
      </c>
      <c r="Q8" s="3673"/>
      <c r="R8" s="701" t="s">
        <v>14</v>
      </c>
      <c r="S8" s="702">
        <f t="shared" si="0"/>
        <v>100</v>
      </c>
      <c r="T8" s="701" t="s">
        <v>14</v>
      </c>
      <c r="U8" s="702">
        <f t="shared" si="1"/>
        <v>100</v>
      </c>
      <c r="V8" s="701" t="s">
        <v>14</v>
      </c>
      <c r="W8" s="702">
        <f t="shared" si="2"/>
        <v>100</v>
      </c>
      <c r="X8" s="703"/>
      <c r="Y8" s="3672" t="s">
        <v>1683</v>
      </c>
      <c r="Z8" s="367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7"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7"/>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7"/>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7"/>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7"/>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7"/>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2" t="str">
        <f t="shared" si="6"/>
        <v>商业繁华度</v>
      </c>
      <c r="R15" s="705" t="s">
        <v>14</v>
      </c>
      <c r="S15" s="706">
        <f t="shared" si="0"/>
        <v>100</v>
      </c>
      <c r="T15" s="705" t="s">
        <v>14</v>
      </c>
      <c r="U15" s="706">
        <f t="shared" si="1"/>
        <v>100</v>
      </c>
      <c r="V15" s="705" t="s">
        <v>14</v>
      </c>
      <c r="W15" s="706">
        <f t="shared" si="2"/>
        <v>100</v>
      </c>
      <c r="X15" s="1355"/>
      <c r="Y15" s="370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08"/>
      <c r="Q16" s="1352"/>
      <c r="R16" s="705"/>
      <c r="S16" s="706"/>
      <c r="T16" s="705"/>
      <c r="U16" s="706"/>
      <c r="V16" s="705"/>
      <c r="W16" s="706"/>
      <c r="X16" s="1355"/>
      <c r="Y16" s="3710"/>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08"/>
      <c r="Q18" s="1352"/>
      <c r="R18" s="705"/>
      <c r="S18" s="706"/>
      <c r="T18" s="705"/>
      <c r="U18" s="706"/>
      <c r="V18" s="705"/>
      <c r="W18" s="706"/>
      <c r="X18" s="1355"/>
      <c r="Y18" s="3710"/>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2" t="str">
        <f>B19</f>
        <v>公共配套设施</v>
      </c>
      <c r="R19" s="705" t="s">
        <v>14</v>
      </c>
      <c r="S19" s="706">
        <f>F19</f>
        <v>100</v>
      </c>
      <c r="T19" s="705" t="s">
        <v>14</v>
      </c>
      <c r="U19" s="706">
        <f>H19</f>
        <v>100</v>
      </c>
      <c r="V19" s="705" t="s">
        <v>14</v>
      </c>
      <c r="W19" s="706">
        <f>J19</f>
        <v>100</v>
      </c>
      <c r="X19" s="1355"/>
      <c r="Y19" s="371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08"/>
      <c r="Q20" s="1352"/>
      <c r="R20" s="705"/>
      <c r="S20" s="706"/>
      <c r="T20" s="705"/>
      <c r="U20" s="706"/>
      <c r="V20" s="705"/>
      <c r="W20" s="706"/>
      <c r="X20" s="1355"/>
      <c r="Y20" s="3710"/>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08"/>
      <c r="Q22" s="1352"/>
      <c r="R22" s="705"/>
      <c r="S22" s="706"/>
      <c r="T22" s="705"/>
      <c r="U22" s="706"/>
      <c r="V22" s="705"/>
      <c r="W22" s="706"/>
      <c r="X22" s="1355"/>
      <c r="Y22" s="3710"/>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2" t="str">
        <f>B23</f>
        <v>自然及人文环境</v>
      </c>
      <c r="R23" s="705" t="s">
        <v>14</v>
      </c>
      <c r="S23" s="706">
        <f>F23</f>
        <v>100</v>
      </c>
      <c r="T23" s="705" t="s">
        <v>14</v>
      </c>
      <c r="U23" s="706">
        <f>H23</f>
        <v>100</v>
      </c>
      <c r="V23" s="705" t="s">
        <v>14</v>
      </c>
      <c r="W23" s="706">
        <f>J23</f>
        <v>100</v>
      </c>
      <c r="X23" s="1355"/>
      <c r="Y23" s="371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08"/>
      <c r="Q24" s="1352"/>
      <c r="R24" s="705"/>
      <c r="S24" s="706"/>
      <c r="T24" s="705"/>
      <c r="U24" s="706"/>
      <c r="V24" s="705"/>
      <c r="W24" s="706"/>
      <c r="X24" s="1355"/>
      <c r="Y24" s="371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2" t="str">
        <f t="shared" ref="Q25:Q46" si="11">B25</f>
        <v>临街状况</v>
      </c>
      <c r="R25" s="705" t="s">
        <v>14</v>
      </c>
      <c r="S25" s="706">
        <f>F25</f>
        <v>100</v>
      </c>
      <c r="T25" s="705" t="s">
        <v>14</v>
      </c>
      <c r="U25" s="706">
        <f>H25</f>
        <v>100</v>
      </c>
      <c r="V25" s="705" t="s">
        <v>14</v>
      </c>
      <c r="W25" s="706">
        <f>J25</f>
        <v>100</v>
      </c>
      <c r="X25" s="1355"/>
      <c r="Y25" s="371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2" t="str">
        <f t="shared" si="11"/>
        <v>平面位置/可视性</v>
      </c>
      <c r="R26" s="705" t="s">
        <v>14</v>
      </c>
      <c r="S26" s="706">
        <f>F26</f>
        <v>100</v>
      </c>
      <c r="T26" s="705" t="s">
        <v>14</v>
      </c>
      <c r="U26" s="706">
        <f>H26</f>
        <v>100</v>
      </c>
      <c r="V26" s="705" t="s">
        <v>14</v>
      </c>
      <c r="W26" s="706">
        <f>J26</f>
        <v>100</v>
      </c>
      <c r="X26" s="1355"/>
      <c r="Y26" s="371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08"/>
      <c r="Q27" s="1343" t="str">
        <f t="shared" si="11"/>
        <v>人流量</v>
      </c>
      <c r="R27" s="701" t="s">
        <v>14</v>
      </c>
      <c r="S27" s="702">
        <f>F27</f>
        <v>100</v>
      </c>
      <c r="T27" s="701" t="s">
        <v>14</v>
      </c>
      <c r="U27" s="702">
        <f>H27</f>
        <v>100</v>
      </c>
      <c r="V27" s="701" t="s">
        <v>14</v>
      </c>
      <c r="W27" s="702">
        <f>J27</f>
        <v>100</v>
      </c>
      <c r="X27" s="703"/>
      <c r="Y27" s="371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2">
        <f t="shared" si="11"/>
        <v>111</v>
      </c>
      <c r="R29" s="705" t="s">
        <v>14</v>
      </c>
      <c r="S29" s="706">
        <f t="shared" si="12"/>
        <v>100</v>
      </c>
      <c r="T29" s="705" t="s">
        <v>14</v>
      </c>
      <c r="U29" s="706">
        <f t="shared" si="13"/>
        <v>100</v>
      </c>
      <c r="V29" s="705" t="s">
        <v>14</v>
      </c>
      <c r="W29" s="706">
        <f t="shared" si="14"/>
        <v>100</v>
      </c>
      <c r="X29" s="1355"/>
      <c r="Y29" s="371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2">
        <f t="shared" si="11"/>
        <v>111</v>
      </c>
      <c r="R30" s="705" t="s">
        <v>14</v>
      </c>
      <c r="S30" s="706">
        <f t="shared" si="12"/>
        <v>100</v>
      </c>
      <c r="T30" s="705" t="s">
        <v>14</v>
      </c>
      <c r="U30" s="706">
        <f t="shared" si="13"/>
        <v>100</v>
      </c>
      <c r="V30" s="705" t="s">
        <v>14</v>
      </c>
      <c r="W30" s="706">
        <f t="shared" si="14"/>
        <v>100</v>
      </c>
      <c r="X30" s="1355"/>
      <c r="Y30" s="371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2">
        <f t="shared" si="11"/>
        <v>111</v>
      </c>
      <c r="R31" s="705" t="s">
        <v>14</v>
      </c>
      <c r="S31" s="706">
        <f t="shared" si="12"/>
        <v>100</v>
      </c>
      <c r="T31" s="705" t="s">
        <v>14</v>
      </c>
      <c r="U31" s="706">
        <f t="shared" si="13"/>
        <v>100</v>
      </c>
      <c r="V31" s="705" t="s">
        <v>14</v>
      </c>
      <c r="W31" s="706">
        <f t="shared" si="14"/>
        <v>100</v>
      </c>
      <c r="X31" s="1355"/>
      <c r="Y31" s="371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11" t="s">
        <v>1696</v>
      </c>
      <c r="Q32" s="1352" t="str">
        <f t="shared" si="11"/>
        <v>商业类型</v>
      </c>
      <c r="R32" s="705" t="s">
        <v>14</v>
      </c>
      <c r="S32" s="706">
        <f t="shared" si="12"/>
        <v>100</v>
      </c>
      <c r="T32" s="705" t="s">
        <v>14</v>
      </c>
      <c r="U32" s="706">
        <f t="shared" si="13"/>
        <v>100</v>
      </c>
      <c r="V32" s="705" t="s">
        <v>14</v>
      </c>
      <c r="W32" s="706">
        <f t="shared" si="14"/>
        <v>100</v>
      </c>
      <c r="X32" s="1355"/>
      <c r="Y32" s="371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2"/>
      <c r="Q33" s="707" t="str">
        <f t="shared" si="11"/>
        <v>项目建筑规模</v>
      </c>
      <c r="R33" s="708" t="s">
        <v>14</v>
      </c>
      <c r="S33" s="709" t="e">
        <f t="shared" si="12"/>
        <v>#N/A</v>
      </c>
      <c r="T33" s="708" t="s">
        <v>14</v>
      </c>
      <c r="U33" s="709" t="e">
        <f t="shared" si="13"/>
        <v>#N/A</v>
      </c>
      <c r="V33" s="708" t="s">
        <v>14</v>
      </c>
      <c r="W33" s="709" t="e">
        <f t="shared" si="14"/>
        <v>#N/A</v>
      </c>
      <c r="X33" s="710"/>
      <c r="Y33" s="371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12"/>
      <c r="Q34" s="1352" t="str">
        <f t="shared" si="11"/>
        <v>建筑结构</v>
      </c>
      <c r="R34" s="705" t="s">
        <v>14</v>
      </c>
      <c r="S34" s="706">
        <f t="shared" si="12"/>
        <v>100</v>
      </c>
      <c r="T34" s="705" t="s">
        <v>14</v>
      </c>
      <c r="U34" s="706">
        <f t="shared" si="13"/>
        <v>100</v>
      </c>
      <c r="V34" s="705" t="s">
        <v>14</v>
      </c>
      <c r="W34" s="706">
        <f t="shared" si="14"/>
        <v>100</v>
      </c>
      <c r="X34" s="1355"/>
      <c r="Y34" s="371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12"/>
      <c r="Q35" s="1352" t="str">
        <f t="shared" si="11"/>
        <v>公共部分装修</v>
      </c>
      <c r="R35" s="705" t="s">
        <v>14</v>
      </c>
      <c r="S35" s="706">
        <f t="shared" si="12"/>
        <v>100</v>
      </c>
      <c r="T35" s="705" t="s">
        <v>14</v>
      </c>
      <c r="U35" s="706">
        <f t="shared" si="13"/>
        <v>100</v>
      </c>
      <c r="V35" s="705" t="s">
        <v>14</v>
      </c>
      <c r="W35" s="706">
        <f t="shared" si="14"/>
        <v>100</v>
      </c>
      <c r="X35" s="1355"/>
      <c r="Y35" s="371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2"/>
      <c r="Q36" s="1352" t="str">
        <f t="shared" si="11"/>
        <v>成新度</v>
      </c>
      <c r="R36" s="705" t="s">
        <v>14</v>
      </c>
      <c r="S36" s="706" t="e">
        <f t="shared" si="12"/>
        <v>#N/A</v>
      </c>
      <c r="T36" s="705" t="s">
        <v>14</v>
      </c>
      <c r="U36" s="706" t="e">
        <f t="shared" si="13"/>
        <v>#N/A</v>
      </c>
      <c r="V36" s="705" t="s">
        <v>14</v>
      </c>
      <c r="W36" s="706" t="e">
        <f t="shared" si="14"/>
        <v>#N/A</v>
      </c>
      <c r="X36" s="1355"/>
      <c r="Y36" s="371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12"/>
      <c r="Q37" s="1343" t="str">
        <f t="shared" si="11"/>
        <v>市政基础设施</v>
      </c>
      <c r="R37" s="701" t="s">
        <v>14</v>
      </c>
      <c r="S37" s="702">
        <f t="shared" si="12"/>
        <v>100</v>
      </c>
      <c r="T37" s="701" t="s">
        <v>14</v>
      </c>
      <c r="U37" s="702">
        <f t="shared" si="13"/>
        <v>100</v>
      </c>
      <c r="V37" s="701" t="s">
        <v>14</v>
      </c>
      <c r="W37" s="702">
        <f t="shared" si="14"/>
        <v>100</v>
      </c>
      <c r="X37" s="703"/>
      <c r="Y37" s="371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12" t="s">
        <v>1696</v>
      </c>
      <c r="Q38" s="1352" t="str">
        <f t="shared" si="11"/>
        <v>业态</v>
      </c>
      <c r="R38" s="705" t="s">
        <v>14</v>
      </c>
      <c r="S38" s="706">
        <f t="shared" si="12"/>
        <v>100</v>
      </c>
      <c r="T38" s="705" t="s">
        <v>14</v>
      </c>
      <c r="U38" s="706">
        <f t="shared" si="13"/>
        <v>100</v>
      </c>
      <c r="V38" s="705" t="s">
        <v>14</v>
      </c>
      <c r="W38" s="706">
        <f t="shared" si="14"/>
        <v>100</v>
      </c>
      <c r="X38" s="1355"/>
      <c r="Y38" s="371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12"/>
      <c r="Q39" s="1352" t="str">
        <f t="shared" si="11"/>
        <v>层高</v>
      </c>
      <c r="R39" s="705" t="s">
        <v>14</v>
      </c>
      <c r="S39" s="706">
        <f t="shared" si="12"/>
        <v>100</v>
      </c>
      <c r="T39" s="705" t="s">
        <v>14</v>
      </c>
      <c r="U39" s="706">
        <f t="shared" si="13"/>
        <v>100</v>
      </c>
      <c r="V39" s="705" t="s">
        <v>14</v>
      </c>
      <c r="W39" s="706">
        <f t="shared" si="14"/>
        <v>100</v>
      </c>
      <c r="X39" s="1355"/>
      <c r="Y39" s="371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2"/>
      <c r="Q40" s="1352" t="str">
        <f t="shared" si="11"/>
        <v>单套建筑面积</v>
      </c>
      <c r="R40" s="705" t="s">
        <v>14</v>
      </c>
      <c r="S40" s="706">
        <f t="shared" si="12"/>
        <v>100</v>
      </c>
      <c r="T40" s="705" t="s">
        <v>14</v>
      </c>
      <c r="U40" s="706">
        <f t="shared" si="13"/>
        <v>100</v>
      </c>
      <c r="V40" s="705" t="s">
        <v>14</v>
      </c>
      <c r="W40" s="706">
        <f t="shared" si="14"/>
        <v>100</v>
      </c>
      <c r="X40" s="1355"/>
      <c r="Y40" s="371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2"/>
      <c r="Q41" s="707" t="str">
        <f t="shared" si="11"/>
        <v>进深比</v>
      </c>
      <c r="R41" s="708" t="s">
        <v>14</v>
      </c>
      <c r="S41" s="709">
        <f t="shared" si="12"/>
        <v>100</v>
      </c>
      <c r="T41" s="708" t="s">
        <v>14</v>
      </c>
      <c r="U41" s="709">
        <f t="shared" si="13"/>
        <v>100</v>
      </c>
      <c r="V41" s="708" t="s">
        <v>14</v>
      </c>
      <c r="W41" s="709">
        <f t="shared" si="14"/>
        <v>100</v>
      </c>
      <c r="X41" s="710"/>
      <c r="Y41" s="371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12"/>
      <c r="Q42" s="1352" t="str">
        <f t="shared" si="11"/>
        <v>内部装修</v>
      </c>
      <c r="R42" s="705" t="s">
        <v>14</v>
      </c>
      <c r="S42" s="706">
        <f t="shared" si="12"/>
        <v>100</v>
      </c>
      <c r="T42" s="705" t="s">
        <v>14</v>
      </c>
      <c r="U42" s="706">
        <f t="shared" si="13"/>
        <v>100</v>
      </c>
      <c r="V42" s="705" t="s">
        <v>14</v>
      </c>
      <c r="W42" s="706">
        <f t="shared" si="14"/>
        <v>100</v>
      </c>
      <c r="X42" s="1355"/>
      <c r="Y42" s="371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12"/>
      <c r="Q43" s="1352" t="str">
        <f t="shared" si="11"/>
        <v>内部装修维护情况</v>
      </c>
      <c r="R43" s="705" t="s">
        <v>14</v>
      </c>
      <c r="S43" s="706">
        <f t="shared" si="12"/>
        <v>100</v>
      </c>
      <c r="T43" s="705" t="s">
        <v>14</v>
      </c>
      <c r="U43" s="706">
        <f t="shared" si="13"/>
        <v>100</v>
      </c>
      <c r="V43" s="705" t="s">
        <v>14</v>
      </c>
      <c r="W43" s="706">
        <f t="shared" si="14"/>
        <v>100</v>
      </c>
      <c r="X43" s="1355"/>
      <c r="Y43" s="371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2"/>
      <c r="Q44" s="1343">
        <f t="shared" si="11"/>
        <v>111</v>
      </c>
      <c r="R44" s="701" t="s">
        <v>14</v>
      </c>
      <c r="S44" s="702">
        <f t="shared" si="12"/>
        <v>100</v>
      </c>
      <c r="T44" s="701" t="s">
        <v>14</v>
      </c>
      <c r="U44" s="702">
        <f t="shared" si="13"/>
        <v>100</v>
      </c>
      <c r="V44" s="701" t="s">
        <v>14</v>
      </c>
      <c r="W44" s="702">
        <f t="shared" si="14"/>
        <v>100</v>
      </c>
      <c r="X44" s="703"/>
      <c r="Y44" s="371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2"/>
      <c r="Q45" s="1352">
        <f t="shared" si="11"/>
        <v>111</v>
      </c>
      <c r="R45" s="705" t="s">
        <v>14</v>
      </c>
      <c r="S45" s="706">
        <f t="shared" si="12"/>
        <v>100</v>
      </c>
      <c r="T45" s="705" t="s">
        <v>14</v>
      </c>
      <c r="U45" s="706">
        <f t="shared" si="13"/>
        <v>100</v>
      </c>
      <c r="V45" s="705" t="s">
        <v>14</v>
      </c>
      <c r="W45" s="706">
        <f t="shared" si="14"/>
        <v>100</v>
      </c>
      <c r="X45" s="1355"/>
      <c r="Y45" s="371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3"/>
      <c r="Q46" s="1352">
        <f t="shared" si="11"/>
        <v>111</v>
      </c>
      <c r="R46" s="705" t="s">
        <v>14</v>
      </c>
      <c r="S46" s="706">
        <f t="shared" si="12"/>
        <v>100</v>
      </c>
      <c r="T46" s="705" t="s">
        <v>14</v>
      </c>
      <c r="U46" s="706">
        <f t="shared" si="13"/>
        <v>100</v>
      </c>
      <c r="V46" s="705" t="s">
        <v>14</v>
      </c>
      <c r="W46" s="706">
        <f t="shared" si="14"/>
        <v>100</v>
      </c>
      <c r="X46" s="1355"/>
      <c r="Y46" s="371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16" t="str">
        <f>A47</f>
        <v>成交单价（元/平方米）</v>
      </c>
      <c r="Q47" s="3716"/>
      <c r="R47" s="3704">
        <f>E47</f>
        <v>0</v>
      </c>
      <c r="S47" s="3704"/>
      <c r="T47" s="3704">
        <f>G47</f>
        <v>0</v>
      </c>
      <c r="U47" s="3704"/>
      <c r="V47" s="3704">
        <f>I47</f>
        <v>0</v>
      </c>
      <c r="W47" s="370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view="pageBreakPreview" zoomScale="85" zoomScaleNormal="70" zoomScaleSheetLayoutView="85" workbookViewId="0">
      <selection activeCell="I41" sqref="I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3415</v>
      </c>
      <c r="F1" s="1879" t="s">
        <v>3412</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4.2299999999999997E-2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5.6</v>
      </c>
      <c r="C3" s="354" t="s">
        <v>1768</v>
      </c>
      <c r="D3" s="353">
        <f>IF(D1="",'数据-汇总表'!E3,SUMIF('数据-汇总表'!$C19:$C33,D1,'数据-汇总表'!$E19:$E33))</f>
        <v>75.58</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1" t="s">
        <v>1667</v>
      </c>
      <c r="D4" s="3692"/>
      <c r="E4" s="3693" t="s">
        <v>1668</v>
      </c>
      <c r="F4" s="3694"/>
      <c r="G4" s="3691" t="s">
        <v>1669</v>
      </c>
      <c r="H4" s="3692"/>
      <c r="I4" s="3691" t="s">
        <v>1773</v>
      </c>
      <c r="J4" s="3692"/>
      <c r="K4" s="559" t="s">
        <v>1671</v>
      </c>
      <c r="L4" s="2713"/>
      <c r="M4" s="2714"/>
      <c r="N4" s="2714"/>
      <c r="O4" s="2714"/>
      <c r="P4" s="3695" t="s">
        <v>1775</v>
      </c>
      <c r="Q4" s="3696"/>
      <c r="R4" s="3674" t="s">
        <v>1668</v>
      </c>
      <c r="S4" s="3675"/>
      <c r="T4" s="3674" t="s">
        <v>1669</v>
      </c>
      <c r="U4" s="3675"/>
      <c r="V4" s="3703" t="s">
        <v>1773</v>
      </c>
      <c r="W4" s="3703"/>
      <c r="X4" s="3454"/>
      <c r="Y4" s="3674" t="s">
        <v>1775</v>
      </c>
      <c r="Z4" s="3675"/>
      <c r="AA4" s="3669" t="s">
        <v>1668</v>
      </c>
      <c r="AB4" s="3669" t="s">
        <v>1669</v>
      </c>
      <c r="AC4" s="3688" t="s">
        <v>1773</v>
      </c>
    </row>
    <row r="5" spans="1:29" ht="15">
      <c r="A5" s="358"/>
      <c r="B5" s="359"/>
      <c r="C5" s="3680" t="s">
        <v>3416</v>
      </c>
      <c r="D5" s="3681"/>
      <c r="E5" s="3678" t="str">
        <f>案例!A7</f>
        <v>万柳亿城中心</v>
      </c>
      <c r="F5" s="3679"/>
      <c r="G5" s="3684" t="str">
        <f>案例!A8</f>
        <v>万柳亿城中心</v>
      </c>
      <c r="H5" s="3681"/>
      <c r="I5" s="3684" t="str">
        <f>案例!A8</f>
        <v>万柳亿城中心</v>
      </c>
      <c r="J5" s="3681"/>
      <c r="K5" s="559"/>
      <c r="L5" s="2713"/>
      <c r="M5" s="2714"/>
      <c r="N5" s="2714"/>
      <c r="O5" s="2714"/>
      <c r="P5" s="3697"/>
      <c r="Q5" s="3698"/>
      <c r="R5" s="3676"/>
      <c r="S5" s="3677"/>
      <c r="T5" s="3676"/>
      <c r="U5" s="3677"/>
      <c r="V5" s="3704"/>
      <c r="W5" s="3704"/>
      <c r="X5" s="3452"/>
      <c r="Y5" s="3676"/>
      <c r="Z5" s="3677"/>
      <c r="AA5" s="3670"/>
      <c r="AB5" s="3670"/>
      <c r="AC5" s="3689"/>
    </row>
    <row r="6" spans="1:29" ht="15.75" thickBot="1">
      <c r="A6" s="360"/>
      <c r="B6" s="361"/>
      <c r="C6" s="3682" t="s">
        <v>1677</v>
      </c>
      <c r="D6" s="3683"/>
      <c r="E6" s="3685" t="s">
        <v>1677</v>
      </c>
      <c r="F6" s="3686"/>
      <c r="G6" s="3682" t="s">
        <v>1677</v>
      </c>
      <c r="H6" s="3683"/>
      <c r="I6" s="3682" t="s">
        <v>1677</v>
      </c>
      <c r="J6" s="3683"/>
      <c r="K6" s="559" t="s">
        <v>1678</v>
      </c>
      <c r="L6" s="2713"/>
      <c r="M6" s="2714"/>
      <c r="N6" s="2714"/>
      <c r="O6" s="2714"/>
      <c r="P6" s="3699"/>
      <c r="Q6" s="3700"/>
      <c r="R6" s="3676"/>
      <c r="S6" s="3677"/>
      <c r="T6" s="3701"/>
      <c r="U6" s="3702"/>
      <c r="V6" s="3704"/>
      <c r="W6" s="3704"/>
      <c r="X6" s="3452"/>
      <c r="Y6" s="3701"/>
      <c r="Z6" s="3702"/>
      <c r="AA6" s="3671"/>
      <c r="AB6" s="3671"/>
      <c r="AC6" s="3690"/>
    </row>
    <row r="7" spans="1:29" s="108" customFormat="1" ht="15.75" thickBot="1">
      <c r="A7" s="362" t="s">
        <v>1679</v>
      </c>
      <c r="B7" s="363"/>
      <c r="C7" s="364">
        <f>'数据-取费表'!B2</f>
        <v>45455</v>
      </c>
      <c r="D7" s="365">
        <v>100</v>
      </c>
      <c r="E7" s="366">
        <v>45450</v>
      </c>
      <c r="F7" s="367">
        <f>SUMIF(59:59,YEAR(E7)&amp;"-"&amp;MONTH(E7),60:60)</f>
        <v>100</v>
      </c>
      <c r="G7" s="366">
        <v>45450</v>
      </c>
      <c r="H7" s="365">
        <f>SUMIF(59:59,YEAR(G7)&amp;"-"&amp;MONTH(G7),60:60)</f>
        <v>100</v>
      </c>
      <c r="I7" s="366">
        <v>45450</v>
      </c>
      <c r="J7" s="365">
        <f>SUMIF(59:59,YEAR(I7)&amp;"-"&amp;MONTH(I7),60:60)</f>
        <v>100</v>
      </c>
      <c r="K7" s="560"/>
      <c r="L7" s="2715"/>
      <c r="M7" s="2716"/>
      <c r="N7" s="2716"/>
      <c r="O7" s="2716"/>
      <c r="P7" s="3705" t="s">
        <v>1680</v>
      </c>
      <c r="Q7" s="3706"/>
      <c r="R7" s="701" t="s">
        <v>14</v>
      </c>
      <c r="S7" s="702">
        <f t="shared" ref="S7:S15" si="0">F7</f>
        <v>100</v>
      </c>
      <c r="T7" s="701" t="s">
        <v>14</v>
      </c>
      <c r="U7" s="702">
        <f t="shared" ref="U7:U15" si="1">H7</f>
        <v>100</v>
      </c>
      <c r="V7" s="701" t="s">
        <v>14</v>
      </c>
      <c r="W7" s="702">
        <f t="shared" ref="W7:W15" si="2">J7</f>
        <v>100</v>
      </c>
      <c r="X7" s="703"/>
      <c r="Y7" s="3672" t="s">
        <v>1680</v>
      </c>
      <c r="Z7" s="3673"/>
      <c r="AA7" s="704">
        <f>D7/F7</f>
        <v>1</v>
      </c>
      <c r="AB7" s="704">
        <f>D7/H7</f>
        <v>1</v>
      </c>
      <c r="AC7" s="1959">
        <f>D7/J7</f>
        <v>1</v>
      </c>
    </row>
    <row r="8" spans="1:29" s="108" customFormat="1" ht="15.75" thickBot="1">
      <c r="A8" s="362" t="s">
        <v>1681</v>
      </c>
      <c r="B8" s="363"/>
      <c r="C8" s="368" t="s">
        <v>3417</v>
      </c>
      <c r="D8" s="365">
        <v>100</v>
      </c>
      <c r="E8" s="3467" t="s">
        <v>3422</v>
      </c>
      <c r="F8" s="367">
        <f>SUMIF(62:62,E8,63:63)-SUMIF(62:62,C8,63:63)+100</f>
        <v>105</v>
      </c>
      <c r="G8" s="3467" t="s">
        <v>3422</v>
      </c>
      <c r="H8" s="365">
        <f>SUMIF(62:62,G8,63:63)-SUMIF(62:62,C8,63:63)+100</f>
        <v>105</v>
      </c>
      <c r="I8" s="3467" t="s">
        <v>3422</v>
      </c>
      <c r="J8" s="365">
        <f>SUMIF(62:62,I8,63:63)-SUMIF(62:62,C8,63:63)+100</f>
        <v>105</v>
      </c>
      <c r="K8" s="560"/>
      <c r="L8" s="2715"/>
      <c r="M8" s="2716"/>
      <c r="N8" s="2716"/>
      <c r="O8" s="2716"/>
      <c r="P8" s="3705" t="s">
        <v>1683</v>
      </c>
      <c r="Q8" s="3673"/>
      <c r="R8" s="701" t="s">
        <v>14</v>
      </c>
      <c r="S8" s="702">
        <f t="shared" si="0"/>
        <v>105</v>
      </c>
      <c r="T8" s="701" t="s">
        <v>14</v>
      </c>
      <c r="U8" s="702">
        <f t="shared" si="1"/>
        <v>105</v>
      </c>
      <c r="V8" s="701" t="s">
        <v>14</v>
      </c>
      <c r="W8" s="702">
        <f t="shared" si="2"/>
        <v>105</v>
      </c>
      <c r="X8" s="703"/>
      <c r="Y8" s="3672" t="s">
        <v>1683</v>
      </c>
      <c r="Z8" s="3673"/>
      <c r="AA8" s="704">
        <f t="shared" ref="AA8:AA47" si="3">D8/F8</f>
        <v>0.95238095238095233</v>
      </c>
      <c r="AB8" s="704">
        <f t="shared" ref="AB8:AB47" si="4">D8/H8</f>
        <v>0.95238095238095233</v>
      </c>
      <c r="AC8" s="1959">
        <f t="shared" ref="AC8:AC47" si="5">D8/J8</f>
        <v>0.95238095238095233</v>
      </c>
    </row>
    <row r="9" spans="1:29" s="108" customFormat="1" ht="15" thickBot="1">
      <c r="A9" s="369" t="s">
        <v>1684</v>
      </c>
      <c r="B9" s="63" t="s">
        <v>1685</v>
      </c>
      <c r="C9" s="3460" t="s">
        <v>3418</v>
      </c>
      <c r="D9" s="126">
        <v>100</v>
      </c>
      <c r="E9" s="3468" t="s">
        <v>3418</v>
      </c>
      <c r="F9" s="126">
        <f>SUMIF(64:64,E9,65:65)-SUMIF(64:64,C9,65:65)+100</f>
        <v>100</v>
      </c>
      <c r="G9" s="3468" t="s">
        <v>3418</v>
      </c>
      <c r="H9" s="126">
        <f>SUMIF(64:64,G9,65:65)-SUMIF(64:64,C9,65:65)+100</f>
        <v>100</v>
      </c>
      <c r="I9" s="3468" t="s">
        <v>3418</v>
      </c>
      <c r="J9" s="126">
        <f>SUMIF(64:64,I9,65:65)-SUMIF(64:64,C9,65:65)+100</f>
        <v>100</v>
      </c>
      <c r="K9" s="560"/>
      <c r="L9" s="2715"/>
      <c r="M9" s="2716"/>
      <c r="N9" s="2716"/>
      <c r="O9" s="2716"/>
      <c r="P9" s="3687" t="s">
        <v>1686</v>
      </c>
      <c r="Q9" s="3448" t="str">
        <f t="shared" ref="Q9:Q15" si="6">B9</f>
        <v>用途</v>
      </c>
      <c r="R9" s="701" t="s">
        <v>14</v>
      </c>
      <c r="S9" s="702">
        <f t="shared" si="0"/>
        <v>100</v>
      </c>
      <c r="T9" s="701" t="s">
        <v>14</v>
      </c>
      <c r="U9" s="702">
        <f t="shared" si="1"/>
        <v>100</v>
      </c>
      <c r="V9" s="701" t="s">
        <v>14</v>
      </c>
      <c r="W9" s="702">
        <f t="shared" si="2"/>
        <v>100</v>
      </c>
      <c r="X9" s="703"/>
      <c r="Y9" s="3637" t="s">
        <v>1687</v>
      </c>
      <c r="Z9" s="3447" t="str">
        <f t="shared" ref="Z9:Z15" si="7">Q9</f>
        <v>用途</v>
      </c>
      <c r="AA9" s="704">
        <f t="shared" si="3"/>
        <v>1</v>
      </c>
      <c r="AB9" s="704">
        <f t="shared" si="4"/>
        <v>1</v>
      </c>
      <c r="AC9" s="1959">
        <f t="shared" si="5"/>
        <v>1</v>
      </c>
    </row>
    <row r="10" spans="1:29" s="378" customFormat="1" ht="27.75" hidden="1" thickBot="1">
      <c r="A10" s="374"/>
      <c r="B10" s="375" t="s">
        <v>1688</v>
      </c>
      <c r="C10" s="3432"/>
      <c r="D10" s="127">
        <v>100</v>
      </c>
      <c r="E10" s="3432"/>
      <c r="F10" s="127">
        <f>SUMIF(66:66,E10,67:67)-SUMIF(66:66,C10,67:67)+100</f>
        <v>100</v>
      </c>
      <c r="G10" s="3432"/>
      <c r="H10" s="127">
        <f>SUMIF(66:66,G10,67:67)-SUMIF(66:66,C10,67:67)+100</f>
        <v>100</v>
      </c>
      <c r="I10" s="3432"/>
      <c r="J10" s="127">
        <f>SUMIF(66:66,I10,67:67)-SUMIF(66:66,C10,67:67)+100</f>
        <v>100</v>
      </c>
      <c r="K10" s="560"/>
      <c r="L10" s="2717"/>
      <c r="M10" s="2718"/>
      <c r="N10" s="2718"/>
      <c r="O10" s="2718"/>
      <c r="P10" s="3687"/>
      <c r="Q10" s="3448" t="str">
        <f t="shared" si="6"/>
        <v>土地使用年限（年）</v>
      </c>
      <c r="R10" s="701" t="s">
        <v>14</v>
      </c>
      <c r="S10" s="702">
        <f t="shared" si="0"/>
        <v>100</v>
      </c>
      <c r="T10" s="701" t="s">
        <v>14</v>
      </c>
      <c r="U10" s="702">
        <f t="shared" si="1"/>
        <v>100</v>
      </c>
      <c r="V10" s="701" t="s">
        <v>14</v>
      </c>
      <c r="W10" s="702">
        <f t="shared" si="2"/>
        <v>100</v>
      </c>
      <c r="X10" s="703"/>
      <c r="Y10" s="3637"/>
      <c r="Z10" s="3447"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9"/>
      <c r="M11" s="2714"/>
      <c r="N11" s="2714"/>
      <c r="O11" s="2714"/>
      <c r="P11" s="3687"/>
      <c r="Q11" s="3448" t="str">
        <f t="shared" si="6"/>
        <v>容积率</v>
      </c>
      <c r="R11" s="701" t="s">
        <v>14</v>
      </c>
      <c r="S11" s="702">
        <f t="shared" si="0"/>
        <v>100</v>
      </c>
      <c r="T11" s="701" t="s">
        <v>14</v>
      </c>
      <c r="U11" s="702">
        <f t="shared" si="1"/>
        <v>100</v>
      </c>
      <c r="V11" s="701" t="s">
        <v>14</v>
      </c>
      <c r="W11" s="702">
        <f t="shared" si="2"/>
        <v>100</v>
      </c>
      <c r="X11" s="703"/>
      <c r="Y11" s="3637"/>
      <c r="Z11" s="3447"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383"/>
      <c r="H12" s="127">
        <f>SUMIF(71:71,G12,72:72)-SUMIF(71:71,C12,72:72)+100</f>
        <v>100</v>
      </c>
      <c r="I12" s="383"/>
      <c r="J12" s="127">
        <f>SUMIF(71:71,I12,72:72)-SUMIF(71:71,C12,72:72)+100</f>
        <v>100</v>
      </c>
      <c r="K12" s="562"/>
      <c r="L12" s="2715"/>
      <c r="M12" s="2716"/>
      <c r="N12" s="2716"/>
      <c r="O12" s="2716"/>
      <c r="P12" s="3687"/>
      <c r="Q12" s="3448">
        <f t="shared" si="6"/>
        <v>111</v>
      </c>
      <c r="R12" s="701" t="s">
        <v>14</v>
      </c>
      <c r="S12" s="702">
        <f t="shared" si="0"/>
        <v>100</v>
      </c>
      <c r="T12" s="701" t="s">
        <v>14</v>
      </c>
      <c r="U12" s="702">
        <f t="shared" si="1"/>
        <v>100</v>
      </c>
      <c r="V12" s="701" t="s">
        <v>14</v>
      </c>
      <c r="W12" s="702">
        <f t="shared" si="2"/>
        <v>100</v>
      </c>
      <c r="X12" s="703"/>
      <c r="Y12" s="3637"/>
      <c r="Z12" s="3447">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383"/>
      <c r="H13" s="386">
        <f>SUMIF(73:73,G13,74:74)-SUMIF(73:73,C13,74:74)+100</f>
        <v>100</v>
      </c>
      <c r="I13" s="383"/>
      <c r="J13" s="386">
        <f>SUMIF(73:73,I13,74:74)-SUMIF(73:73,C13,74:74)+100</f>
        <v>100</v>
      </c>
      <c r="K13" s="562"/>
      <c r="L13" s="2720"/>
      <c r="M13" s="2714"/>
      <c r="N13" s="2714"/>
      <c r="O13" s="2714"/>
      <c r="P13" s="3687"/>
      <c r="Q13" s="3448">
        <f t="shared" si="6"/>
        <v>111</v>
      </c>
      <c r="R13" s="701" t="s">
        <v>14</v>
      </c>
      <c r="S13" s="702">
        <f t="shared" si="0"/>
        <v>100</v>
      </c>
      <c r="T13" s="701" t="s">
        <v>14</v>
      </c>
      <c r="U13" s="702">
        <f t="shared" si="1"/>
        <v>100</v>
      </c>
      <c r="V13" s="701" t="s">
        <v>14</v>
      </c>
      <c r="W13" s="702">
        <f t="shared" si="2"/>
        <v>100</v>
      </c>
      <c r="X13" s="703"/>
      <c r="Y13" s="3637"/>
      <c r="Z13" s="3447">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576"/>
      <c r="H14" s="389">
        <f>SUMIF(75:75,G14,76:76)-SUMIF(75:75,C14,76:76)+100</f>
        <v>100</v>
      </c>
      <c r="I14" s="576"/>
      <c r="J14" s="389">
        <f>SUMIF(75:75,I14,76:76)-SUMIF(75:75,C14,76:76)+100</f>
        <v>100</v>
      </c>
      <c r="K14" s="562"/>
      <c r="L14" s="2720"/>
      <c r="M14" s="2714"/>
      <c r="N14" s="2714"/>
      <c r="O14" s="2714"/>
      <c r="P14" s="3687"/>
      <c r="Q14" s="3448">
        <f t="shared" si="6"/>
        <v>111</v>
      </c>
      <c r="R14" s="701" t="s">
        <v>14</v>
      </c>
      <c r="S14" s="702">
        <f t="shared" si="0"/>
        <v>100</v>
      </c>
      <c r="T14" s="701" t="s">
        <v>14</v>
      </c>
      <c r="U14" s="702">
        <f t="shared" si="1"/>
        <v>100</v>
      </c>
      <c r="V14" s="701" t="s">
        <v>14</v>
      </c>
      <c r="W14" s="702">
        <f t="shared" si="2"/>
        <v>100</v>
      </c>
      <c r="X14" s="703"/>
      <c r="Y14" s="3637"/>
      <c r="Z14" s="3447">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20"/>
      <c r="M15" s="2714"/>
      <c r="N15" s="2714"/>
      <c r="O15" s="2714"/>
      <c r="P15" s="3707" t="s">
        <v>1691</v>
      </c>
      <c r="Q15" s="3450" t="str">
        <f t="shared" si="6"/>
        <v>办公集聚程度</v>
      </c>
      <c r="R15" s="705" t="s">
        <v>14</v>
      </c>
      <c r="S15" s="706">
        <f t="shared" si="0"/>
        <v>100</v>
      </c>
      <c r="T15" s="705" t="s">
        <v>14</v>
      </c>
      <c r="U15" s="706">
        <f t="shared" si="1"/>
        <v>100</v>
      </c>
      <c r="V15" s="705" t="s">
        <v>14</v>
      </c>
      <c r="W15" s="706">
        <f t="shared" si="2"/>
        <v>100</v>
      </c>
      <c r="X15" s="3452"/>
      <c r="Y15" s="3709" t="s">
        <v>1691</v>
      </c>
      <c r="Z15" s="3453" t="str">
        <f t="shared" si="7"/>
        <v>办公集聚程度</v>
      </c>
      <c r="AA15" s="3451">
        <f t="shared" si="3"/>
        <v>1</v>
      </c>
      <c r="AB15" s="3451">
        <f t="shared" si="4"/>
        <v>1</v>
      </c>
      <c r="AC15" s="1962">
        <f t="shared" si="5"/>
        <v>1</v>
      </c>
    </row>
    <row r="16" spans="1:29" ht="15">
      <c r="A16" s="379"/>
      <c r="B16" s="578"/>
      <c r="C16" s="1904" t="s">
        <v>3395</v>
      </c>
      <c r="D16" s="399"/>
      <c r="E16" s="3469" t="s">
        <v>3442</v>
      </c>
      <c r="F16" s="399"/>
      <c r="G16" s="3469" t="s">
        <v>3442</v>
      </c>
      <c r="H16" s="401"/>
      <c r="I16" s="3469" t="s">
        <v>3442</v>
      </c>
      <c r="J16" s="399"/>
      <c r="K16" s="564"/>
      <c r="L16" s="2720"/>
      <c r="M16" s="2714"/>
      <c r="N16" s="2714"/>
      <c r="O16" s="2714"/>
      <c r="P16" s="3708"/>
      <c r="Q16" s="3450"/>
      <c r="R16" s="705"/>
      <c r="S16" s="706"/>
      <c r="T16" s="705"/>
      <c r="U16" s="706"/>
      <c r="V16" s="705"/>
      <c r="W16" s="706"/>
      <c r="X16" s="3452"/>
      <c r="Y16" s="3710"/>
      <c r="Z16" s="3453"/>
      <c r="AA16" s="3451">
        <v>1</v>
      </c>
      <c r="AB16" s="3451">
        <v>1</v>
      </c>
      <c r="AC16" s="1962">
        <v>1</v>
      </c>
    </row>
    <row r="17" spans="1:29" ht="15">
      <c r="A17" s="379"/>
      <c r="B17" s="579" t="s">
        <v>1259</v>
      </c>
      <c r="C17" s="1963" t="str">
        <f>估价对象房地状况!C6</f>
        <v>较好</v>
      </c>
      <c r="D17" s="401">
        <v>100</v>
      </c>
      <c r="E17" s="3471"/>
      <c r="F17" s="401">
        <f>SUMIF(79:79,E18,80:80)-SUMIF(79:79,C18,80:80)+100</f>
        <v>100</v>
      </c>
      <c r="G17" s="3471"/>
      <c r="H17" s="406">
        <f>SUMIF(79:79,G18,80:80)-SUMIF(79:79,C18,80:80)+100</f>
        <v>100</v>
      </c>
      <c r="I17" s="3471"/>
      <c r="J17" s="406">
        <f>SUMIF(79:79,I18,80:80)-SUMIF(79:79,C18,80:80)+100</f>
        <v>100</v>
      </c>
      <c r="K17" s="563">
        <v>2</v>
      </c>
      <c r="L17" s="2720"/>
      <c r="M17" s="2714"/>
      <c r="N17" s="2714"/>
      <c r="O17" s="2714"/>
      <c r="P17" s="3708"/>
      <c r="Q17" s="3450" t="str">
        <f>B17</f>
        <v>交通便捷度</v>
      </c>
      <c r="R17" s="705" t="s">
        <v>14</v>
      </c>
      <c r="S17" s="706">
        <f>F17</f>
        <v>100</v>
      </c>
      <c r="T17" s="705" t="s">
        <v>14</v>
      </c>
      <c r="U17" s="706">
        <f>H17</f>
        <v>100</v>
      </c>
      <c r="V17" s="705" t="s">
        <v>14</v>
      </c>
      <c r="W17" s="706">
        <f>J17</f>
        <v>100</v>
      </c>
      <c r="X17" s="3452"/>
      <c r="Y17" s="3710"/>
      <c r="Z17" s="3453" t="str">
        <f>Q17</f>
        <v>交通便捷度</v>
      </c>
      <c r="AA17" s="3451">
        <f t="shared" si="3"/>
        <v>1</v>
      </c>
      <c r="AB17" s="3451">
        <f t="shared" si="4"/>
        <v>1</v>
      </c>
      <c r="AC17" s="1962">
        <f t="shared" si="5"/>
        <v>1</v>
      </c>
    </row>
    <row r="18" spans="1:29" ht="15">
      <c r="A18" s="379"/>
      <c r="B18" s="580"/>
      <c r="C18" s="1964" t="s">
        <v>3395</v>
      </c>
      <c r="D18" s="401"/>
      <c r="E18" s="3470" t="s">
        <v>3442</v>
      </c>
      <c r="F18" s="401"/>
      <c r="G18" s="3470" t="s">
        <v>3442</v>
      </c>
      <c r="H18" s="399"/>
      <c r="I18" s="3470" t="s">
        <v>3442</v>
      </c>
      <c r="J18" s="399"/>
      <c r="K18" s="564"/>
      <c r="L18" s="2720"/>
      <c r="M18" s="2714"/>
      <c r="N18" s="2714"/>
      <c r="O18" s="2714"/>
      <c r="P18" s="3708"/>
      <c r="Q18" s="3450"/>
      <c r="R18" s="705"/>
      <c r="S18" s="706"/>
      <c r="T18" s="705"/>
      <c r="U18" s="706"/>
      <c r="V18" s="705"/>
      <c r="W18" s="706"/>
      <c r="X18" s="3452"/>
      <c r="Y18" s="3710"/>
      <c r="Z18" s="3453"/>
      <c r="AA18" s="3451">
        <v>1</v>
      </c>
      <c r="AB18" s="3451">
        <v>1</v>
      </c>
      <c r="AC18" s="1962">
        <v>1</v>
      </c>
    </row>
    <row r="19" spans="1:29" ht="15">
      <c r="A19" s="379"/>
      <c r="B19" s="579" t="s">
        <v>1812</v>
      </c>
      <c r="C19" s="1963"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20"/>
      <c r="M19" s="2714"/>
      <c r="N19" s="2714"/>
      <c r="O19" s="2714"/>
      <c r="P19" s="3708"/>
      <c r="Q19" s="3450" t="str">
        <f>B19</f>
        <v>公共配套设施</v>
      </c>
      <c r="R19" s="705" t="s">
        <v>14</v>
      </c>
      <c r="S19" s="706">
        <f>F19</f>
        <v>100</v>
      </c>
      <c r="T19" s="705" t="s">
        <v>14</v>
      </c>
      <c r="U19" s="706">
        <f>H19</f>
        <v>100</v>
      </c>
      <c r="V19" s="705" t="s">
        <v>14</v>
      </c>
      <c r="W19" s="706">
        <f>J19</f>
        <v>100</v>
      </c>
      <c r="X19" s="3452"/>
      <c r="Y19" s="3710"/>
      <c r="Z19" s="3453" t="str">
        <f>Q19</f>
        <v>公共配套设施</v>
      </c>
      <c r="AA19" s="3451">
        <f t="shared" si="3"/>
        <v>1</v>
      </c>
      <c r="AB19" s="3451">
        <f t="shared" si="4"/>
        <v>1</v>
      </c>
      <c r="AC19" s="1962">
        <f t="shared" si="5"/>
        <v>1</v>
      </c>
    </row>
    <row r="20" spans="1:29" ht="15">
      <c r="A20" s="379"/>
      <c r="B20" s="580"/>
      <c r="C20" s="1904" t="s">
        <v>3395</v>
      </c>
      <c r="D20" s="399"/>
      <c r="E20" s="3472" t="s">
        <v>3442</v>
      </c>
      <c r="F20" s="399"/>
      <c r="G20" s="3472" t="s">
        <v>3442</v>
      </c>
      <c r="H20" s="399"/>
      <c r="I20" s="3472" t="s">
        <v>3442</v>
      </c>
      <c r="J20" s="399"/>
      <c r="K20" s="564"/>
      <c r="L20" s="2720"/>
      <c r="M20" s="2714"/>
      <c r="N20" s="2714"/>
      <c r="O20" s="2714"/>
      <c r="P20" s="3708"/>
      <c r="Q20" s="3450"/>
      <c r="R20" s="705"/>
      <c r="S20" s="706"/>
      <c r="T20" s="705"/>
      <c r="U20" s="706"/>
      <c r="V20" s="705"/>
      <c r="W20" s="706"/>
      <c r="X20" s="3452"/>
      <c r="Y20" s="3710"/>
      <c r="Z20" s="3453"/>
      <c r="AA20" s="3451">
        <v>1</v>
      </c>
      <c r="AB20" s="3451">
        <v>1</v>
      </c>
      <c r="AC20" s="1962">
        <v>1</v>
      </c>
    </row>
    <row r="21" spans="1:29" ht="15">
      <c r="A21" s="379"/>
      <c r="B21" s="581" t="s">
        <v>1813</v>
      </c>
      <c r="C21" s="1963"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1</v>
      </c>
      <c r="L21" s="2720"/>
      <c r="M21" s="2714"/>
      <c r="N21" s="2714"/>
      <c r="O21" s="2714"/>
      <c r="P21" s="3708"/>
      <c r="Q21" s="3450" t="str">
        <f>B21</f>
        <v>基础设施水平</v>
      </c>
      <c r="R21" s="705" t="s">
        <v>14</v>
      </c>
      <c r="S21" s="706">
        <f>F21</f>
        <v>100</v>
      </c>
      <c r="T21" s="705" t="s">
        <v>14</v>
      </c>
      <c r="U21" s="706">
        <f>H21</f>
        <v>100</v>
      </c>
      <c r="V21" s="705" t="s">
        <v>14</v>
      </c>
      <c r="W21" s="706">
        <f>J21</f>
        <v>100</v>
      </c>
      <c r="X21" s="3452"/>
      <c r="Y21" s="3710"/>
      <c r="Z21" s="3453" t="str">
        <f>Q21</f>
        <v>基础设施水平</v>
      </c>
      <c r="AA21" s="3451">
        <f t="shared" ref="AA21" si="8">D21/F21</f>
        <v>1</v>
      </c>
      <c r="AB21" s="3451">
        <f t="shared" ref="AB21" si="9">D21/H21</f>
        <v>1</v>
      </c>
      <c r="AC21" s="1962">
        <f t="shared" ref="AC21" si="10">D21/J21</f>
        <v>1</v>
      </c>
    </row>
    <row r="22" spans="1:29" ht="15">
      <c r="A22" s="379"/>
      <c r="B22" s="581"/>
      <c r="C22" s="1964" t="s">
        <v>3398</v>
      </c>
      <c r="D22" s="399"/>
      <c r="E22" s="3469" t="s">
        <v>3434</v>
      </c>
      <c r="F22" s="399"/>
      <c r="G22" s="3469" t="s">
        <v>3434</v>
      </c>
      <c r="H22" s="399"/>
      <c r="I22" s="3469" t="s">
        <v>3434</v>
      </c>
      <c r="J22" s="399"/>
      <c r="K22" s="1130"/>
      <c r="L22" s="2720"/>
      <c r="M22" s="2714"/>
      <c r="N22" s="2714"/>
      <c r="O22" s="2714"/>
      <c r="P22" s="3708"/>
      <c r="Q22" s="3450"/>
      <c r="R22" s="705"/>
      <c r="S22" s="706"/>
      <c r="T22" s="705"/>
      <c r="U22" s="706"/>
      <c r="V22" s="705"/>
      <c r="W22" s="706"/>
      <c r="X22" s="3452"/>
      <c r="Y22" s="3710"/>
      <c r="Z22" s="3453"/>
      <c r="AA22" s="3451">
        <v>1</v>
      </c>
      <c r="AB22" s="3451">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08"/>
      <c r="Q23" s="3450" t="str">
        <f>B23</f>
        <v>环境质量</v>
      </c>
      <c r="R23" s="705" t="s">
        <v>14</v>
      </c>
      <c r="S23" s="706">
        <f>F23</f>
        <v>100</v>
      </c>
      <c r="T23" s="705" t="s">
        <v>14</v>
      </c>
      <c r="U23" s="706">
        <f>H23</f>
        <v>100</v>
      </c>
      <c r="V23" s="705" t="s">
        <v>14</v>
      </c>
      <c r="W23" s="706">
        <f>J23</f>
        <v>100</v>
      </c>
      <c r="X23" s="3452"/>
      <c r="Y23" s="3710"/>
      <c r="Z23" s="3453" t="str">
        <f>Q23</f>
        <v>环境质量</v>
      </c>
      <c r="AA23" s="3451">
        <f t="shared" si="3"/>
        <v>1</v>
      </c>
      <c r="AB23" s="3451">
        <f t="shared" si="4"/>
        <v>1</v>
      </c>
      <c r="AC23" s="1962">
        <f t="shared" si="5"/>
        <v>1</v>
      </c>
    </row>
    <row r="24" spans="1:29" ht="15">
      <c r="A24" s="379"/>
      <c r="B24" s="580"/>
      <c r="C24" s="1904" t="s">
        <v>3395</v>
      </c>
      <c r="D24" s="399"/>
      <c r="E24" s="3472" t="s">
        <v>3442</v>
      </c>
      <c r="F24" s="399"/>
      <c r="G24" s="3473" t="s">
        <v>3442</v>
      </c>
      <c r="H24" s="399"/>
      <c r="I24" s="3473" t="s">
        <v>3442</v>
      </c>
      <c r="J24" s="399"/>
      <c r="K24" s="564"/>
      <c r="L24" s="2720"/>
      <c r="M24" s="2714"/>
      <c r="N24" s="2714"/>
      <c r="O24" s="2714"/>
      <c r="P24" s="3708"/>
      <c r="Q24" s="3450"/>
      <c r="R24" s="705"/>
      <c r="S24" s="706"/>
      <c r="T24" s="705"/>
      <c r="U24" s="706"/>
      <c r="V24" s="705"/>
      <c r="W24" s="706"/>
      <c r="X24" s="3452"/>
      <c r="Y24" s="3710"/>
      <c r="Z24" s="3453"/>
      <c r="AA24" s="3451">
        <v>1</v>
      </c>
      <c r="AB24" s="3451">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08"/>
      <c r="Q25" s="3450" t="str">
        <f>B25</f>
        <v>毗邻道路的类型与等级</v>
      </c>
      <c r="R25" s="705" t="s">
        <v>14</v>
      </c>
      <c r="S25" s="706">
        <f>F25</f>
        <v>100</v>
      </c>
      <c r="T25" s="705" t="s">
        <v>14</v>
      </c>
      <c r="U25" s="706">
        <f>H25</f>
        <v>100</v>
      </c>
      <c r="V25" s="705" t="s">
        <v>14</v>
      </c>
      <c r="W25" s="706">
        <f>J25</f>
        <v>100</v>
      </c>
      <c r="X25" s="3452"/>
      <c r="Y25" s="3710"/>
      <c r="Z25" s="3453" t="str">
        <f>Q25</f>
        <v>毗邻道路的类型与等级</v>
      </c>
      <c r="AA25" s="3451">
        <f t="shared" si="3"/>
        <v>1</v>
      </c>
      <c r="AB25" s="3451">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708"/>
      <c r="Q26" s="3450"/>
      <c r="R26" s="705"/>
      <c r="S26" s="706"/>
      <c r="T26" s="705"/>
      <c r="U26" s="706"/>
      <c r="V26" s="705"/>
      <c r="W26" s="706"/>
      <c r="X26" s="3452"/>
      <c r="Y26" s="3710"/>
      <c r="Z26" s="3453"/>
      <c r="AA26" s="3451">
        <v>1</v>
      </c>
      <c r="AB26" s="3451">
        <v>1</v>
      </c>
      <c r="AC26" s="1962">
        <v>1</v>
      </c>
    </row>
    <row r="27" spans="1:29" ht="15.75" thickBot="1">
      <c r="A27" s="379"/>
      <c r="B27" s="580" t="s">
        <v>1783</v>
      </c>
      <c r="C27" s="3461" t="s">
        <v>3419</v>
      </c>
      <c r="D27" s="386">
        <v>100</v>
      </c>
      <c r="E27" s="565" t="str">
        <f>案例!D7</f>
        <v>低区</v>
      </c>
      <c r="F27" s="386">
        <f>SUMIF(89:89,E27,90:90)-SUMIF(89:89,C27,90:90)+100</f>
        <v>100</v>
      </c>
      <c r="G27" s="582" t="str">
        <f>案例!D8</f>
        <v>低区</v>
      </c>
      <c r="H27" s="386">
        <f>SUMIF(89:89,G27,90:90)-SUMIF(89:89,C27,90:90)+100</f>
        <v>100</v>
      </c>
      <c r="I27" s="565" t="str">
        <f>案例!D9</f>
        <v>中区</v>
      </c>
      <c r="J27" s="386">
        <f>SUMIF(89:89,I27,90:90)-SUMIF(89:89,C27,90:90)+100</f>
        <v>103</v>
      </c>
      <c r="K27" s="3819">
        <v>3</v>
      </c>
      <c r="L27" s="2720"/>
      <c r="M27" s="2714"/>
      <c r="N27" s="2714"/>
      <c r="O27" s="2714"/>
      <c r="P27" s="3708"/>
      <c r="Q27" s="3450" t="str">
        <f t="shared" ref="Q27:Q47" si="11">B27</f>
        <v>楼层</v>
      </c>
      <c r="R27" s="705" t="s">
        <v>14</v>
      </c>
      <c r="S27" s="706">
        <f>F27</f>
        <v>100</v>
      </c>
      <c r="T27" s="705" t="s">
        <v>14</v>
      </c>
      <c r="U27" s="706">
        <f>H27</f>
        <v>100</v>
      </c>
      <c r="V27" s="705" t="s">
        <v>14</v>
      </c>
      <c r="W27" s="706">
        <f>J27</f>
        <v>103</v>
      </c>
      <c r="X27" s="3452"/>
      <c r="Y27" s="3710"/>
      <c r="Z27" s="3453" t="str">
        <f>Q27</f>
        <v>楼层</v>
      </c>
      <c r="AA27" s="3451">
        <f t="shared" si="3"/>
        <v>1</v>
      </c>
      <c r="AB27" s="3451">
        <f t="shared" si="4"/>
        <v>1</v>
      </c>
      <c r="AC27" s="1962">
        <f t="shared" si="5"/>
        <v>0.970873786407767</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08"/>
      <c r="Q28" s="3448" t="str">
        <f t="shared" si="11"/>
        <v>朝向</v>
      </c>
      <c r="R28" s="701" t="s">
        <v>14</v>
      </c>
      <c r="S28" s="702">
        <f>F28</f>
        <v>100</v>
      </c>
      <c r="T28" s="701" t="s">
        <v>14</v>
      </c>
      <c r="U28" s="702">
        <f>H28</f>
        <v>100</v>
      </c>
      <c r="V28" s="701" t="s">
        <v>14</v>
      </c>
      <c r="W28" s="702">
        <f>J28</f>
        <v>100</v>
      </c>
      <c r="X28" s="703"/>
      <c r="Y28" s="3710"/>
      <c r="Z28" s="3447" t="str">
        <f>Q28</f>
        <v>朝向</v>
      </c>
      <c r="AA28" s="3451">
        <f>D28/F28</f>
        <v>1</v>
      </c>
      <c r="AB28" s="3451">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08"/>
      <c r="Q29" s="3450">
        <f t="shared" si="11"/>
        <v>111</v>
      </c>
      <c r="R29" s="705" t="s">
        <v>14</v>
      </c>
      <c r="S29" s="706">
        <f t="shared" ref="S29:S47" si="12">F29</f>
        <v>100</v>
      </c>
      <c r="T29" s="705" t="s">
        <v>14</v>
      </c>
      <c r="U29" s="706">
        <f t="shared" ref="U29:U47" si="13">H29</f>
        <v>100</v>
      </c>
      <c r="V29" s="705" t="s">
        <v>14</v>
      </c>
      <c r="W29" s="706">
        <f t="shared" ref="W29:W47" si="14">J29</f>
        <v>100</v>
      </c>
      <c r="X29" s="3452"/>
      <c r="Y29" s="3710"/>
      <c r="Z29" s="3453">
        <f t="shared" ref="Z29:Z47" si="15">Q29</f>
        <v>111</v>
      </c>
      <c r="AA29" s="3451">
        <f t="shared" si="3"/>
        <v>1</v>
      </c>
      <c r="AB29" s="3451">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08"/>
      <c r="Q30" s="3450">
        <f t="shared" si="11"/>
        <v>111</v>
      </c>
      <c r="R30" s="705" t="s">
        <v>14</v>
      </c>
      <c r="S30" s="706">
        <f t="shared" si="12"/>
        <v>100</v>
      </c>
      <c r="T30" s="705" t="s">
        <v>14</v>
      </c>
      <c r="U30" s="706">
        <f t="shared" si="13"/>
        <v>100</v>
      </c>
      <c r="V30" s="705" t="s">
        <v>14</v>
      </c>
      <c r="W30" s="706">
        <f t="shared" si="14"/>
        <v>100</v>
      </c>
      <c r="X30" s="3452"/>
      <c r="Y30" s="3710"/>
      <c r="Z30" s="3453">
        <f t="shared" si="15"/>
        <v>111</v>
      </c>
      <c r="AA30" s="3451">
        <f t="shared" si="3"/>
        <v>1</v>
      </c>
      <c r="AB30" s="3451">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08"/>
      <c r="Q31" s="3450">
        <f t="shared" si="11"/>
        <v>111</v>
      </c>
      <c r="R31" s="705" t="s">
        <v>14</v>
      </c>
      <c r="S31" s="706">
        <f t="shared" si="12"/>
        <v>100</v>
      </c>
      <c r="T31" s="705" t="s">
        <v>14</v>
      </c>
      <c r="U31" s="706">
        <f t="shared" si="13"/>
        <v>100</v>
      </c>
      <c r="V31" s="705" t="s">
        <v>14</v>
      </c>
      <c r="W31" s="706">
        <f t="shared" si="14"/>
        <v>100</v>
      </c>
      <c r="X31" s="3452"/>
      <c r="Y31" s="3710"/>
      <c r="Z31" s="3453">
        <f t="shared" si="15"/>
        <v>111</v>
      </c>
      <c r="AA31" s="3451">
        <f t="shared" si="3"/>
        <v>1</v>
      </c>
      <c r="AB31" s="3451">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08"/>
      <c r="Q32" s="3450">
        <f t="shared" si="11"/>
        <v>111</v>
      </c>
      <c r="R32" s="705" t="s">
        <v>14</v>
      </c>
      <c r="S32" s="706">
        <f t="shared" si="12"/>
        <v>100</v>
      </c>
      <c r="T32" s="705" t="s">
        <v>14</v>
      </c>
      <c r="U32" s="706">
        <f t="shared" si="13"/>
        <v>100</v>
      </c>
      <c r="V32" s="705" t="s">
        <v>14</v>
      </c>
      <c r="W32" s="706">
        <f t="shared" si="14"/>
        <v>100</v>
      </c>
      <c r="X32" s="3452"/>
      <c r="Y32" s="3710"/>
      <c r="Z32" s="3453">
        <f t="shared" si="15"/>
        <v>111</v>
      </c>
      <c r="AA32" s="3451">
        <f t="shared" si="3"/>
        <v>1</v>
      </c>
      <c r="AB32" s="3451">
        <f t="shared" si="4"/>
        <v>1</v>
      </c>
      <c r="AC32" s="1962">
        <f t="shared" si="5"/>
        <v>1</v>
      </c>
    </row>
    <row r="33" spans="1:29" ht="15">
      <c r="A33" s="391" t="s">
        <v>1694</v>
      </c>
      <c r="B33" s="63" t="s">
        <v>1817</v>
      </c>
      <c r="C33" s="3462" t="s">
        <v>3420</v>
      </c>
      <c r="D33" s="418">
        <v>100</v>
      </c>
      <c r="E33" s="3462" t="s">
        <v>3420</v>
      </c>
      <c r="F33" s="412">
        <f>SUMIF(101:101,E33,102:102)-SUMIF(101:101,C33,102:102)+100</f>
        <v>100</v>
      </c>
      <c r="G33" s="1967" t="s">
        <v>3420</v>
      </c>
      <c r="H33" s="386">
        <f>SUMIF(101:101,G33,102:102)-SUMIF(101:101,C33,102:102)+100</f>
        <v>100</v>
      </c>
      <c r="I33" s="3462" t="s">
        <v>3425</v>
      </c>
      <c r="J33" s="418">
        <f>SUMIF(101:101,I33,102:102)-SUMIF(101:101,C33,102:102)+100</f>
        <v>100</v>
      </c>
      <c r="K33" s="561">
        <v>1</v>
      </c>
      <c r="L33" s="2720"/>
      <c r="M33" s="2714"/>
      <c r="N33" s="2714"/>
      <c r="O33" s="2714"/>
      <c r="P33" s="3711" t="s">
        <v>1696</v>
      </c>
      <c r="Q33" s="3450" t="str">
        <f t="shared" si="11"/>
        <v>建筑类型</v>
      </c>
      <c r="R33" s="705" t="s">
        <v>14</v>
      </c>
      <c r="S33" s="706">
        <f t="shared" si="12"/>
        <v>100</v>
      </c>
      <c r="T33" s="705" t="s">
        <v>14</v>
      </c>
      <c r="U33" s="706">
        <f t="shared" si="13"/>
        <v>100</v>
      </c>
      <c r="V33" s="705" t="s">
        <v>14</v>
      </c>
      <c r="W33" s="706">
        <f t="shared" si="14"/>
        <v>100</v>
      </c>
      <c r="X33" s="3452"/>
      <c r="Y33" s="3714" t="s">
        <v>1696</v>
      </c>
      <c r="Z33" s="3453" t="str">
        <f t="shared" si="15"/>
        <v>建筑类型</v>
      </c>
      <c r="AA33" s="3451">
        <f t="shared" si="3"/>
        <v>1</v>
      </c>
      <c r="AB33" s="3451">
        <f t="shared" si="4"/>
        <v>1</v>
      </c>
      <c r="AC33" s="1962">
        <f t="shared" si="5"/>
        <v>1</v>
      </c>
    </row>
    <row r="34" spans="1:29" s="422" customFormat="1" ht="15">
      <c r="A34" s="419"/>
      <c r="B34" s="375" t="s">
        <v>1697</v>
      </c>
      <c r="C34" s="420">
        <f>'数据-汇总表'!E31</f>
        <v>75.58</v>
      </c>
      <c r="D34" s="127">
        <v>100</v>
      </c>
      <c r="E34" s="3823">
        <f>案例!$C$7</f>
        <v>211</v>
      </c>
      <c r="F34" s="376">
        <f>LOOKUP(E34,104:104,105:105)-LOOKUP(C34,104:104,105:105)+100</f>
        <v>102</v>
      </c>
      <c r="G34" s="380">
        <f>案例!C8</f>
        <v>211.06</v>
      </c>
      <c r="H34" s="127">
        <f>LOOKUP(G34,104:104,105:105)-LOOKUP(C34,104:104,105:105)+100</f>
        <v>102</v>
      </c>
      <c r="I34" s="380">
        <f>案例!C9</f>
        <v>205.27</v>
      </c>
      <c r="J34" s="127">
        <f>LOOKUP(I34,104:104,105:105)-LOOKUP(C34,104:104,105:105)+100</f>
        <v>102</v>
      </c>
      <c r="K34" s="562"/>
      <c r="L34" s="2719"/>
      <c r="M34" s="2721"/>
      <c r="N34" s="2721"/>
      <c r="O34" s="2721"/>
      <c r="P34" s="3712"/>
      <c r="Q34" s="707" t="str">
        <f t="shared" si="11"/>
        <v>项目建筑规模</v>
      </c>
      <c r="R34" s="708" t="s">
        <v>14</v>
      </c>
      <c r="S34" s="709">
        <f t="shared" si="12"/>
        <v>102</v>
      </c>
      <c r="T34" s="708" t="s">
        <v>14</v>
      </c>
      <c r="U34" s="709">
        <f t="shared" si="13"/>
        <v>102</v>
      </c>
      <c r="V34" s="708" t="s">
        <v>14</v>
      </c>
      <c r="W34" s="709">
        <f t="shared" si="14"/>
        <v>102</v>
      </c>
      <c r="X34" s="710"/>
      <c r="Y34" s="3714"/>
      <c r="Z34" s="711" t="str">
        <f t="shared" si="15"/>
        <v>项目建筑规模</v>
      </c>
      <c r="AA34" s="3451">
        <f t="shared" si="3"/>
        <v>0.98039215686274506</v>
      </c>
      <c r="AB34" s="3451">
        <f t="shared" si="4"/>
        <v>0.98039215686274506</v>
      </c>
      <c r="AC34" s="1962">
        <f t="shared" si="5"/>
        <v>0.98039215686274506</v>
      </c>
    </row>
    <row r="35" spans="1:29" ht="15">
      <c r="A35" s="423"/>
      <c r="B35" s="375" t="s">
        <v>1698</v>
      </c>
      <c r="C35" s="411" t="s">
        <v>3426</v>
      </c>
      <c r="D35" s="386">
        <v>100</v>
      </c>
      <c r="E35" s="3474" t="s">
        <v>3427</v>
      </c>
      <c r="F35" s="412">
        <f>SUMIF(106:106,E35,107:107)-SUMIF(106:106,C35,107:107)+100</f>
        <v>100</v>
      </c>
      <c r="G35" s="411" t="s">
        <v>3426</v>
      </c>
      <c r="H35" s="386">
        <f>SUMIF(106:106,G35,107:107)-SUMIF(106:106,C35,107:107)+100</f>
        <v>100</v>
      </c>
      <c r="I35" s="3474" t="s">
        <v>3427</v>
      </c>
      <c r="J35" s="386">
        <f>SUMIF(106:106,I35,107:107)-SUMIF(106:106,C35,107:107)+100</f>
        <v>100</v>
      </c>
      <c r="K35" s="561">
        <v>2</v>
      </c>
      <c r="L35" s="2720"/>
      <c r="M35" s="2714"/>
      <c r="N35" s="2714"/>
      <c r="O35" s="2714"/>
      <c r="P35" s="3712"/>
      <c r="Q35" s="3450" t="str">
        <f t="shared" si="11"/>
        <v>建筑结构</v>
      </c>
      <c r="R35" s="705" t="s">
        <v>14</v>
      </c>
      <c r="S35" s="706">
        <f t="shared" si="12"/>
        <v>100</v>
      </c>
      <c r="T35" s="705" t="s">
        <v>14</v>
      </c>
      <c r="U35" s="706">
        <f t="shared" si="13"/>
        <v>100</v>
      </c>
      <c r="V35" s="705" t="s">
        <v>14</v>
      </c>
      <c r="W35" s="706">
        <f t="shared" si="14"/>
        <v>100</v>
      </c>
      <c r="X35" s="3452"/>
      <c r="Y35" s="3714"/>
      <c r="Z35" s="3453" t="str">
        <f t="shared" si="15"/>
        <v>建筑结构</v>
      </c>
      <c r="AA35" s="3451">
        <f t="shared" si="3"/>
        <v>1</v>
      </c>
      <c r="AB35" s="3451">
        <f t="shared" si="4"/>
        <v>1</v>
      </c>
      <c r="AC35" s="1962">
        <f t="shared" si="5"/>
        <v>1</v>
      </c>
    </row>
    <row r="36" spans="1:29" ht="15">
      <c r="A36" s="423"/>
      <c r="B36" s="375" t="s">
        <v>1785</v>
      </c>
      <c r="C36" s="411" t="s">
        <v>3429</v>
      </c>
      <c r="D36" s="386">
        <v>100</v>
      </c>
      <c r="E36" s="3474" t="s">
        <v>3430</v>
      </c>
      <c r="F36" s="412">
        <f>SUMIF(108:108,E36,109:109)-SUMIF(108:108,C36,109:109)+100</f>
        <v>100</v>
      </c>
      <c r="G36" s="411" t="s">
        <v>3429</v>
      </c>
      <c r="H36" s="386">
        <f>SUMIF(108:108,G36,109:109)-SUMIF(108:108,C36,109:109)+100</f>
        <v>100</v>
      </c>
      <c r="I36" s="3474" t="s">
        <v>3430</v>
      </c>
      <c r="J36" s="386">
        <f>SUMIF(108:108,I36,109:109)-SUMIF(108:108,C36,109:109)+100</f>
        <v>100</v>
      </c>
      <c r="K36" s="561">
        <v>1</v>
      </c>
      <c r="L36" s="2720"/>
      <c r="M36" s="2714"/>
      <c r="N36" s="2714"/>
      <c r="O36" s="2714"/>
      <c r="P36" s="3712"/>
      <c r="Q36" s="3450" t="str">
        <f t="shared" si="11"/>
        <v>公共部分装修</v>
      </c>
      <c r="R36" s="705" t="s">
        <v>14</v>
      </c>
      <c r="S36" s="706">
        <f t="shared" si="12"/>
        <v>100</v>
      </c>
      <c r="T36" s="705" t="s">
        <v>14</v>
      </c>
      <c r="U36" s="706">
        <f t="shared" si="13"/>
        <v>100</v>
      </c>
      <c r="V36" s="705" t="s">
        <v>14</v>
      </c>
      <c r="W36" s="706">
        <f t="shared" si="14"/>
        <v>100</v>
      </c>
      <c r="X36" s="3452"/>
      <c r="Y36" s="3714"/>
      <c r="Z36" s="3453" t="str">
        <f t="shared" si="15"/>
        <v>公共部分装修</v>
      </c>
      <c r="AA36" s="3451">
        <f t="shared" si="3"/>
        <v>1</v>
      </c>
      <c r="AB36" s="3451">
        <f t="shared" si="4"/>
        <v>1</v>
      </c>
      <c r="AC36" s="1962">
        <f t="shared" si="5"/>
        <v>1</v>
      </c>
    </row>
    <row r="37" spans="1:29" ht="15">
      <c r="A37" s="423"/>
      <c r="B37" s="375" t="s">
        <v>1786</v>
      </c>
      <c r="C37" s="425">
        <f>'数据-取费表'!N6</f>
        <v>0.74</v>
      </c>
      <c r="D37" s="386">
        <v>100</v>
      </c>
      <c r="E37" s="425">
        <v>0.74</v>
      </c>
      <c r="F37" s="412">
        <f>LOOKUP(E37,111:111,112:112)-LOOKUP(C37,111:111,112:112)+100</f>
        <v>100</v>
      </c>
      <c r="G37" s="425">
        <v>0.74</v>
      </c>
      <c r="H37" s="412">
        <f>LOOKUP(G37,111:111,112:112)-LOOKUP(C37,111:111,112:112)+100</f>
        <v>100</v>
      </c>
      <c r="I37" s="425">
        <v>0.74</v>
      </c>
      <c r="J37" s="386">
        <f>LOOKUP(I37,111:111,112:112)-LOOKUP(C37,111:111,112:112)+100</f>
        <v>100</v>
      </c>
      <c r="K37" s="561">
        <v>2</v>
      </c>
      <c r="L37" s="2720"/>
      <c r="M37" s="2714"/>
      <c r="N37" s="2714"/>
      <c r="O37" s="2714"/>
      <c r="P37" s="3712"/>
      <c r="Q37" s="3450" t="str">
        <f t="shared" si="11"/>
        <v>成新度</v>
      </c>
      <c r="R37" s="705" t="s">
        <v>14</v>
      </c>
      <c r="S37" s="706">
        <f t="shared" si="12"/>
        <v>100</v>
      </c>
      <c r="T37" s="705" t="s">
        <v>14</v>
      </c>
      <c r="U37" s="706">
        <f t="shared" si="13"/>
        <v>100</v>
      </c>
      <c r="V37" s="705" t="s">
        <v>14</v>
      </c>
      <c r="W37" s="706">
        <f t="shared" si="14"/>
        <v>100</v>
      </c>
      <c r="X37" s="3452"/>
      <c r="Y37" s="3714"/>
      <c r="Z37" s="3453" t="str">
        <f t="shared" si="15"/>
        <v>成新度</v>
      </c>
      <c r="AA37" s="3451">
        <f t="shared" si="3"/>
        <v>1</v>
      </c>
      <c r="AB37" s="3451">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2"/>
      <c r="Q38" s="3448" t="str">
        <f t="shared" si="11"/>
        <v>写字楼等级</v>
      </c>
      <c r="R38" s="701" t="s">
        <v>14</v>
      </c>
      <c r="S38" s="702">
        <f t="shared" si="12"/>
        <v>100</v>
      </c>
      <c r="T38" s="701" t="s">
        <v>14</v>
      </c>
      <c r="U38" s="702">
        <f t="shared" si="13"/>
        <v>100</v>
      </c>
      <c r="V38" s="701" t="s">
        <v>14</v>
      </c>
      <c r="W38" s="702">
        <f t="shared" si="14"/>
        <v>100</v>
      </c>
      <c r="X38" s="703"/>
      <c r="Y38" s="3714"/>
      <c r="Z38" s="3447" t="str">
        <f t="shared" si="15"/>
        <v>写字楼等级</v>
      </c>
      <c r="AA38" s="704">
        <f t="shared" si="3"/>
        <v>1</v>
      </c>
      <c r="AB38" s="704">
        <f t="shared" si="4"/>
        <v>1</v>
      </c>
      <c r="AC38" s="1959">
        <f t="shared" si="5"/>
        <v>1</v>
      </c>
    </row>
    <row r="39" spans="1:29" ht="15">
      <c r="A39" s="423"/>
      <c r="B39" s="375" t="s">
        <v>1819</v>
      </c>
      <c r="C39" s="411" t="s">
        <v>3432</v>
      </c>
      <c r="D39" s="386">
        <v>100</v>
      </c>
      <c r="E39" s="3474" t="s">
        <v>3433</v>
      </c>
      <c r="F39" s="412">
        <f>SUMIF(115:115,E39,116:116)-SUMIF(115:115,C39,116:116)+100</f>
        <v>100</v>
      </c>
      <c r="G39" s="411" t="s">
        <v>3432</v>
      </c>
      <c r="H39" s="386">
        <f>SUMIF(115:115,G39,116:116)-SUMIF(115:115,C39,116:116)+100</f>
        <v>100</v>
      </c>
      <c r="I39" s="411" t="s">
        <v>3432</v>
      </c>
      <c r="J39" s="386">
        <f>SUMIF(115:115,I39,116:116)-SUMIF(115:115,C39,116:116)+100</f>
        <v>100</v>
      </c>
      <c r="K39" s="561">
        <v>2</v>
      </c>
      <c r="L39" s="2720"/>
      <c r="M39" s="2714"/>
      <c r="N39" s="2714"/>
      <c r="O39" s="2714"/>
      <c r="P39" s="3712" t="s">
        <v>1696</v>
      </c>
      <c r="Q39" s="3450" t="str">
        <f t="shared" si="11"/>
        <v>物业管理</v>
      </c>
      <c r="R39" s="705" t="s">
        <v>14</v>
      </c>
      <c r="S39" s="706">
        <f t="shared" si="12"/>
        <v>100</v>
      </c>
      <c r="T39" s="705" t="s">
        <v>14</v>
      </c>
      <c r="U39" s="706">
        <f t="shared" si="13"/>
        <v>100</v>
      </c>
      <c r="V39" s="705" t="s">
        <v>14</v>
      </c>
      <c r="W39" s="706">
        <f t="shared" si="14"/>
        <v>100</v>
      </c>
      <c r="X39" s="3452"/>
      <c r="Y39" s="3714" t="s">
        <v>1696</v>
      </c>
      <c r="Z39" s="3453" t="str">
        <f t="shared" si="15"/>
        <v>物业管理</v>
      </c>
      <c r="AA39" s="3451">
        <f t="shared" si="3"/>
        <v>1</v>
      </c>
      <c r="AB39" s="3451">
        <f t="shared" si="4"/>
        <v>1</v>
      </c>
      <c r="AC39" s="1962">
        <f t="shared" si="5"/>
        <v>1</v>
      </c>
    </row>
    <row r="40" spans="1:29" ht="15">
      <c r="A40" s="423"/>
      <c r="B40" s="375" t="s">
        <v>1787</v>
      </c>
      <c r="C40" s="411" t="s">
        <v>3435</v>
      </c>
      <c r="D40" s="386">
        <v>100</v>
      </c>
      <c r="E40" s="3474" t="s">
        <v>3436</v>
      </c>
      <c r="F40" s="412">
        <f>SUMIF(117:117,E40,118:118)-SUMIF(117:117,C40,118:118)+100</f>
        <v>100</v>
      </c>
      <c r="G40" s="411" t="s">
        <v>3435</v>
      </c>
      <c r="H40" s="386">
        <f>SUMIF(117:117,G40,118:118)-SUMIF(117:117,C40,118:118)+100</f>
        <v>100</v>
      </c>
      <c r="I40" s="411" t="s">
        <v>3435</v>
      </c>
      <c r="J40" s="386">
        <f>SUMIF(117:117,I40,118:118)-SUMIF(117:117,C40,118:118)+100</f>
        <v>100</v>
      </c>
      <c r="K40" s="561">
        <v>1</v>
      </c>
      <c r="L40" s="2720"/>
      <c r="M40" s="2714"/>
      <c r="N40" s="2714"/>
      <c r="O40" s="2714"/>
      <c r="P40" s="3712"/>
      <c r="Q40" s="3450" t="str">
        <f t="shared" si="11"/>
        <v>市政基础设施</v>
      </c>
      <c r="R40" s="705" t="s">
        <v>14</v>
      </c>
      <c r="S40" s="706">
        <f t="shared" si="12"/>
        <v>100</v>
      </c>
      <c r="T40" s="705" t="s">
        <v>14</v>
      </c>
      <c r="U40" s="706">
        <f t="shared" si="13"/>
        <v>100</v>
      </c>
      <c r="V40" s="705" t="s">
        <v>14</v>
      </c>
      <c r="W40" s="706">
        <f t="shared" si="14"/>
        <v>100</v>
      </c>
      <c r="X40" s="3452"/>
      <c r="Y40" s="3714"/>
      <c r="Z40" s="3453" t="str">
        <f t="shared" si="15"/>
        <v>市政基础设施</v>
      </c>
      <c r="AA40" s="3451">
        <f t="shared" si="3"/>
        <v>1</v>
      </c>
      <c r="AB40" s="3451">
        <f t="shared" si="4"/>
        <v>1</v>
      </c>
      <c r="AC40" s="1962">
        <f t="shared" si="5"/>
        <v>1</v>
      </c>
    </row>
    <row r="41" spans="1:29" ht="15">
      <c r="A41" s="423"/>
      <c r="B41" s="375" t="s">
        <v>1789</v>
      </c>
      <c r="C41" s="565" t="s">
        <v>3438</v>
      </c>
      <c r="D41" s="386">
        <v>100</v>
      </c>
      <c r="E41" s="3475" t="s">
        <v>3439</v>
      </c>
      <c r="F41" s="412">
        <f>SUMIF(119:119,E41,120:120)-SUMIF(119:119,C41,120:120)+100</f>
        <v>100</v>
      </c>
      <c r="G41" s="565" t="s">
        <v>3438</v>
      </c>
      <c r="H41" s="386">
        <f>SUMIF(119:119,G41,120:120)-SUMIF(119:119,C41,120:120)+100</f>
        <v>100</v>
      </c>
      <c r="I41" s="565" t="s">
        <v>3438</v>
      </c>
      <c r="J41" s="386">
        <f>SUMIF(119:119,I41,120:120)-SUMIF(119:119,C41,120:120)+100</f>
        <v>100</v>
      </c>
      <c r="K41" s="561">
        <v>2</v>
      </c>
      <c r="L41" s="2720"/>
      <c r="M41" s="2714"/>
      <c r="N41" s="2714"/>
      <c r="O41" s="2714"/>
      <c r="P41" s="3712"/>
      <c r="Q41" s="3450" t="str">
        <f t="shared" si="11"/>
        <v>层高</v>
      </c>
      <c r="R41" s="705" t="s">
        <v>14</v>
      </c>
      <c r="S41" s="706">
        <f t="shared" si="12"/>
        <v>100</v>
      </c>
      <c r="T41" s="705" t="s">
        <v>14</v>
      </c>
      <c r="U41" s="706">
        <f t="shared" si="13"/>
        <v>100</v>
      </c>
      <c r="V41" s="705" t="s">
        <v>14</v>
      </c>
      <c r="W41" s="706">
        <f t="shared" si="14"/>
        <v>100</v>
      </c>
      <c r="X41" s="3452"/>
      <c r="Y41" s="3714"/>
      <c r="Z41" s="3453" t="str">
        <f t="shared" si="15"/>
        <v>层高</v>
      </c>
      <c r="AA41" s="3451">
        <f t="shared" si="3"/>
        <v>1</v>
      </c>
      <c r="AB41" s="3451">
        <f t="shared" si="4"/>
        <v>1</v>
      </c>
      <c r="AC41" s="1962">
        <f t="shared" si="5"/>
        <v>1</v>
      </c>
    </row>
    <row r="42" spans="1:29" s="422" customFormat="1" ht="15" hidden="1">
      <c r="A42" s="419"/>
      <c r="B42" s="34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2"/>
      <c r="Q42" s="707" t="str">
        <f t="shared" si="11"/>
        <v>单套建筑面积</v>
      </c>
      <c r="R42" s="708" t="s">
        <v>14</v>
      </c>
      <c r="S42" s="709">
        <f t="shared" si="12"/>
        <v>100</v>
      </c>
      <c r="T42" s="708" t="s">
        <v>14</v>
      </c>
      <c r="U42" s="709">
        <f t="shared" si="13"/>
        <v>100</v>
      </c>
      <c r="V42" s="708" t="s">
        <v>14</v>
      </c>
      <c r="W42" s="709">
        <f t="shared" si="14"/>
        <v>100</v>
      </c>
      <c r="X42" s="710"/>
      <c r="Y42" s="3714"/>
      <c r="Z42" s="711" t="str">
        <f t="shared" si="15"/>
        <v>单套建筑面积</v>
      </c>
      <c r="AA42" s="3451">
        <f t="shared" si="3"/>
        <v>1</v>
      </c>
      <c r="AB42" s="3451">
        <f t="shared" si="4"/>
        <v>1</v>
      </c>
      <c r="AC42" s="1962">
        <f t="shared" si="5"/>
        <v>1</v>
      </c>
    </row>
    <row r="43" spans="1:29" ht="15">
      <c r="A43" s="423"/>
      <c r="B43" s="375" t="s">
        <v>1792</v>
      </c>
      <c r="C43" s="411" t="s">
        <v>3408</v>
      </c>
      <c r="D43" s="386">
        <v>100</v>
      </c>
      <c r="E43" s="3820" t="s">
        <v>3456</v>
      </c>
      <c r="F43" s="412">
        <f>SUMIF(123:123,E43,124:124)-SUMIF(123:123,C43,124:124)+100</f>
        <v>98</v>
      </c>
      <c r="G43" s="3820" t="s">
        <v>3429</v>
      </c>
      <c r="H43" s="386">
        <f>SUMIF(123:123,G43,124:124)-SUMIF(123:123,C43,124:124)+100</f>
        <v>99</v>
      </c>
      <c r="I43" s="3820" t="s">
        <v>3408</v>
      </c>
      <c r="J43" s="386">
        <f>SUMIF(123:123,I43,124:124)-SUMIF(123:123,C43,124:124)+100</f>
        <v>100</v>
      </c>
      <c r="K43" s="561">
        <v>1</v>
      </c>
      <c r="L43" s="2720"/>
      <c r="M43" s="2714"/>
      <c r="N43" s="2714"/>
      <c r="O43" s="2714"/>
      <c r="P43" s="3712"/>
      <c r="Q43" s="3450" t="str">
        <f t="shared" si="11"/>
        <v>内部装修</v>
      </c>
      <c r="R43" s="705" t="s">
        <v>14</v>
      </c>
      <c r="S43" s="706">
        <f t="shared" si="12"/>
        <v>98</v>
      </c>
      <c r="T43" s="705" t="s">
        <v>14</v>
      </c>
      <c r="U43" s="706">
        <f t="shared" si="13"/>
        <v>99</v>
      </c>
      <c r="V43" s="705" t="s">
        <v>14</v>
      </c>
      <c r="W43" s="706">
        <f t="shared" si="14"/>
        <v>100</v>
      </c>
      <c r="X43" s="3452"/>
      <c r="Y43" s="3714"/>
      <c r="Z43" s="3453" t="str">
        <f t="shared" si="15"/>
        <v>内部装修</v>
      </c>
      <c r="AA43" s="3451">
        <f t="shared" si="3"/>
        <v>1.0204081632653061</v>
      </c>
      <c r="AB43" s="3451">
        <f t="shared" si="4"/>
        <v>1.0101010101010102</v>
      </c>
      <c r="AC43" s="1962">
        <f t="shared" si="5"/>
        <v>1</v>
      </c>
    </row>
    <row r="44" spans="1:29" ht="15.75" thickBot="1">
      <c r="A44" s="423"/>
      <c r="B44" s="375" t="s">
        <v>1707</v>
      </c>
      <c r="C44" s="411" t="s">
        <v>3395</v>
      </c>
      <c r="D44" s="386">
        <v>100</v>
      </c>
      <c r="E44" s="3476" t="s">
        <v>3442</v>
      </c>
      <c r="F44" s="412">
        <f>SUMIF(125:125,E44,126:126)-SUMIF(125:125,C44,126:126)+100</f>
        <v>100</v>
      </c>
      <c r="G44" s="3476" t="s">
        <v>3442</v>
      </c>
      <c r="H44" s="386">
        <f>SUMIF(125:125,G44,126:126)-SUMIF(125:125,C44,126:126)+100</f>
        <v>100</v>
      </c>
      <c r="I44" s="3476" t="s">
        <v>3442</v>
      </c>
      <c r="J44" s="386">
        <f>SUMIF(125:125,I44,126:126)-SUMIF(125:125,C44,126:126)+100</f>
        <v>100</v>
      </c>
      <c r="K44" s="561">
        <v>1</v>
      </c>
      <c r="L44" s="2720"/>
      <c r="M44" s="2714"/>
      <c r="N44" s="2714"/>
      <c r="O44" s="2714"/>
      <c r="P44" s="3712"/>
      <c r="Q44" s="3450" t="str">
        <f t="shared" si="11"/>
        <v>内部装修维护情况</v>
      </c>
      <c r="R44" s="705" t="s">
        <v>14</v>
      </c>
      <c r="S44" s="706">
        <f t="shared" si="12"/>
        <v>100</v>
      </c>
      <c r="T44" s="705" t="s">
        <v>14</v>
      </c>
      <c r="U44" s="706">
        <f t="shared" si="13"/>
        <v>100</v>
      </c>
      <c r="V44" s="705" t="s">
        <v>14</v>
      </c>
      <c r="W44" s="706">
        <f t="shared" si="14"/>
        <v>100</v>
      </c>
      <c r="X44" s="3452"/>
      <c r="Y44" s="3714"/>
      <c r="Z44" s="3453" t="str">
        <f t="shared" si="15"/>
        <v>内部装修维护情况</v>
      </c>
      <c r="AA44" s="3451">
        <f t="shared" si="3"/>
        <v>1</v>
      </c>
      <c r="AB44" s="3451">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2"/>
      <c r="Q45" s="3448">
        <f t="shared" si="11"/>
        <v>111</v>
      </c>
      <c r="R45" s="701" t="s">
        <v>14</v>
      </c>
      <c r="S45" s="702">
        <f t="shared" si="12"/>
        <v>100</v>
      </c>
      <c r="T45" s="701" t="s">
        <v>14</v>
      </c>
      <c r="U45" s="702">
        <f t="shared" si="13"/>
        <v>100</v>
      </c>
      <c r="V45" s="701" t="s">
        <v>14</v>
      </c>
      <c r="W45" s="702">
        <f t="shared" si="14"/>
        <v>100</v>
      </c>
      <c r="X45" s="703"/>
      <c r="Y45" s="3714"/>
      <c r="Z45" s="3447">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2"/>
      <c r="Q46" s="3450">
        <f t="shared" si="11"/>
        <v>111</v>
      </c>
      <c r="R46" s="705" t="s">
        <v>14</v>
      </c>
      <c r="S46" s="706">
        <f t="shared" si="12"/>
        <v>100</v>
      </c>
      <c r="T46" s="705" t="s">
        <v>14</v>
      </c>
      <c r="U46" s="706">
        <f t="shared" si="13"/>
        <v>100</v>
      </c>
      <c r="V46" s="705" t="s">
        <v>14</v>
      </c>
      <c r="W46" s="706">
        <f t="shared" si="14"/>
        <v>100</v>
      </c>
      <c r="X46" s="3452"/>
      <c r="Y46" s="3714"/>
      <c r="Z46" s="3453">
        <f t="shared" si="15"/>
        <v>111</v>
      </c>
      <c r="AA46" s="3451">
        <f t="shared" si="3"/>
        <v>1</v>
      </c>
      <c r="AB46" s="3451">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3"/>
      <c r="Q47" s="3450">
        <f t="shared" si="11"/>
        <v>111</v>
      </c>
      <c r="R47" s="705" t="s">
        <v>14</v>
      </c>
      <c r="S47" s="706">
        <f t="shared" si="12"/>
        <v>100</v>
      </c>
      <c r="T47" s="705" t="s">
        <v>14</v>
      </c>
      <c r="U47" s="706">
        <f t="shared" si="13"/>
        <v>100</v>
      </c>
      <c r="V47" s="705" t="s">
        <v>14</v>
      </c>
      <c r="W47" s="706">
        <f t="shared" si="14"/>
        <v>100</v>
      </c>
      <c r="X47" s="3452"/>
      <c r="Y47" s="3715"/>
      <c r="Z47" s="3453">
        <f t="shared" si="15"/>
        <v>111</v>
      </c>
      <c r="AA47" s="3451">
        <f t="shared" si="3"/>
        <v>1</v>
      </c>
      <c r="AB47" s="3451">
        <f t="shared" si="4"/>
        <v>1</v>
      </c>
      <c r="AC47" s="1962">
        <f t="shared" si="5"/>
        <v>1</v>
      </c>
    </row>
    <row r="48" spans="1:29" ht="15">
      <c r="A48" s="430" t="s">
        <v>1708</v>
      </c>
      <c r="B48" s="431"/>
      <c r="C48" s="1154" t="s">
        <v>0</v>
      </c>
      <c r="D48" s="1155"/>
      <c r="E48" s="1156">
        <f>案例!B7</f>
        <v>6</v>
      </c>
      <c r="F48" s="1157"/>
      <c r="G48" s="1158">
        <f>案例!B8</f>
        <v>5.8</v>
      </c>
      <c r="H48" s="1159"/>
      <c r="I48" s="1156">
        <f>案例!B9</f>
        <v>6.2</v>
      </c>
      <c r="J48" s="436"/>
      <c r="K48" s="714"/>
      <c r="L48" s="2722"/>
      <c r="M48" s="2714"/>
      <c r="N48" s="2714"/>
      <c r="O48" s="2714"/>
      <c r="P48" s="3687" t="str">
        <f>A48</f>
        <v>成交单价（元/平方米）</v>
      </c>
      <c r="Q48" s="3716"/>
      <c r="R48" s="3717">
        <f>E48</f>
        <v>6</v>
      </c>
      <c r="S48" s="3717"/>
      <c r="T48" s="3717">
        <f>G48</f>
        <v>5.8</v>
      </c>
      <c r="U48" s="3717"/>
      <c r="V48" s="3717">
        <f>I48</f>
        <v>6.2</v>
      </c>
      <c r="W48" s="3717"/>
      <c r="X48" s="397"/>
      <c r="Y48" s="712"/>
      <c r="Z48" s="397"/>
      <c r="AA48" s="397"/>
      <c r="AB48" s="397"/>
      <c r="AC48" s="578"/>
    </row>
    <row r="49" spans="1:29" ht="15.75" thickBot="1">
      <c r="A49" s="437" t="s">
        <v>1709</v>
      </c>
      <c r="B49" s="438"/>
      <c r="C49" s="1160">
        <f>R50</f>
        <v>5.6</v>
      </c>
      <c r="D49" s="2317" t="s">
        <v>2138</v>
      </c>
      <c r="E49" s="1161">
        <f>R49</f>
        <v>5.7</v>
      </c>
      <c r="F49" s="2318"/>
      <c r="G49" s="1160">
        <f>T49</f>
        <v>5.5</v>
      </c>
      <c r="H49" s="2318"/>
      <c r="I49" s="1161">
        <f>V49</f>
        <v>5.6</v>
      </c>
      <c r="J49" s="2318"/>
      <c r="K49" s="2320">
        <f>F49+H49+J49</f>
        <v>0</v>
      </c>
      <c r="L49" s="2722"/>
      <c r="M49" s="2714"/>
      <c r="N49" s="2714"/>
      <c r="O49" s="2714"/>
      <c r="P49" s="3687" t="str">
        <f>A49</f>
        <v>比较价值（元/平方米）</v>
      </c>
      <c r="Q49" s="3716"/>
      <c r="R49" s="3717">
        <f>IF(F1="售价",ROUND(PRODUCT(R48,AA7:AA47),0),ROUND(PRODUCT(R48,AA7:AA47),1))</f>
        <v>5.7</v>
      </c>
      <c r="S49" s="3717"/>
      <c r="T49" s="3717">
        <f>IF(F1="售价",ROUND(PRODUCT(T48,AB7:AB47),0),ROUND(PRODUCT(T48,AB7:AB47),1))</f>
        <v>5.5</v>
      </c>
      <c r="U49" s="3717"/>
      <c r="V49" s="3717">
        <f>IF(F1="售价",ROUND(PRODUCT(V48,AC7:AC47),0),ROUND(PRODUCT(V48,AC7:AC47),1))</f>
        <v>5.6</v>
      </c>
      <c r="W49" s="3717"/>
      <c r="X49" s="397"/>
      <c r="Y49" s="397"/>
      <c r="Z49" s="397"/>
      <c r="AA49" s="397"/>
      <c r="AB49" s="397"/>
      <c r="AC49" s="578"/>
    </row>
    <row r="50" spans="1:29" ht="15.75" thickBot="1">
      <c r="A50" s="441" t="s">
        <v>1710</v>
      </c>
      <c r="B50" s="442"/>
      <c r="C50" s="1163">
        <f>R50</f>
        <v>5.6</v>
      </c>
      <c r="D50" s="1163"/>
      <c r="E50" s="1163"/>
      <c r="F50" s="1163"/>
      <c r="G50" s="1163"/>
      <c r="H50" s="1163"/>
      <c r="I50" s="1163"/>
      <c r="J50" s="443"/>
      <c r="K50" s="715"/>
      <c r="L50" s="2722"/>
      <c r="M50" s="2714"/>
      <c r="N50" s="2714"/>
      <c r="O50" s="2714"/>
      <c r="P50" s="3718" t="str">
        <f>A50</f>
        <v>估价对象XX用房的比较价值（楼面单价，元/平方米）</v>
      </c>
      <c r="Q50" s="3719"/>
      <c r="R50" s="3720">
        <f>IF(F1="售价",ROUND(IF(D49="简单平均",AVERAGE(R49:V49),R49*F49+T49*H49+V49*J49),0),ROUND(IF(D49="简单平均",AVERAGE(R49:V49),R49*F49+T49*H49+V49*J49),1))</f>
        <v>5.6</v>
      </c>
      <c r="S50" s="3720"/>
      <c r="T50" s="3720"/>
      <c r="U50" s="3720"/>
      <c r="V50" s="3720"/>
      <c r="W50" s="3720"/>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5.2631578947368363E-2</v>
      </c>
      <c r="F53" s="449" t="str">
        <f>IF(OR(E53&gt;=0.3,E53&lt;=-0.3),"超过30%","")</f>
        <v/>
      </c>
      <c r="G53" s="448">
        <f>IF(G48&lt;G49,G49/G48-1,G48/G49-1)</f>
        <v>5.4545454545454453E-2</v>
      </c>
      <c r="H53" s="449" t="str">
        <f>IF(OR(G53&gt;=0.3,G53&lt;=-0.3),"超过30%","")</f>
        <v/>
      </c>
      <c r="I53" s="448">
        <f>IF(I48&lt;I49,I49/I48-1,I48/I49-1)</f>
        <v>0.10714285714285721</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3.6363636363636376E-2</v>
      </c>
      <c r="F54" s="449" t="str">
        <f>IF(OR(E54&gt;=0.2,E54&lt;=-0.2),"超过20%","")</f>
        <v/>
      </c>
      <c r="G54" s="448">
        <f>IF(G49&lt;I49,I49/G49-1,G49/I49-1)</f>
        <v>1.8181818181818077E-2</v>
      </c>
      <c r="H54" s="449" t="str">
        <f>IF(OR(G54&gt;=0.2,G54&lt;=-0.2),"超过20%","")</f>
        <v/>
      </c>
      <c r="I54" s="448">
        <f>IF(I49&lt;E49,E49/I49-1,I49/E49-1)</f>
        <v>1.7857142857143016E-2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3.4482758620689724E-2</v>
      </c>
      <c r="F55" s="449" t="str">
        <f>IF(OR(E55&gt;=0.3,E55&lt;=-0.3),"超过30%","")</f>
        <v/>
      </c>
      <c r="G55" s="448">
        <f>IF(G48&lt;I48,I48/G48-1,G48/I48-1)</f>
        <v>6.8965517241379448E-2</v>
      </c>
      <c r="H55" s="449" t="str">
        <f>IF(OR(G55&gt;=0.3,G55&lt;=-0.3),"超过30%","")</f>
        <v/>
      </c>
      <c r="I55" s="448">
        <f>IF(I48&lt;E48,E48/I48-1,I48/E48-1)</f>
        <v>3.3333333333333437E-2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1714</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63" t="s">
        <v>3422</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8.5" hidden="1" thickTop="1" thickBot="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6.5" hidden="1" thickTop="1"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6.5" hidden="1" thickTop="1" thickBot="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6.5" hidden="1" thickTop="1" thickBot="1">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6.5" hidden="1" thickTop="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6.5" hidden="1" thickTop="1" thickBot="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6.5" hidden="1" thickTop="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6.5" hidden="1" thickTop="1" thickBot="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6.5" hidden="1" thickTop="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6.5" hidden="1" thickTop="1" thickBot="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6.5" hidden="1" thickTop="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8.5" hidden="1" thickTop="1" thickBot="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6.5" hidden="1" thickTop="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64" t="s">
        <v>3423</v>
      </c>
      <c r="D89" s="3464" t="s">
        <v>3424</v>
      </c>
      <c r="E89" s="3464" t="s">
        <v>3419</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2"/>
      <c r="O90" s="2752"/>
      <c r="P90" s="2760"/>
      <c r="Q90" s="2737"/>
      <c r="R90" s="2659"/>
      <c r="S90" s="2659"/>
      <c r="T90" s="2659"/>
      <c r="U90" s="2659"/>
      <c r="V90" s="2659"/>
      <c r="W90" s="2659"/>
      <c r="X90" s="2659"/>
      <c r="Y90" s="2659"/>
      <c r="Z90" s="2659"/>
      <c r="AA90" s="2659"/>
      <c r="AB90" s="2659"/>
      <c r="AC90" s="2659"/>
    </row>
    <row r="91" spans="1:29" s="422" customFormat="1" ht="16.5" hidden="1" thickTop="1" thickBot="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6.5" hidden="1" thickTop="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6.5" hidden="1" thickTop="1" thickBot="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6.5" hidden="1" thickTop="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6.5" hidden="1" thickTop="1" thickBot="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6.5" hidden="1" thickTop="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6.5" hidden="1" thickTop="1" thickBot="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6.5" hidden="1" thickTop="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6.5" hidden="1" thickTop="1" thickBot="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6.5" hidden="1" thickTop="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65" t="s">
        <v>3425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0(含)-80</v>
      </c>
      <c r="D103" s="527" t="str">
        <f t="shared" ref="D103:L103" si="23">D104&amp;"(含)"&amp;"-"&amp;E104</f>
        <v>80(含)-215</v>
      </c>
      <c r="E103" s="527" t="str">
        <f t="shared" si="23"/>
        <v>215(含)-300</v>
      </c>
      <c r="F103" s="527" t="str">
        <f t="shared" si="23"/>
        <v>300(含)-500</v>
      </c>
      <c r="G103" s="527" t="str">
        <f t="shared" si="23"/>
        <v>500(含)-1000</v>
      </c>
      <c r="H103" s="527" t="str">
        <f t="shared" si="23"/>
        <v>1000(含)-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80</v>
      </c>
      <c r="E104" s="544">
        <v>215</v>
      </c>
      <c r="F104" s="544">
        <v>300</v>
      </c>
      <c r="G104" s="544">
        <v>500</v>
      </c>
      <c r="H104" s="544">
        <v>1000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485">
        <f>D105-2</f>
        <v>98</v>
      </c>
      <c r="D105" s="485">
        <v>100</v>
      </c>
      <c r="E105" s="485">
        <v>98</v>
      </c>
      <c r="F105" s="485">
        <f>E105-2</f>
        <v>96</v>
      </c>
      <c r="G105" s="485">
        <f t="shared" ref="G105:H105" si="24">F105-2</f>
        <v>94</v>
      </c>
      <c r="H105" s="485">
        <f t="shared" si="24"/>
        <v>92</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4" t="s">
        <v>3427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4" t="s">
        <v>3428</v>
      </c>
      <c r="D108" s="3464" t="s">
        <v>3430</v>
      </c>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75" hidden="1" thickTop="1" thickBot="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6.5" hidden="1" thickTop="1"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64" t="s">
        <v>3431</v>
      </c>
      <c r="D115" s="3464" t="s">
        <v>3433</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64" t="s">
        <v>3434</v>
      </c>
      <c r="D117" s="3464" t="s">
        <v>3436</v>
      </c>
      <c r="E117" s="3464" t="s">
        <v>3437</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66" t="s">
        <v>3439</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75" hidden="1" thickTop="1" thickBot="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6.5" hidden="1" thickTop="1"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4" t="s">
        <v>3428</v>
      </c>
      <c r="D123" s="3464" t="s">
        <v>3430</v>
      </c>
      <c r="E123" s="3464" t="s">
        <v>3440</v>
      </c>
      <c r="F123" s="3466" t="s">
        <v>3441</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6.5" hidden="1" thickTop="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6.5" hidden="1" thickTop="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6.5" hidden="1" thickTop="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受贵公司委托，我公司对北京市海淀区长春桥路11号2号楼1层102房地产抵押价值进行了预评估。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估价对象为北京市海淀区长春桥路11号2号楼1层102房地产，为所有。根据《国有土地使用证》[]，估价对象（分摊）出让国有建设用地使用权面积为0平方米，建筑面积为75.58平方米。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长春桥路11号2号楼1层102房地产,属开发建设的，该项目尚在开发建设中。根据《国有土地使用证》[]，估价对象（分摊）出让国有建设用地使用权面积为0平方米，规划建筑面积为75.58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长春桥路11号2号楼1层102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2024年6月12日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12日，估价对象规划用途为办公，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tabSelected="1" workbookViewId="0">
      <selection activeCell="A226" sqref="A226"/>
    </sheetView>
  </sheetViews>
  <sheetFormatPr defaultRowHeight="13.5"/>
  <sheetData>
    <row r="1" spans="1:5">
      <c r="A1" s="3459" t="s">
        <v>3401</v>
      </c>
      <c r="B1" s="3459" t="s">
        <v>3402</v>
      </c>
      <c r="C1" s="3459" t="s">
        <v>3403</v>
      </c>
      <c r="D1" s="3459" t="s">
        <v>3404</v>
      </c>
      <c r="E1" s="3459" t="s">
        <v>3407</v>
      </c>
    </row>
    <row r="2" spans="1:5">
      <c r="A2" s="3459" t="s">
        <v>3405</v>
      </c>
      <c r="B2">
        <v>43317</v>
      </c>
      <c r="C2">
        <v>404</v>
      </c>
      <c r="D2" s="3459" t="s">
        <v>3406</v>
      </c>
      <c r="E2" s="3459" t="s">
        <v>3409</v>
      </c>
    </row>
    <row r="3" spans="1:5">
      <c r="A3" s="3459" t="s">
        <v>3452</v>
      </c>
      <c r="B3">
        <v>41072</v>
      </c>
      <c r="C3">
        <v>168</v>
      </c>
      <c r="D3" s="3459" t="s">
        <v>3453</v>
      </c>
      <c r="E3" s="3459" t="s">
        <v>3454</v>
      </c>
    </row>
    <row r="4" spans="1:5">
      <c r="A4" s="3459" t="s">
        <v>3411</v>
      </c>
      <c r="B4">
        <v>47383</v>
      </c>
      <c r="C4">
        <v>168.84</v>
      </c>
      <c r="D4" s="3459" t="s">
        <v>3406</v>
      </c>
      <c r="E4" s="3459" t="s">
        <v>3410</v>
      </c>
    </row>
    <row r="6" spans="1:5">
      <c r="A6" s="3459" t="s">
        <v>3413</v>
      </c>
      <c r="B6" s="3459" t="s">
        <v>3414</v>
      </c>
      <c r="C6" s="3459" t="s">
        <v>3403</v>
      </c>
      <c r="D6" s="3459" t="s">
        <v>3404</v>
      </c>
      <c r="E6" s="3459" t="s">
        <v>3407</v>
      </c>
    </row>
    <row r="7" spans="1:5">
      <c r="A7" s="3459" t="s">
        <v>3450</v>
      </c>
      <c r="B7" s="3459">
        <v>6</v>
      </c>
      <c r="C7" s="3459">
        <v>211</v>
      </c>
      <c r="D7" s="3459" t="s">
        <v>3451</v>
      </c>
      <c r="E7" s="3459" t="s">
        <v>3409</v>
      </c>
    </row>
    <row r="8" spans="1:5">
      <c r="A8" s="3459" t="s">
        <v>3450</v>
      </c>
      <c r="B8" s="3459">
        <v>5.8</v>
      </c>
      <c r="C8" s="3459">
        <v>211.06</v>
      </c>
      <c r="D8" s="3459" t="s">
        <v>3451</v>
      </c>
      <c r="E8" s="3459" t="s">
        <v>3409</v>
      </c>
    </row>
    <row r="9" spans="1:5">
      <c r="A9" s="3459" t="s">
        <v>3450</v>
      </c>
      <c r="B9" s="3459">
        <v>6.2</v>
      </c>
      <c r="C9" s="3459">
        <v>205.27</v>
      </c>
      <c r="D9" s="3459" t="s">
        <v>3406</v>
      </c>
      <c r="E9" s="3459" t="s">
        <v>3409</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75.58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913"/>
      <c r="M4" s="914"/>
      <c r="N4" s="914"/>
      <c r="O4" s="914"/>
      <c r="P4" s="3745" t="s">
        <v>1775</v>
      </c>
      <c r="Q4" s="3746"/>
      <c r="R4" s="3743" t="s">
        <v>1771</v>
      </c>
      <c r="S4" s="3744"/>
      <c r="T4" s="3743" t="s">
        <v>1772</v>
      </c>
      <c r="U4" s="3744"/>
      <c r="V4" s="3704" t="s">
        <v>1773</v>
      </c>
      <c r="W4" s="3704"/>
      <c r="X4" s="1355"/>
      <c r="Y4" s="3743" t="s">
        <v>1775</v>
      </c>
      <c r="Z4" s="3744"/>
      <c r="AA4" s="3742" t="s">
        <v>1771</v>
      </c>
      <c r="AB4" s="3670" t="s">
        <v>1772</v>
      </c>
      <c r="AC4" s="3742" t="s">
        <v>1773</v>
      </c>
    </row>
    <row r="5" spans="1:29" ht="15">
      <c r="A5" s="358"/>
      <c r="B5" s="359"/>
      <c r="C5" s="3684" t="s">
        <v>1673</v>
      </c>
      <c r="D5" s="3681"/>
      <c r="E5" s="3678" t="s">
        <v>1674</v>
      </c>
      <c r="F5" s="3679"/>
      <c r="G5" s="3684" t="s">
        <v>1675</v>
      </c>
      <c r="H5" s="3681"/>
      <c r="I5" s="3684" t="s">
        <v>1676</v>
      </c>
      <c r="J5" s="3681"/>
      <c r="K5" s="559"/>
      <c r="L5" s="913"/>
      <c r="M5" s="914"/>
      <c r="N5" s="914"/>
      <c r="O5" s="914"/>
      <c r="P5" s="3747"/>
      <c r="Q5" s="3698"/>
      <c r="R5" s="3676"/>
      <c r="S5" s="3677"/>
      <c r="T5" s="3676"/>
      <c r="U5" s="3677"/>
      <c r="V5" s="3704"/>
      <c r="W5" s="3704"/>
      <c r="X5" s="1355"/>
      <c r="Y5" s="3676"/>
      <c r="Z5" s="3677"/>
      <c r="AA5" s="3670"/>
      <c r="AB5" s="3670"/>
      <c r="AC5" s="3670"/>
    </row>
    <row r="6" spans="1:29" ht="15.75" thickBot="1">
      <c r="A6" s="360"/>
      <c r="B6" s="361"/>
      <c r="C6" s="3682" t="s">
        <v>1677</v>
      </c>
      <c r="D6" s="3683"/>
      <c r="E6" s="3685" t="s">
        <v>1677</v>
      </c>
      <c r="F6" s="3686"/>
      <c r="G6" s="3682" t="s">
        <v>1677</v>
      </c>
      <c r="H6" s="3683"/>
      <c r="I6" s="3682" t="s">
        <v>1677</v>
      </c>
      <c r="J6" s="3683"/>
      <c r="K6" s="559" t="s">
        <v>1678</v>
      </c>
      <c r="L6" s="913"/>
      <c r="M6" s="914"/>
      <c r="N6" s="914"/>
      <c r="O6" s="914"/>
      <c r="P6" s="3748"/>
      <c r="Q6" s="3700"/>
      <c r="R6" s="3676"/>
      <c r="S6" s="3677"/>
      <c r="T6" s="3701"/>
      <c r="U6" s="3702"/>
      <c r="V6" s="3704"/>
      <c r="W6" s="3704"/>
      <c r="X6" s="1355"/>
      <c r="Y6" s="3701"/>
      <c r="Z6" s="3702"/>
      <c r="AA6" s="3671"/>
      <c r="AB6" s="3671"/>
      <c r="AC6" s="3671"/>
    </row>
    <row r="7" spans="1:29" s="108" customFormat="1" ht="15.75" thickBot="1">
      <c r="A7" s="362" t="s">
        <v>1679</v>
      </c>
      <c r="B7" s="363"/>
      <c r="C7" s="364">
        <f>'数据-取费表'!B2</f>
        <v>45455</v>
      </c>
      <c r="D7" s="365">
        <v>100</v>
      </c>
      <c r="E7" s="366"/>
      <c r="F7" s="367">
        <f>SUMIF(52:52,YEAR(E7)&amp;"-"&amp;MONTH(E7),53:53)</f>
        <v>0</v>
      </c>
      <c r="G7" s="366"/>
      <c r="H7" s="365">
        <f>SUMIF(52:52,YEAR(G7)&amp;"-"&amp;MONTH(G7),53:53)</f>
        <v>0</v>
      </c>
      <c r="I7" s="366"/>
      <c r="J7" s="365">
        <f>SUMIF(52:52,YEAR(I7)&amp;"-"&amp;MONTH(I7),53:53)</f>
        <v>0</v>
      </c>
      <c r="K7" s="560"/>
      <c r="L7" s="915"/>
      <c r="M7" s="916"/>
      <c r="N7" s="916"/>
      <c r="O7" s="916"/>
      <c r="P7" s="3672" t="s">
        <v>1680</v>
      </c>
      <c r="Q7" s="3706"/>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2" t="s">
        <v>1683</v>
      </c>
      <c r="Q8" s="3673"/>
      <c r="R8" s="701" t="s">
        <v>14</v>
      </c>
      <c r="S8" s="702">
        <f t="shared" si="0"/>
        <v>100</v>
      </c>
      <c r="T8" s="701" t="s">
        <v>14</v>
      </c>
      <c r="U8" s="702">
        <f t="shared" si="1"/>
        <v>100</v>
      </c>
      <c r="V8" s="701" t="s">
        <v>14</v>
      </c>
      <c r="W8" s="702">
        <f t="shared" si="2"/>
        <v>100</v>
      </c>
      <c r="X8" s="703"/>
      <c r="Y8" s="3672" t="s">
        <v>1683</v>
      </c>
      <c r="Z8" s="367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6"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16"/>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6"/>
      <c r="Q11" s="1343" t="str">
        <f t="shared" si="6"/>
        <v>容积率</v>
      </c>
      <c r="R11" s="701" t="s">
        <v>14</v>
      </c>
      <c r="S11" s="702">
        <f t="shared" si="0"/>
        <v>100</v>
      </c>
      <c r="T11" s="701" t="s">
        <v>14</v>
      </c>
      <c r="U11" s="702">
        <f t="shared" si="1"/>
        <v>100</v>
      </c>
      <c r="V11" s="701" t="s">
        <v>14</v>
      </c>
      <c r="W11" s="702">
        <f t="shared" si="2"/>
        <v>100</v>
      </c>
      <c r="X11" s="703"/>
      <c r="Y11" s="363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6"/>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6"/>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6"/>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9" t="s">
        <v>1691</v>
      </c>
      <c r="Q15" s="1352" t="str">
        <f t="shared" si="6"/>
        <v>产业集聚程度</v>
      </c>
      <c r="R15" s="705" t="s">
        <v>14</v>
      </c>
      <c r="S15" s="706">
        <f t="shared" si="0"/>
        <v>100</v>
      </c>
      <c r="T15" s="705" t="s">
        <v>14</v>
      </c>
      <c r="U15" s="706">
        <f t="shared" si="1"/>
        <v>100</v>
      </c>
      <c r="V15" s="705" t="s">
        <v>14</v>
      </c>
      <c r="W15" s="706">
        <f t="shared" si="2"/>
        <v>100</v>
      </c>
      <c r="X15" s="1355"/>
      <c r="Y15" s="370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0"/>
      <c r="Q16" s="1352"/>
      <c r="R16" s="705"/>
      <c r="S16" s="706"/>
      <c r="T16" s="705"/>
      <c r="U16" s="706"/>
      <c r="V16" s="705"/>
      <c r="W16" s="706"/>
      <c r="X16" s="1355"/>
      <c r="Y16" s="371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0"/>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0"/>
      <c r="Q18" s="1352"/>
      <c r="R18" s="705"/>
      <c r="S18" s="706"/>
      <c r="T18" s="705"/>
      <c r="U18" s="706"/>
      <c r="V18" s="705"/>
      <c r="W18" s="706"/>
      <c r="X18" s="1355"/>
      <c r="Y18" s="371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0"/>
      <c r="Q19" s="1352" t="str">
        <f>B19</f>
        <v>公共配套设施</v>
      </c>
      <c r="R19" s="705" t="s">
        <v>14</v>
      </c>
      <c r="S19" s="706">
        <f>F19</f>
        <v>100</v>
      </c>
      <c r="T19" s="705" t="s">
        <v>14</v>
      </c>
      <c r="U19" s="706">
        <f>H19</f>
        <v>100</v>
      </c>
      <c r="V19" s="705" t="s">
        <v>14</v>
      </c>
      <c r="W19" s="706">
        <f>J19</f>
        <v>100</v>
      </c>
      <c r="X19" s="1355"/>
      <c r="Y19" s="371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0"/>
      <c r="Q20" s="1352"/>
      <c r="R20" s="705"/>
      <c r="S20" s="706"/>
      <c r="T20" s="705"/>
      <c r="U20" s="706"/>
      <c r="V20" s="705"/>
      <c r="W20" s="706"/>
      <c r="X20" s="1355"/>
      <c r="Y20" s="371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0"/>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0"/>
      <c r="Q22" s="1352"/>
      <c r="R22" s="705"/>
      <c r="S22" s="706"/>
      <c r="T22" s="705"/>
      <c r="U22" s="706"/>
      <c r="V22" s="705"/>
      <c r="W22" s="706"/>
      <c r="X22" s="1355"/>
      <c r="Y22" s="371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0"/>
      <c r="Q23" s="1352" t="str">
        <f>B23</f>
        <v>环境质量</v>
      </c>
      <c r="R23" s="705" t="s">
        <v>14</v>
      </c>
      <c r="S23" s="706">
        <f>F23</f>
        <v>100</v>
      </c>
      <c r="T23" s="705" t="s">
        <v>14</v>
      </c>
      <c r="U23" s="706">
        <f>H23</f>
        <v>100</v>
      </c>
      <c r="V23" s="705" t="s">
        <v>14</v>
      </c>
      <c r="W23" s="706">
        <f>J23</f>
        <v>100</v>
      </c>
      <c r="X23" s="1355"/>
      <c r="Y23" s="371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0"/>
      <c r="Q24" s="1352"/>
      <c r="R24" s="705"/>
      <c r="S24" s="706"/>
      <c r="T24" s="705"/>
      <c r="U24" s="706"/>
      <c r="V24" s="705"/>
      <c r="W24" s="706"/>
      <c r="X24" s="1355"/>
      <c r="Y24" s="371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0"/>
      <c r="Q25" s="1352">
        <f>B25</f>
        <v>111</v>
      </c>
      <c r="R25" s="705" t="s">
        <v>14</v>
      </c>
      <c r="S25" s="706">
        <f>F25</f>
        <v>100</v>
      </c>
      <c r="T25" s="705" t="s">
        <v>14</v>
      </c>
      <c r="U25" s="706">
        <f>H25</f>
        <v>100</v>
      </c>
      <c r="V25" s="705" t="s">
        <v>14</v>
      </c>
      <c r="W25" s="706">
        <f>J25</f>
        <v>100</v>
      </c>
      <c r="X25" s="1355"/>
      <c r="Y25" s="371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0"/>
      <c r="Q26" s="1352">
        <f t="shared" ref="Q26:Q40" si="11">B26</f>
        <v>111</v>
      </c>
      <c r="R26" s="705" t="s">
        <v>14</v>
      </c>
      <c r="S26" s="706">
        <f>F26</f>
        <v>100</v>
      </c>
      <c r="T26" s="705" t="s">
        <v>14</v>
      </c>
      <c r="U26" s="706">
        <f>H26</f>
        <v>100</v>
      </c>
      <c r="V26" s="705" t="s">
        <v>14</v>
      </c>
      <c r="W26" s="706">
        <f>J26</f>
        <v>100</v>
      </c>
      <c r="X26" s="1355"/>
      <c r="Y26" s="371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0"/>
      <c r="Q27" s="1343">
        <f t="shared" si="11"/>
        <v>111</v>
      </c>
      <c r="R27" s="701" t="s">
        <v>14</v>
      </c>
      <c r="S27" s="702">
        <f>F27</f>
        <v>100</v>
      </c>
      <c r="T27" s="701" t="s">
        <v>14</v>
      </c>
      <c r="U27" s="702">
        <f>H27</f>
        <v>100</v>
      </c>
      <c r="V27" s="701" t="s">
        <v>14</v>
      </c>
      <c r="W27" s="702">
        <f>J27</f>
        <v>100</v>
      </c>
      <c r="X27" s="703"/>
      <c r="Y27" s="371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0"/>
      <c r="Q28" s="1352">
        <f t="shared" si="11"/>
        <v>111</v>
      </c>
      <c r="R28" s="705" t="s">
        <v>14</v>
      </c>
      <c r="S28" s="706">
        <f t="shared" ref="S28:S40" si="12">F28</f>
        <v>100</v>
      </c>
      <c r="T28" s="705" t="s">
        <v>14</v>
      </c>
      <c r="U28" s="706">
        <f t="shared" ref="U28:U40" si="13">H28</f>
        <v>100</v>
      </c>
      <c r="V28" s="705" t="s">
        <v>14</v>
      </c>
      <c r="W28" s="706">
        <f t="shared" ref="W28:W40" si="14">J28</f>
        <v>100</v>
      </c>
      <c r="X28" s="1355"/>
      <c r="Y28" s="371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2" t="s">
        <v>1696</v>
      </c>
      <c r="Q29" s="1352" t="str">
        <f t="shared" si="11"/>
        <v>建筑类型</v>
      </c>
      <c r="R29" s="705" t="s">
        <v>14</v>
      </c>
      <c r="S29" s="706">
        <f t="shared" si="12"/>
        <v>100</v>
      </c>
      <c r="T29" s="705" t="s">
        <v>14</v>
      </c>
      <c r="U29" s="706">
        <f t="shared" si="13"/>
        <v>100</v>
      </c>
      <c r="V29" s="705" t="s">
        <v>14</v>
      </c>
      <c r="W29" s="706">
        <f t="shared" si="14"/>
        <v>100</v>
      </c>
      <c r="X29" s="1355"/>
      <c r="Y29" s="371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4"/>
      <c r="Q30" s="707" t="str">
        <f t="shared" si="11"/>
        <v>项目建筑规模</v>
      </c>
      <c r="R30" s="708" t="s">
        <v>14</v>
      </c>
      <c r="S30" s="709" t="e">
        <f t="shared" si="12"/>
        <v>#N/A</v>
      </c>
      <c r="T30" s="708" t="s">
        <v>14</v>
      </c>
      <c r="U30" s="709" t="e">
        <f t="shared" si="13"/>
        <v>#N/A</v>
      </c>
      <c r="V30" s="708" t="s">
        <v>14</v>
      </c>
      <c r="W30" s="709" t="e">
        <f t="shared" si="14"/>
        <v>#N/A</v>
      </c>
      <c r="X30" s="710"/>
      <c r="Y30" s="371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4"/>
      <c r="Q31" s="1352" t="str">
        <f t="shared" si="11"/>
        <v>建筑结构</v>
      </c>
      <c r="R31" s="705" t="s">
        <v>14</v>
      </c>
      <c r="S31" s="706">
        <f t="shared" si="12"/>
        <v>100</v>
      </c>
      <c r="T31" s="705" t="s">
        <v>14</v>
      </c>
      <c r="U31" s="706">
        <f t="shared" si="13"/>
        <v>100</v>
      </c>
      <c r="V31" s="705" t="s">
        <v>14</v>
      </c>
      <c r="W31" s="706">
        <f t="shared" si="14"/>
        <v>100</v>
      </c>
      <c r="X31" s="1355"/>
      <c r="Y31" s="371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4"/>
      <c r="Q32" s="1352" t="str">
        <f t="shared" si="11"/>
        <v>公共部分装修</v>
      </c>
      <c r="R32" s="705" t="s">
        <v>14</v>
      </c>
      <c r="S32" s="706">
        <f t="shared" si="12"/>
        <v>100</v>
      </c>
      <c r="T32" s="705" t="s">
        <v>14</v>
      </c>
      <c r="U32" s="706">
        <f t="shared" si="13"/>
        <v>100</v>
      </c>
      <c r="V32" s="705" t="s">
        <v>14</v>
      </c>
      <c r="W32" s="706">
        <f t="shared" si="14"/>
        <v>100</v>
      </c>
      <c r="X32" s="1355"/>
      <c r="Y32" s="371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4"/>
      <c r="Q33" s="1352" t="str">
        <f t="shared" si="11"/>
        <v>成新度</v>
      </c>
      <c r="R33" s="705" t="s">
        <v>14</v>
      </c>
      <c r="S33" s="706" t="e">
        <f t="shared" si="12"/>
        <v>#N/A</v>
      </c>
      <c r="T33" s="705" t="s">
        <v>14</v>
      </c>
      <c r="U33" s="706" t="e">
        <f t="shared" si="13"/>
        <v>#N/A</v>
      </c>
      <c r="V33" s="705" t="s">
        <v>14</v>
      </c>
      <c r="W33" s="706" t="e">
        <f t="shared" si="14"/>
        <v>#N/A</v>
      </c>
      <c r="X33" s="1355"/>
      <c r="Y33" s="371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4"/>
      <c r="Q34" s="1343" t="str">
        <f t="shared" si="11"/>
        <v>物业管理</v>
      </c>
      <c r="R34" s="701" t="s">
        <v>14</v>
      </c>
      <c r="S34" s="702">
        <f t="shared" si="12"/>
        <v>100</v>
      </c>
      <c r="T34" s="701" t="s">
        <v>14</v>
      </c>
      <c r="U34" s="702">
        <f t="shared" si="13"/>
        <v>100</v>
      </c>
      <c r="V34" s="701" t="s">
        <v>14</v>
      </c>
      <c r="W34" s="702">
        <f t="shared" si="14"/>
        <v>100</v>
      </c>
      <c r="X34" s="703"/>
      <c r="Y34" s="371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4" t="s">
        <v>1696</v>
      </c>
      <c r="Q35" s="1352" t="str">
        <f t="shared" si="11"/>
        <v>市政基础设施</v>
      </c>
      <c r="R35" s="705" t="s">
        <v>14</v>
      </c>
      <c r="S35" s="706">
        <f t="shared" si="12"/>
        <v>100</v>
      </c>
      <c r="T35" s="705" t="s">
        <v>14</v>
      </c>
      <c r="U35" s="706">
        <f t="shared" si="13"/>
        <v>100</v>
      </c>
      <c r="V35" s="705" t="s">
        <v>14</v>
      </c>
      <c r="W35" s="706">
        <f t="shared" si="14"/>
        <v>100</v>
      </c>
      <c r="X35" s="1355"/>
      <c r="Y35" s="371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4"/>
      <c r="Q36" s="1352" t="str">
        <f t="shared" si="11"/>
        <v>内部装修</v>
      </c>
      <c r="R36" s="705" t="s">
        <v>14</v>
      </c>
      <c r="S36" s="706">
        <f t="shared" si="12"/>
        <v>100</v>
      </c>
      <c r="T36" s="705" t="s">
        <v>14</v>
      </c>
      <c r="U36" s="706">
        <f t="shared" si="13"/>
        <v>100</v>
      </c>
      <c r="V36" s="705" t="s">
        <v>14</v>
      </c>
      <c r="W36" s="706">
        <f t="shared" si="14"/>
        <v>100</v>
      </c>
      <c r="X36" s="1355"/>
      <c r="Y36" s="371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4"/>
      <c r="Q37" s="1352" t="str">
        <f t="shared" si="11"/>
        <v>内部装修状况</v>
      </c>
      <c r="R37" s="705" t="s">
        <v>14</v>
      </c>
      <c r="S37" s="706">
        <f t="shared" si="12"/>
        <v>100</v>
      </c>
      <c r="T37" s="705" t="s">
        <v>14</v>
      </c>
      <c r="U37" s="706">
        <f t="shared" si="13"/>
        <v>100</v>
      </c>
      <c r="V37" s="705" t="s">
        <v>14</v>
      </c>
      <c r="W37" s="706">
        <f t="shared" si="14"/>
        <v>100</v>
      </c>
      <c r="X37" s="1355"/>
      <c r="Y37" s="371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4"/>
      <c r="Q38" s="707">
        <f t="shared" si="11"/>
        <v>111</v>
      </c>
      <c r="R38" s="708" t="s">
        <v>14</v>
      </c>
      <c r="S38" s="709">
        <f t="shared" si="12"/>
        <v>100</v>
      </c>
      <c r="T38" s="708" t="s">
        <v>14</v>
      </c>
      <c r="U38" s="709">
        <f t="shared" si="13"/>
        <v>100</v>
      </c>
      <c r="V38" s="708" t="s">
        <v>14</v>
      </c>
      <c r="W38" s="709">
        <f t="shared" si="14"/>
        <v>100</v>
      </c>
      <c r="X38" s="710"/>
      <c r="Y38" s="371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4"/>
      <c r="Q39" s="1352">
        <f t="shared" si="11"/>
        <v>111</v>
      </c>
      <c r="R39" s="705" t="s">
        <v>14</v>
      </c>
      <c r="S39" s="706">
        <f t="shared" si="12"/>
        <v>100</v>
      </c>
      <c r="T39" s="705" t="s">
        <v>14</v>
      </c>
      <c r="U39" s="706">
        <f t="shared" si="13"/>
        <v>100</v>
      </c>
      <c r="V39" s="705" t="s">
        <v>14</v>
      </c>
      <c r="W39" s="706">
        <f t="shared" si="14"/>
        <v>100</v>
      </c>
      <c r="X39" s="1355"/>
      <c r="Y39" s="371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5"/>
      <c r="Q40" s="1352">
        <f t="shared" si="11"/>
        <v>111</v>
      </c>
      <c r="R40" s="705" t="s">
        <v>14</v>
      </c>
      <c r="S40" s="706">
        <f t="shared" si="12"/>
        <v>100</v>
      </c>
      <c r="T40" s="705" t="s">
        <v>14</v>
      </c>
      <c r="U40" s="706">
        <f t="shared" si="13"/>
        <v>100</v>
      </c>
      <c r="V40" s="705" t="s">
        <v>14</v>
      </c>
      <c r="W40" s="706">
        <f t="shared" si="14"/>
        <v>100</v>
      </c>
      <c r="X40" s="1355"/>
      <c r="Y40" s="371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6" t="str">
        <f>A41</f>
        <v>成交单价（元/平方米）</v>
      </c>
      <c r="Q41" s="3716"/>
      <c r="R41" s="3717">
        <f>E41</f>
        <v>0</v>
      </c>
      <c r="S41" s="3717"/>
      <c r="T41" s="3717">
        <f>G41</f>
        <v>0</v>
      </c>
      <c r="U41" s="3717"/>
      <c r="V41" s="3717">
        <f>I41</f>
        <v>0</v>
      </c>
      <c r="W41" s="371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6" t="str">
        <f>A42</f>
        <v>比较价值（元/平方米）</v>
      </c>
      <c r="Q42" s="3716"/>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9" t="str">
        <f>A43</f>
        <v>估价对象XX用房的比较价值（楼面单价，元/平方米）</v>
      </c>
      <c r="Q43" s="3750"/>
      <c r="R43" s="3751" t="e">
        <f>IF(F1="售价",ROUND(IF(D42="简单平均",AVERAGE(R42:V42),R42*F42+T42*H42+V42*J42),0),ROUND(IF(D42="简单平均",AVERAGE(R42:V42),R42*F42+T42*H42+V42*J42),1))</f>
        <v>#DIV/0!</v>
      </c>
      <c r="S43" s="3751"/>
      <c r="T43" s="3751"/>
      <c r="U43" s="3751"/>
      <c r="V43" s="3751"/>
      <c r="W43" s="3751"/>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745" t="s">
        <v>1775</v>
      </c>
      <c r="Q4" s="3746"/>
      <c r="R4" s="3743" t="s">
        <v>1771</v>
      </c>
      <c r="S4" s="3744"/>
      <c r="T4" s="3743" t="s">
        <v>1772</v>
      </c>
      <c r="U4" s="3744"/>
      <c r="V4" s="3704" t="s">
        <v>1773</v>
      </c>
      <c r="W4" s="3704"/>
      <c r="X4" s="1355"/>
      <c r="Y4" s="3743" t="s">
        <v>1775</v>
      </c>
      <c r="Z4" s="3744"/>
      <c r="AA4" s="3742" t="s">
        <v>1771</v>
      </c>
      <c r="AB4" s="3670" t="s">
        <v>1772</v>
      </c>
      <c r="AC4" s="3742" t="s">
        <v>1773</v>
      </c>
    </row>
    <row r="5" spans="1:29" ht="15">
      <c r="A5" s="358"/>
      <c r="B5" s="359"/>
      <c r="C5" s="3684" t="s">
        <v>1673</v>
      </c>
      <c r="D5" s="3681"/>
      <c r="E5" s="3678" t="s">
        <v>1674</v>
      </c>
      <c r="F5" s="3679"/>
      <c r="G5" s="3684" t="s">
        <v>1675</v>
      </c>
      <c r="H5" s="3681"/>
      <c r="I5" s="3684" t="s">
        <v>1676</v>
      </c>
      <c r="J5" s="3681"/>
      <c r="K5" s="559"/>
      <c r="L5" s="2713"/>
      <c r="M5" s="2714"/>
      <c r="N5" s="2714"/>
      <c r="O5" s="2714"/>
      <c r="P5" s="3747"/>
      <c r="Q5" s="3698"/>
      <c r="R5" s="3676"/>
      <c r="S5" s="3677"/>
      <c r="T5" s="3676"/>
      <c r="U5" s="3677"/>
      <c r="V5" s="3704"/>
      <c r="W5" s="3704"/>
      <c r="X5" s="1355"/>
      <c r="Y5" s="3676"/>
      <c r="Z5" s="3677"/>
      <c r="AA5" s="3670"/>
      <c r="AB5" s="3670"/>
      <c r="AC5" s="3670"/>
    </row>
    <row r="6" spans="1:29" ht="15.75" thickBot="1">
      <c r="A6" s="360"/>
      <c r="B6" s="361"/>
      <c r="C6" s="3682" t="s">
        <v>1677</v>
      </c>
      <c r="D6" s="3683"/>
      <c r="E6" s="3685" t="s">
        <v>1677</v>
      </c>
      <c r="F6" s="3686"/>
      <c r="G6" s="3682" t="s">
        <v>1677</v>
      </c>
      <c r="H6" s="3683"/>
      <c r="I6" s="3682" t="s">
        <v>1677</v>
      </c>
      <c r="J6" s="3683"/>
      <c r="K6" s="559" t="s">
        <v>1678</v>
      </c>
      <c r="L6" s="2713"/>
      <c r="M6" s="2714"/>
      <c r="N6" s="2714"/>
      <c r="O6" s="2714"/>
      <c r="P6" s="3748"/>
      <c r="Q6" s="3700"/>
      <c r="R6" s="3676"/>
      <c r="S6" s="3677"/>
      <c r="T6" s="3701"/>
      <c r="U6" s="3702"/>
      <c r="V6" s="3704"/>
      <c r="W6" s="3704"/>
      <c r="X6" s="1355"/>
      <c r="Y6" s="3701"/>
      <c r="Z6" s="3702"/>
      <c r="AA6" s="3671"/>
      <c r="AB6" s="3671"/>
      <c r="AC6" s="3671"/>
    </row>
    <row r="7" spans="1:29" s="108" customFormat="1" ht="15.75" thickBot="1">
      <c r="A7" s="362" t="s">
        <v>1679</v>
      </c>
      <c r="B7" s="363"/>
      <c r="C7" s="364">
        <f>'数据-取费表'!B2</f>
        <v>45455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2" t="s">
        <v>1680</v>
      </c>
      <c r="Q7" s="3706"/>
      <c r="R7" s="701" t="s">
        <v>14</v>
      </c>
      <c r="S7" s="702">
        <f t="shared" ref="S7:S14" si="0">F7</f>
        <v>0</v>
      </c>
      <c r="T7" s="701" t="s">
        <v>14</v>
      </c>
      <c r="U7" s="702">
        <f t="shared" ref="U7:U14" si="1">H7</f>
        <v>0</v>
      </c>
      <c r="V7" s="701" t="s">
        <v>14</v>
      </c>
      <c r="W7" s="702">
        <f t="shared" ref="W7:W14"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2" t="s">
        <v>1683</v>
      </c>
      <c r="Q8" s="3673"/>
      <c r="R8" s="701" t="s">
        <v>14</v>
      </c>
      <c r="S8" s="702">
        <f t="shared" si="0"/>
        <v>100</v>
      </c>
      <c r="T8" s="701" t="s">
        <v>14</v>
      </c>
      <c r="U8" s="702">
        <f t="shared" si="1"/>
        <v>100</v>
      </c>
      <c r="V8" s="701" t="s">
        <v>14</v>
      </c>
      <c r="W8" s="702">
        <f t="shared" si="2"/>
        <v>100</v>
      </c>
      <c r="X8" s="703"/>
      <c r="Y8" s="3672" t="s">
        <v>1683</v>
      </c>
      <c r="Z8" s="367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6" t="s">
        <v>1686</v>
      </c>
      <c r="Q9" s="1343" t="str">
        <f t="shared" ref="Q9:Q14" si="6">B9</f>
        <v>用途</v>
      </c>
      <c r="R9" s="701" t="s">
        <v>14</v>
      </c>
      <c r="S9" s="702">
        <f t="shared" si="0"/>
        <v>100</v>
      </c>
      <c r="T9" s="701" t="s">
        <v>14</v>
      </c>
      <c r="U9" s="702">
        <f t="shared" si="1"/>
        <v>100</v>
      </c>
      <c r="V9" s="701" t="s">
        <v>14</v>
      </c>
      <c r="W9" s="702">
        <f t="shared" si="2"/>
        <v>100</v>
      </c>
      <c r="X9" s="703"/>
      <c r="Y9" s="3637"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16"/>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6"/>
      <c r="Q11" s="1343">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6"/>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6"/>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9" t="s">
        <v>1691</v>
      </c>
      <c r="Q14" s="1352" t="str">
        <f t="shared" si="6"/>
        <v>交通便捷度</v>
      </c>
      <c r="R14" s="705" t="s">
        <v>14</v>
      </c>
      <c r="S14" s="706">
        <f t="shared" si="0"/>
        <v>100</v>
      </c>
      <c r="T14" s="705" t="s">
        <v>14</v>
      </c>
      <c r="U14" s="706">
        <f t="shared" si="1"/>
        <v>100</v>
      </c>
      <c r="V14" s="705" t="s">
        <v>14</v>
      </c>
      <c r="W14" s="706">
        <f t="shared" si="2"/>
        <v>100</v>
      </c>
      <c r="X14" s="1355"/>
      <c r="Y14" s="370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10"/>
      <c r="Q15" s="1352"/>
      <c r="R15" s="705"/>
      <c r="S15" s="706"/>
      <c r="T15" s="705"/>
      <c r="U15" s="706"/>
      <c r="V15" s="705"/>
      <c r="W15" s="706"/>
      <c r="X15" s="1355"/>
      <c r="Y15" s="3710"/>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0"/>
      <c r="Q16" s="1352" t="str">
        <f>B16</f>
        <v>公共配套设施</v>
      </c>
      <c r="R16" s="705" t="s">
        <v>14</v>
      </c>
      <c r="S16" s="706">
        <f>F16</f>
        <v>100</v>
      </c>
      <c r="T16" s="705" t="s">
        <v>14</v>
      </c>
      <c r="U16" s="706">
        <f>H16</f>
        <v>100</v>
      </c>
      <c r="V16" s="705" t="s">
        <v>14</v>
      </c>
      <c r="W16" s="706">
        <f>J16</f>
        <v>100</v>
      </c>
      <c r="X16" s="1355"/>
      <c r="Y16" s="371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10"/>
      <c r="Q17" s="1352"/>
      <c r="R17" s="705"/>
      <c r="S17" s="706"/>
      <c r="T17" s="705"/>
      <c r="U17" s="706"/>
      <c r="V17" s="705"/>
      <c r="W17" s="706"/>
      <c r="X17" s="1355"/>
      <c r="Y17" s="3710"/>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0"/>
      <c r="Q18" s="1352" t="str">
        <f>B18</f>
        <v>基础设施水平</v>
      </c>
      <c r="R18" s="705" t="s">
        <v>14</v>
      </c>
      <c r="S18" s="706">
        <f>F18</f>
        <v>100</v>
      </c>
      <c r="T18" s="705" t="s">
        <v>14</v>
      </c>
      <c r="U18" s="706">
        <f>H18</f>
        <v>100</v>
      </c>
      <c r="V18" s="705" t="s">
        <v>14</v>
      </c>
      <c r="W18" s="706">
        <f>J18</f>
        <v>100</v>
      </c>
      <c r="X18" s="1355"/>
      <c r="Y18" s="371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10"/>
      <c r="Q19" s="1352"/>
      <c r="R19" s="705"/>
      <c r="S19" s="706"/>
      <c r="T19" s="705"/>
      <c r="U19" s="706"/>
      <c r="V19" s="705"/>
      <c r="W19" s="706"/>
      <c r="X19" s="1355"/>
      <c r="Y19" s="3710"/>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0"/>
      <c r="Q20" s="1352" t="str">
        <f>B20</f>
        <v>自然及人文环境</v>
      </c>
      <c r="R20" s="705" t="s">
        <v>14</v>
      </c>
      <c r="S20" s="706">
        <f>F20</f>
        <v>100</v>
      </c>
      <c r="T20" s="705" t="s">
        <v>14</v>
      </c>
      <c r="U20" s="706">
        <f>H20</f>
        <v>100</v>
      </c>
      <c r="V20" s="705" t="s">
        <v>14</v>
      </c>
      <c r="W20" s="706">
        <f>J20</f>
        <v>100</v>
      </c>
      <c r="X20" s="1355"/>
      <c r="Y20" s="371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10"/>
      <c r="Q21" s="1352"/>
      <c r="R21" s="705"/>
      <c r="S21" s="706"/>
      <c r="T21" s="705"/>
      <c r="U21" s="706"/>
      <c r="V21" s="705"/>
      <c r="W21" s="706"/>
      <c r="X21" s="1355"/>
      <c r="Y21" s="371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0"/>
      <c r="Q22" s="1352" t="str">
        <f>B22</f>
        <v>楼层</v>
      </c>
      <c r="R22" s="705" t="s">
        <v>14</v>
      </c>
      <c r="S22" s="706">
        <f>F22</f>
        <v>100</v>
      </c>
      <c r="T22" s="705" t="s">
        <v>14</v>
      </c>
      <c r="U22" s="706">
        <f>H22</f>
        <v>100</v>
      </c>
      <c r="V22" s="705" t="s">
        <v>14</v>
      </c>
      <c r="W22" s="706">
        <f>J22</f>
        <v>100</v>
      </c>
      <c r="X22" s="1355"/>
      <c r="Y22" s="371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0"/>
      <c r="Q23" s="1352">
        <f>B23</f>
        <v>111</v>
      </c>
      <c r="R23" s="705" t="s">
        <v>14</v>
      </c>
      <c r="S23" s="706">
        <f>F23</f>
        <v>100</v>
      </c>
      <c r="T23" s="705" t="s">
        <v>14</v>
      </c>
      <c r="U23" s="706">
        <f>H23</f>
        <v>100</v>
      </c>
      <c r="V23" s="705" t="s">
        <v>14</v>
      </c>
      <c r="W23" s="706">
        <f>J23</f>
        <v>100</v>
      </c>
      <c r="X23" s="1355"/>
      <c r="Y23" s="371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0"/>
      <c r="Q24" s="1352">
        <f t="shared" ref="Q24:Q36" si="11">B24</f>
        <v>111</v>
      </c>
      <c r="R24" s="705" t="s">
        <v>14</v>
      </c>
      <c r="S24" s="706">
        <f>F24</f>
        <v>100</v>
      </c>
      <c r="T24" s="705" t="s">
        <v>14</v>
      </c>
      <c r="U24" s="706">
        <f>H24</f>
        <v>100</v>
      </c>
      <c r="V24" s="705" t="s">
        <v>14</v>
      </c>
      <c r="W24" s="706">
        <f>J24</f>
        <v>100</v>
      </c>
      <c r="X24" s="1355"/>
      <c r="Y24" s="371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0"/>
      <c r="Q25" s="1343">
        <f t="shared" si="11"/>
        <v>111</v>
      </c>
      <c r="R25" s="701" t="s">
        <v>14</v>
      </c>
      <c r="S25" s="702">
        <f>F25</f>
        <v>100</v>
      </c>
      <c r="T25" s="701" t="s">
        <v>14</v>
      </c>
      <c r="U25" s="702">
        <f>H25</f>
        <v>100</v>
      </c>
      <c r="V25" s="701" t="s">
        <v>14</v>
      </c>
      <c r="W25" s="702">
        <f>J25</f>
        <v>100</v>
      </c>
      <c r="X25" s="703"/>
      <c r="Y25" s="371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4"/>
      <c r="Q27" s="707" t="str">
        <f t="shared" si="11"/>
        <v>项目停车位配比</v>
      </c>
      <c r="R27" s="708" t="s">
        <v>14</v>
      </c>
      <c r="S27" s="709">
        <f t="shared" si="12"/>
        <v>100</v>
      </c>
      <c r="T27" s="708" t="s">
        <v>14</v>
      </c>
      <c r="U27" s="709">
        <f t="shared" si="13"/>
        <v>100</v>
      </c>
      <c r="V27" s="708" t="s">
        <v>14</v>
      </c>
      <c r="W27" s="709">
        <f t="shared" si="14"/>
        <v>100</v>
      </c>
      <c r="X27" s="710"/>
      <c r="Y27" s="371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4"/>
      <c r="Q28" s="1352" t="str">
        <f t="shared" si="11"/>
        <v>公共部分装修</v>
      </c>
      <c r="R28" s="705" t="s">
        <v>14</v>
      </c>
      <c r="S28" s="706">
        <f t="shared" si="12"/>
        <v>100</v>
      </c>
      <c r="T28" s="705" t="s">
        <v>14</v>
      </c>
      <c r="U28" s="706">
        <f t="shared" si="13"/>
        <v>100</v>
      </c>
      <c r="V28" s="705" t="s">
        <v>14</v>
      </c>
      <c r="W28" s="706">
        <f t="shared" si="14"/>
        <v>100</v>
      </c>
      <c r="X28" s="1355"/>
      <c r="Y28" s="371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4"/>
      <c r="Q29" s="1352" t="str">
        <f t="shared" si="11"/>
        <v>成新率</v>
      </c>
      <c r="R29" s="705" t="s">
        <v>14</v>
      </c>
      <c r="S29" s="706" t="e">
        <f t="shared" si="12"/>
        <v>#N/A</v>
      </c>
      <c r="T29" s="705" t="s">
        <v>14</v>
      </c>
      <c r="U29" s="706" t="e">
        <f t="shared" si="13"/>
        <v>#N/A</v>
      </c>
      <c r="V29" s="705" t="s">
        <v>14</v>
      </c>
      <c r="W29" s="706" t="e">
        <f t="shared" si="14"/>
        <v>#N/A</v>
      </c>
      <c r="X29" s="1355"/>
      <c r="Y29" s="371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4"/>
      <c r="Q30" s="1352" t="str">
        <f t="shared" si="11"/>
        <v>物业等级</v>
      </c>
      <c r="R30" s="705" t="s">
        <v>14</v>
      </c>
      <c r="S30" s="706">
        <f t="shared" si="12"/>
        <v>100</v>
      </c>
      <c r="T30" s="705" t="s">
        <v>14</v>
      </c>
      <c r="U30" s="706">
        <f t="shared" si="13"/>
        <v>100</v>
      </c>
      <c r="V30" s="705" t="s">
        <v>14</v>
      </c>
      <c r="W30" s="706">
        <f t="shared" si="14"/>
        <v>100</v>
      </c>
      <c r="X30" s="1355"/>
      <c r="Y30" s="371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4"/>
      <c r="Q31" s="1343" t="str">
        <f t="shared" si="11"/>
        <v>停车位面积</v>
      </c>
      <c r="R31" s="701" t="s">
        <v>14</v>
      </c>
      <c r="S31" s="702" t="e">
        <f t="shared" si="12"/>
        <v>#N/A</v>
      </c>
      <c r="T31" s="701" t="s">
        <v>14</v>
      </c>
      <c r="U31" s="702" t="e">
        <f t="shared" si="13"/>
        <v>#N/A</v>
      </c>
      <c r="V31" s="701" t="s">
        <v>14</v>
      </c>
      <c r="W31" s="702" t="e">
        <f t="shared" si="14"/>
        <v>#N/A</v>
      </c>
      <c r="X31" s="703"/>
      <c r="Y31" s="371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4" t="s">
        <v>1696</v>
      </c>
      <c r="Q32" s="1352" t="str">
        <f t="shared" si="11"/>
        <v>车位类型</v>
      </c>
      <c r="R32" s="705" t="s">
        <v>14</v>
      </c>
      <c r="S32" s="706">
        <f t="shared" si="12"/>
        <v>100</v>
      </c>
      <c r="T32" s="705" t="s">
        <v>14</v>
      </c>
      <c r="U32" s="706">
        <f t="shared" si="13"/>
        <v>100</v>
      </c>
      <c r="V32" s="705" t="s">
        <v>14</v>
      </c>
      <c r="W32" s="706">
        <f t="shared" si="14"/>
        <v>100</v>
      </c>
      <c r="X32" s="1355"/>
      <c r="Y32" s="371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4"/>
      <c r="Q33" s="1352" t="str">
        <f t="shared" si="11"/>
        <v>是否直接入户</v>
      </c>
      <c r="R33" s="705" t="s">
        <v>14</v>
      </c>
      <c r="S33" s="706">
        <f t="shared" si="12"/>
        <v>100</v>
      </c>
      <c r="T33" s="705" t="s">
        <v>14</v>
      </c>
      <c r="U33" s="706">
        <f t="shared" si="13"/>
        <v>100</v>
      </c>
      <c r="V33" s="705" t="s">
        <v>14</v>
      </c>
      <c r="W33" s="706">
        <f t="shared" si="14"/>
        <v>100</v>
      </c>
      <c r="X33" s="1355"/>
      <c r="Y33" s="371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4"/>
      <c r="Q34" s="1352">
        <f t="shared" si="11"/>
        <v>111</v>
      </c>
      <c r="R34" s="705" t="s">
        <v>14</v>
      </c>
      <c r="S34" s="706">
        <f t="shared" si="12"/>
        <v>100</v>
      </c>
      <c r="T34" s="705" t="s">
        <v>14</v>
      </c>
      <c r="U34" s="706">
        <f t="shared" si="13"/>
        <v>100</v>
      </c>
      <c r="V34" s="705" t="s">
        <v>14</v>
      </c>
      <c r="W34" s="706">
        <f t="shared" si="14"/>
        <v>100</v>
      </c>
      <c r="X34" s="1355"/>
      <c r="Y34" s="371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4"/>
      <c r="Q35" s="707">
        <f t="shared" si="11"/>
        <v>111</v>
      </c>
      <c r="R35" s="708" t="s">
        <v>14</v>
      </c>
      <c r="S35" s="709">
        <f t="shared" si="12"/>
        <v>100</v>
      </c>
      <c r="T35" s="708" t="s">
        <v>14</v>
      </c>
      <c r="U35" s="709">
        <f t="shared" si="13"/>
        <v>100</v>
      </c>
      <c r="V35" s="708" t="s">
        <v>14</v>
      </c>
      <c r="W35" s="709">
        <f t="shared" si="14"/>
        <v>100</v>
      </c>
      <c r="X35" s="710"/>
      <c r="Y35" s="371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4"/>
      <c r="Q36" s="1352">
        <f t="shared" si="11"/>
        <v>111</v>
      </c>
      <c r="R36" s="705" t="s">
        <v>14</v>
      </c>
      <c r="S36" s="706">
        <f t="shared" si="12"/>
        <v>100</v>
      </c>
      <c r="T36" s="705" t="s">
        <v>14</v>
      </c>
      <c r="U36" s="706">
        <f t="shared" si="13"/>
        <v>100</v>
      </c>
      <c r="V36" s="705" t="s">
        <v>14</v>
      </c>
      <c r="W36" s="706">
        <f t="shared" si="14"/>
        <v>100</v>
      </c>
      <c r="X36" s="1355"/>
      <c r="Y36" s="3714"/>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2"/>
      <c r="M37" s="2723"/>
      <c r="N37" s="2714"/>
      <c r="O37" s="2723"/>
      <c r="P37" s="3716" t="str">
        <f>A37</f>
        <v>成交单价</v>
      </c>
      <c r="Q37" s="3716"/>
      <c r="R37" s="3717">
        <f>E37</f>
        <v>0</v>
      </c>
      <c r="S37" s="3717"/>
      <c r="T37" s="3717">
        <f>G37</f>
        <v>0</v>
      </c>
      <c r="U37" s="3717"/>
      <c r="V37" s="3717">
        <f>I37</f>
        <v>0</v>
      </c>
      <c r="W37" s="371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16" t="str">
        <f>A38</f>
        <v>比较价值（元/平方米）</v>
      </c>
      <c r="Q38" s="3716"/>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49" t="str">
        <f>A39</f>
        <v>估价对象XX用房的比较价值（楼面单价，元/平方米）</v>
      </c>
      <c r="Q39" s="3750"/>
      <c r="R39" s="3753" t="e">
        <f>IF(F1="售价",ROUND(IF(D38="简单平均",AVERAGE(R38:W38),R38*F38+T38*H38+V38*J38),0),ROUND(IF(D38="简单平均",AVERAGE(R38:V38),R38*F38+T38*H38+V38*J38),1))</f>
        <v>#DIV/0!</v>
      </c>
      <c r="S39" s="3753"/>
      <c r="T39" s="3753"/>
      <c r="U39" s="3753"/>
      <c r="V39" s="3753"/>
      <c r="W39" s="3753"/>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745" t="s">
        <v>1775</v>
      </c>
      <c r="Q4" s="3746"/>
      <c r="R4" s="3743" t="s">
        <v>1771</v>
      </c>
      <c r="S4" s="3744"/>
      <c r="T4" s="3743" t="s">
        <v>1772</v>
      </c>
      <c r="U4" s="3744"/>
      <c r="V4" s="3704" t="s">
        <v>1773</v>
      </c>
      <c r="W4" s="3704"/>
      <c r="X4" s="1355"/>
      <c r="Y4" s="3743" t="s">
        <v>1775</v>
      </c>
      <c r="Z4" s="3744"/>
      <c r="AA4" s="3742" t="s">
        <v>1771</v>
      </c>
      <c r="AB4" s="3670" t="s">
        <v>1772</v>
      </c>
      <c r="AC4" s="3742" t="s">
        <v>1773</v>
      </c>
    </row>
    <row r="5" spans="1:29" ht="15">
      <c r="A5" s="358"/>
      <c r="B5" s="359"/>
      <c r="C5" s="3684" t="s">
        <v>1673</v>
      </c>
      <c r="D5" s="3681"/>
      <c r="E5" s="3678" t="s">
        <v>1674</v>
      </c>
      <c r="F5" s="3679"/>
      <c r="G5" s="3684" t="s">
        <v>1675</v>
      </c>
      <c r="H5" s="3681"/>
      <c r="I5" s="3684" t="s">
        <v>1676</v>
      </c>
      <c r="J5" s="3681"/>
      <c r="K5" s="559"/>
      <c r="L5" s="2713"/>
      <c r="M5" s="2714"/>
      <c r="N5" s="2714"/>
      <c r="O5" s="2714"/>
      <c r="P5" s="3747"/>
      <c r="Q5" s="3698"/>
      <c r="R5" s="3676"/>
      <c r="S5" s="3677"/>
      <c r="T5" s="3676"/>
      <c r="U5" s="3677"/>
      <c r="V5" s="3704"/>
      <c r="W5" s="3704"/>
      <c r="X5" s="1355"/>
      <c r="Y5" s="3676"/>
      <c r="Z5" s="3677"/>
      <c r="AA5" s="3670"/>
      <c r="AB5" s="3670"/>
      <c r="AC5" s="3670"/>
    </row>
    <row r="6" spans="1:29" ht="15.75" thickBot="1">
      <c r="A6" s="360"/>
      <c r="B6" s="361"/>
      <c r="C6" s="3682" t="s">
        <v>1677</v>
      </c>
      <c r="D6" s="3683"/>
      <c r="E6" s="3685" t="s">
        <v>1677</v>
      </c>
      <c r="F6" s="3686"/>
      <c r="G6" s="3682" t="s">
        <v>1677</v>
      </c>
      <c r="H6" s="3683"/>
      <c r="I6" s="3682" t="s">
        <v>1677</v>
      </c>
      <c r="J6" s="3683"/>
      <c r="K6" s="559" t="s">
        <v>1678</v>
      </c>
      <c r="L6" s="2713"/>
      <c r="M6" s="2714"/>
      <c r="N6" s="2714"/>
      <c r="O6" s="2714"/>
      <c r="P6" s="3748"/>
      <c r="Q6" s="3700"/>
      <c r="R6" s="3676"/>
      <c r="S6" s="3677"/>
      <c r="T6" s="3701"/>
      <c r="U6" s="3702"/>
      <c r="V6" s="3704"/>
      <c r="W6" s="3704"/>
      <c r="X6" s="1355"/>
      <c r="Y6" s="3701"/>
      <c r="Z6" s="3702"/>
      <c r="AA6" s="3671"/>
      <c r="AB6" s="3671"/>
      <c r="AC6" s="3671"/>
    </row>
    <row r="7" spans="1:29" s="108" customFormat="1" ht="15.75" thickBot="1">
      <c r="A7" s="362" t="s">
        <v>1679</v>
      </c>
      <c r="B7" s="363"/>
      <c r="C7" s="364">
        <f>'数据-取费表'!B2</f>
        <v>45455</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72" t="s">
        <v>1680</v>
      </c>
      <c r="Q7" s="3706"/>
      <c r="R7" s="701" t="s">
        <v>14</v>
      </c>
      <c r="S7" s="702">
        <f t="shared" ref="S7:S14" si="0">F7</f>
        <v>0</v>
      </c>
      <c r="T7" s="701" t="s">
        <v>14</v>
      </c>
      <c r="U7" s="702">
        <f t="shared" ref="U7:U14" si="1">H7</f>
        <v>0</v>
      </c>
      <c r="V7" s="701" t="s">
        <v>14</v>
      </c>
      <c r="W7" s="702">
        <f t="shared" ref="W7:W14" si="2">J7</f>
        <v>0</v>
      </c>
      <c r="X7" s="703"/>
      <c r="Y7" s="3672" t="s">
        <v>1680</v>
      </c>
      <c r="Z7" s="367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2" t="s">
        <v>1683</v>
      </c>
      <c r="Q8" s="3673"/>
      <c r="R8" s="701" t="s">
        <v>14</v>
      </c>
      <c r="S8" s="702">
        <f t="shared" si="0"/>
        <v>100</v>
      </c>
      <c r="T8" s="701" t="s">
        <v>14</v>
      </c>
      <c r="U8" s="702">
        <f t="shared" si="1"/>
        <v>100</v>
      </c>
      <c r="V8" s="701" t="s">
        <v>14</v>
      </c>
      <c r="W8" s="702">
        <f t="shared" si="2"/>
        <v>100</v>
      </c>
      <c r="X8" s="703"/>
      <c r="Y8" s="3672" t="s">
        <v>1683</v>
      </c>
      <c r="Z8" s="367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6" t="s">
        <v>1686</v>
      </c>
      <c r="Q9" s="1343" t="str">
        <f t="shared" ref="Q9:Q14" si="6">B9</f>
        <v>用途</v>
      </c>
      <c r="R9" s="701" t="s">
        <v>14</v>
      </c>
      <c r="S9" s="702">
        <f t="shared" si="0"/>
        <v>100</v>
      </c>
      <c r="T9" s="701" t="s">
        <v>14</v>
      </c>
      <c r="U9" s="702">
        <f t="shared" si="1"/>
        <v>100</v>
      </c>
      <c r="V9" s="701" t="s">
        <v>14</v>
      </c>
      <c r="W9" s="702">
        <f t="shared" si="2"/>
        <v>100</v>
      </c>
      <c r="X9" s="703"/>
      <c r="Y9" s="3637"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16"/>
      <c r="Q10" s="1343" t="str">
        <f t="shared" si="6"/>
        <v>土地使用年限（年）</v>
      </c>
      <c r="R10" s="701" t="s">
        <v>14</v>
      </c>
      <c r="S10" s="702">
        <f t="shared" si="0"/>
        <v>100</v>
      </c>
      <c r="T10" s="701" t="s">
        <v>14</v>
      </c>
      <c r="U10" s="702">
        <f t="shared" si="1"/>
        <v>100</v>
      </c>
      <c r="V10" s="701" t="s">
        <v>14</v>
      </c>
      <c r="W10" s="702">
        <f t="shared" si="2"/>
        <v>100</v>
      </c>
      <c r="X10" s="703"/>
      <c r="Y10" s="363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6"/>
      <c r="Q11" s="1343">
        <f t="shared" si="6"/>
        <v>111</v>
      </c>
      <c r="R11" s="701" t="s">
        <v>14</v>
      </c>
      <c r="S11" s="702">
        <f t="shared" si="0"/>
        <v>100</v>
      </c>
      <c r="T11" s="701" t="s">
        <v>14</v>
      </c>
      <c r="U11" s="702">
        <f t="shared" si="1"/>
        <v>100</v>
      </c>
      <c r="V11" s="701" t="s">
        <v>14</v>
      </c>
      <c r="W11" s="702">
        <f t="shared" si="2"/>
        <v>100</v>
      </c>
      <c r="X11" s="703"/>
      <c r="Y11" s="363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6"/>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16"/>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9" t="s">
        <v>1691</v>
      </c>
      <c r="Q14" s="1352" t="str">
        <f t="shared" si="6"/>
        <v>交通便捷度</v>
      </c>
      <c r="R14" s="705" t="s">
        <v>14</v>
      </c>
      <c r="S14" s="706">
        <f t="shared" si="0"/>
        <v>100</v>
      </c>
      <c r="T14" s="705" t="s">
        <v>14</v>
      </c>
      <c r="U14" s="706">
        <f t="shared" si="1"/>
        <v>100</v>
      </c>
      <c r="V14" s="705" t="s">
        <v>14</v>
      </c>
      <c r="W14" s="706">
        <f t="shared" si="2"/>
        <v>100</v>
      </c>
      <c r="X14" s="1355"/>
      <c r="Y14" s="370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10"/>
      <c r="Q15" s="1352"/>
      <c r="R15" s="705"/>
      <c r="S15" s="706"/>
      <c r="T15" s="705"/>
      <c r="U15" s="706"/>
      <c r="V15" s="705"/>
      <c r="W15" s="706"/>
      <c r="X15" s="1355"/>
      <c r="Y15" s="3710"/>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0"/>
      <c r="Q16" s="1352" t="str">
        <f>B16</f>
        <v>公共配套设施</v>
      </c>
      <c r="R16" s="705" t="s">
        <v>14</v>
      </c>
      <c r="S16" s="706">
        <f>F16</f>
        <v>100</v>
      </c>
      <c r="T16" s="705" t="s">
        <v>14</v>
      </c>
      <c r="U16" s="706">
        <f>H16</f>
        <v>100</v>
      </c>
      <c r="V16" s="705" t="s">
        <v>14</v>
      </c>
      <c r="W16" s="706">
        <f>J16</f>
        <v>100</v>
      </c>
      <c r="X16" s="1355"/>
      <c r="Y16" s="371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10"/>
      <c r="Q17" s="1352"/>
      <c r="R17" s="705"/>
      <c r="S17" s="706"/>
      <c r="T17" s="705"/>
      <c r="U17" s="706"/>
      <c r="V17" s="705"/>
      <c r="W17" s="706"/>
      <c r="X17" s="1355"/>
      <c r="Y17" s="3710"/>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0"/>
      <c r="Q18" s="1352" t="str">
        <f>B18</f>
        <v>基础设施水平</v>
      </c>
      <c r="R18" s="705" t="s">
        <v>14</v>
      </c>
      <c r="S18" s="706">
        <f>F18</f>
        <v>100</v>
      </c>
      <c r="T18" s="705" t="s">
        <v>14</v>
      </c>
      <c r="U18" s="706">
        <f>H18</f>
        <v>100</v>
      </c>
      <c r="V18" s="705" t="s">
        <v>14</v>
      </c>
      <c r="W18" s="706">
        <f>J18</f>
        <v>100</v>
      </c>
      <c r="X18" s="1355"/>
      <c r="Y18" s="371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10"/>
      <c r="Q19" s="1352"/>
      <c r="R19" s="705"/>
      <c r="S19" s="706"/>
      <c r="T19" s="705"/>
      <c r="U19" s="706"/>
      <c r="V19" s="705"/>
      <c r="W19" s="706"/>
      <c r="X19" s="1355"/>
      <c r="Y19" s="3710"/>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0"/>
      <c r="Q20" s="1352" t="str">
        <f>B20</f>
        <v>自然及人文环境</v>
      </c>
      <c r="R20" s="705" t="s">
        <v>14</v>
      </c>
      <c r="S20" s="706">
        <f>F20</f>
        <v>100</v>
      </c>
      <c r="T20" s="705" t="s">
        <v>14</v>
      </c>
      <c r="U20" s="706">
        <f>H20</f>
        <v>100</v>
      </c>
      <c r="V20" s="705" t="s">
        <v>14</v>
      </c>
      <c r="W20" s="706">
        <f>J20</f>
        <v>100</v>
      </c>
      <c r="X20" s="1355"/>
      <c r="Y20" s="371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10"/>
      <c r="Q21" s="1352"/>
      <c r="R21" s="705"/>
      <c r="S21" s="706"/>
      <c r="T21" s="705"/>
      <c r="U21" s="706"/>
      <c r="V21" s="705"/>
      <c r="W21" s="706"/>
      <c r="X21" s="1355"/>
      <c r="Y21" s="371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0"/>
      <c r="Q22" s="1352" t="str">
        <f>B22</f>
        <v>楼层</v>
      </c>
      <c r="R22" s="705" t="s">
        <v>14</v>
      </c>
      <c r="S22" s="706">
        <f>F22</f>
        <v>100</v>
      </c>
      <c r="T22" s="705" t="s">
        <v>14</v>
      </c>
      <c r="U22" s="706">
        <f>H22</f>
        <v>100</v>
      </c>
      <c r="V22" s="705" t="s">
        <v>14</v>
      </c>
      <c r="W22" s="706">
        <f>J22</f>
        <v>100</v>
      </c>
      <c r="X22" s="1355"/>
      <c r="Y22" s="371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0"/>
      <c r="Q23" s="1352">
        <f>B23</f>
        <v>111</v>
      </c>
      <c r="R23" s="705" t="s">
        <v>14</v>
      </c>
      <c r="S23" s="706">
        <f>F23</f>
        <v>100</v>
      </c>
      <c r="T23" s="705" t="s">
        <v>14</v>
      </c>
      <c r="U23" s="706">
        <f>H23</f>
        <v>100</v>
      </c>
      <c r="V23" s="705" t="s">
        <v>14</v>
      </c>
      <c r="W23" s="706">
        <f>J23</f>
        <v>100</v>
      </c>
      <c r="X23" s="1355"/>
      <c r="Y23" s="371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0"/>
      <c r="Q24" s="1352">
        <f t="shared" ref="Q24:Q34" si="11">B24</f>
        <v>111</v>
      </c>
      <c r="R24" s="705" t="s">
        <v>14</v>
      </c>
      <c r="S24" s="706">
        <f>F24</f>
        <v>100</v>
      </c>
      <c r="T24" s="705" t="s">
        <v>14</v>
      </c>
      <c r="U24" s="706">
        <f>H24</f>
        <v>100</v>
      </c>
      <c r="V24" s="705" t="s">
        <v>14</v>
      </c>
      <c r="W24" s="706">
        <f>J24</f>
        <v>100</v>
      </c>
      <c r="X24" s="1355"/>
      <c r="Y24" s="371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10"/>
      <c r="Q25" s="1343">
        <f t="shared" si="11"/>
        <v>111</v>
      </c>
      <c r="R25" s="701" t="s">
        <v>14</v>
      </c>
      <c r="S25" s="702">
        <f>F25</f>
        <v>100</v>
      </c>
      <c r="T25" s="701" t="s">
        <v>14</v>
      </c>
      <c r="U25" s="702">
        <f>H25</f>
        <v>100</v>
      </c>
      <c r="V25" s="701" t="s">
        <v>14</v>
      </c>
      <c r="W25" s="702">
        <f>J25</f>
        <v>100</v>
      </c>
      <c r="X25" s="703"/>
      <c r="Y25" s="371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5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4"/>
      <c r="Q27" s="707" t="str">
        <f t="shared" si="11"/>
        <v>成新率</v>
      </c>
      <c r="R27" s="708" t="s">
        <v>14</v>
      </c>
      <c r="S27" s="709" t="e">
        <f t="shared" si="12"/>
        <v>#N/A</v>
      </c>
      <c r="T27" s="708" t="s">
        <v>14</v>
      </c>
      <c r="U27" s="709" t="e">
        <f t="shared" si="13"/>
        <v>#N/A</v>
      </c>
      <c r="V27" s="708" t="s">
        <v>14</v>
      </c>
      <c r="W27" s="709" t="e">
        <f t="shared" si="14"/>
        <v>#N/A</v>
      </c>
      <c r="X27" s="710"/>
      <c r="Y27" s="371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4"/>
      <c r="Q28" s="1352" t="str">
        <f t="shared" si="11"/>
        <v>物业等级</v>
      </c>
      <c r="R28" s="705" t="s">
        <v>14</v>
      </c>
      <c r="S28" s="706">
        <f t="shared" si="12"/>
        <v>100</v>
      </c>
      <c r="T28" s="705" t="s">
        <v>14</v>
      </c>
      <c r="U28" s="706">
        <f t="shared" si="13"/>
        <v>100</v>
      </c>
      <c r="V28" s="705" t="s">
        <v>14</v>
      </c>
      <c r="W28" s="706">
        <f t="shared" si="14"/>
        <v>100</v>
      </c>
      <c r="X28" s="1355"/>
      <c r="Y28" s="371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4"/>
      <c r="Q29" s="1352" t="str">
        <f t="shared" si="11"/>
        <v>有无电梯</v>
      </c>
      <c r="R29" s="705" t="s">
        <v>14</v>
      </c>
      <c r="S29" s="706">
        <f t="shared" si="12"/>
        <v>100</v>
      </c>
      <c r="T29" s="705" t="s">
        <v>14</v>
      </c>
      <c r="U29" s="706">
        <f t="shared" si="13"/>
        <v>100</v>
      </c>
      <c r="V29" s="705" t="s">
        <v>14</v>
      </c>
      <c r="W29" s="706">
        <f t="shared" si="14"/>
        <v>100</v>
      </c>
      <c r="X29" s="1355"/>
      <c r="Y29" s="371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4"/>
      <c r="Q30" s="1352" t="str">
        <f t="shared" si="11"/>
        <v>建筑面积</v>
      </c>
      <c r="R30" s="705" t="s">
        <v>14</v>
      </c>
      <c r="S30" s="706" t="e">
        <f t="shared" si="12"/>
        <v>#N/A</v>
      </c>
      <c r="T30" s="705" t="s">
        <v>14</v>
      </c>
      <c r="U30" s="706" t="e">
        <f t="shared" si="13"/>
        <v>#N/A</v>
      </c>
      <c r="V30" s="705" t="s">
        <v>14</v>
      </c>
      <c r="W30" s="706" t="e">
        <f t="shared" si="14"/>
        <v>#N/A</v>
      </c>
      <c r="X30" s="1355"/>
      <c r="Y30" s="371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4"/>
      <c r="Q31" s="1343" t="str">
        <f t="shared" si="11"/>
        <v>是否封闭</v>
      </c>
      <c r="R31" s="701" t="s">
        <v>14</v>
      </c>
      <c r="S31" s="702">
        <f t="shared" si="12"/>
        <v>100</v>
      </c>
      <c r="T31" s="701" t="s">
        <v>14</v>
      </c>
      <c r="U31" s="702">
        <f t="shared" si="13"/>
        <v>100</v>
      </c>
      <c r="V31" s="701" t="s">
        <v>14</v>
      </c>
      <c r="W31" s="702">
        <f t="shared" si="14"/>
        <v>100</v>
      </c>
      <c r="X31" s="703"/>
      <c r="Y31" s="371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4" t="s">
        <v>1696</v>
      </c>
      <c r="Q32" s="1352">
        <f t="shared" si="11"/>
        <v>111</v>
      </c>
      <c r="R32" s="705" t="s">
        <v>14</v>
      </c>
      <c r="S32" s="706">
        <f t="shared" si="12"/>
        <v>100</v>
      </c>
      <c r="T32" s="705" t="s">
        <v>14</v>
      </c>
      <c r="U32" s="706">
        <f t="shared" si="13"/>
        <v>100</v>
      </c>
      <c r="V32" s="705" t="s">
        <v>14</v>
      </c>
      <c r="W32" s="706">
        <f t="shared" si="14"/>
        <v>100</v>
      </c>
      <c r="X32" s="1355"/>
      <c r="Y32" s="371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4"/>
      <c r="Q33" s="1352">
        <f t="shared" si="11"/>
        <v>111</v>
      </c>
      <c r="R33" s="705" t="s">
        <v>14</v>
      </c>
      <c r="S33" s="706">
        <f t="shared" si="12"/>
        <v>100</v>
      </c>
      <c r="T33" s="705" t="s">
        <v>14</v>
      </c>
      <c r="U33" s="706">
        <f t="shared" si="13"/>
        <v>100</v>
      </c>
      <c r="V33" s="705" t="s">
        <v>14</v>
      </c>
      <c r="W33" s="706">
        <f t="shared" si="14"/>
        <v>100</v>
      </c>
      <c r="X33" s="1355"/>
      <c r="Y33" s="371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14"/>
      <c r="Q34" s="1352">
        <f t="shared" si="11"/>
        <v>111</v>
      </c>
      <c r="R34" s="705" t="s">
        <v>14</v>
      </c>
      <c r="S34" s="706">
        <f t="shared" si="12"/>
        <v>100</v>
      </c>
      <c r="T34" s="705" t="s">
        <v>14</v>
      </c>
      <c r="U34" s="706">
        <f t="shared" si="13"/>
        <v>100</v>
      </c>
      <c r="V34" s="705" t="s">
        <v>14</v>
      </c>
      <c r="W34" s="706">
        <f t="shared" si="14"/>
        <v>100</v>
      </c>
      <c r="X34" s="1355"/>
      <c r="Y34" s="371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16" t="str">
        <f>A35</f>
        <v>成交单价（元/平方米）</v>
      </c>
      <c r="Q35" s="3716"/>
      <c r="R35" s="3717">
        <f>E35</f>
        <v>0</v>
      </c>
      <c r="S35" s="3717"/>
      <c r="T35" s="3717">
        <f>G35</f>
        <v>0</v>
      </c>
      <c r="U35" s="3717"/>
      <c r="V35" s="3717">
        <f>I35</f>
        <v>0</v>
      </c>
      <c r="W35" s="371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16" t="str">
        <f>A36</f>
        <v>比较价值（元/平方米）</v>
      </c>
      <c r="Q36" s="3716"/>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49" t="str">
        <f>A37</f>
        <v>估价对象XX用房的比较价值（楼面单价，元/平方米）</v>
      </c>
      <c r="Q37" s="3750"/>
      <c r="R37" s="3753" t="e">
        <f>IF(F1="售价",ROUND(IF(D36="简单平均",AVERAGE(R36:W36),R36*F36+T36*H36+V36*J36),0),ROUND(IF(D36="简单平均",AVERAGE(R36:V36),R36*F36+T36*H36+V36*J36),1))</f>
        <v>#DIV/0!</v>
      </c>
      <c r="S37" s="3753"/>
      <c r="T37" s="3753"/>
      <c r="U37" s="3753"/>
      <c r="V37" s="3753"/>
      <c r="W37" s="3753"/>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1" t="s">
        <v>1770</v>
      </c>
      <c r="D4" s="3692"/>
      <c r="E4" s="3693" t="s">
        <v>1771</v>
      </c>
      <c r="F4" s="3694"/>
      <c r="G4" s="3691" t="s">
        <v>1772</v>
      </c>
      <c r="H4" s="3692"/>
      <c r="I4" s="3691" t="s">
        <v>1773</v>
      </c>
      <c r="J4" s="3692"/>
      <c r="K4" s="559" t="s">
        <v>1774</v>
      </c>
      <c r="L4" s="2713"/>
      <c r="M4" s="2714"/>
      <c r="N4" s="2714"/>
      <c r="O4" s="2714"/>
      <c r="P4" s="3745" t="s">
        <v>1775</v>
      </c>
      <c r="Q4" s="3746"/>
      <c r="R4" s="3743" t="s">
        <v>1771</v>
      </c>
      <c r="S4" s="3744"/>
      <c r="T4" s="3743" t="s">
        <v>1772</v>
      </c>
      <c r="U4" s="3744"/>
      <c r="V4" s="3704" t="s">
        <v>1773</v>
      </c>
      <c r="W4" s="3704"/>
      <c r="X4" s="1355"/>
      <c r="Y4" s="3743" t="s">
        <v>1775</v>
      </c>
      <c r="Z4" s="3744"/>
      <c r="AA4" s="3742" t="s">
        <v>1771</v>
      </c>
      <c r="AB4" s="3670" t="s">
        <v>1772</v>
      </c>
      <c r="AC4" s="3742" t="s">
        <v>1773</v>
      </c>
    </row>
    <row r="5" spans="1:30" ht="15">
      <c r="A5" s="358"/>
      <c r="B5" s="359"/>
      <c r="C5" s="3684" t="s">
        <v>1673</v>
      </c>
      <c r="D5" s="3681"/>
      <c r="E5" s="3678" t="s">
        <v>1674</v>
      </c>
      <c r="F5" s="3679"/>
      <c r="G5" s="3684" t="s">
        <v>1675</v>
      </c>
      <c r="H5" s="3681"/>
      <c r="I5" s="3684" t="s">
        <v>1676</v>
      </c>
      <c r="J5" s="3681"/>
      <c r="K5" s="559"/>
      <c r="L5" s="2713"/>
      <c r="M5" s="2714"/>
      <c r="N5" s="2714"/>
      <c r="O5" s="2714"/>
      <c r="P5" s="3747"/>
      <c r="Q5" s="3698"/>
      <c r="R5" s="3676"/>
      <c r="S5" s="3677"/>
      <c r="T5" s="3676"/>
      <c r="U5" s="3677"/>
      <c r="V5" s="3704"/>
      <c r="W5" s="3704"/>
      <c r="X5" s="1355"/>
      <c r="Y5" s="3676"/>
      <c r="Z5" s="3677"/>
      <c r="AA5" s="3670"/>
      <c r="AB5" s="3670"/>
      <c r="AC5" s="3670"/>
    </row>
    <row r="6" spans="1:30" ht="15.75" thickBot="1">
      <c r="A6" s="360"/>
      <c r="B6" s="361"/>
      <c r="C6" s="3682" t="s">
        <v>1677</v>
      </c>
      <c r="D6" s="3683"/>
      <c r="E6" s="3685" t="s">
        <v>1677</v>
      </c>
      <c r="F6" s="3686"/>
      <c r="G6" s="3682" t="s">
        <v>1677</v>
      </c>
      <c r="H6" s="3683"/>
      <c r="I6" s="3682" t="s">
        <v>1677</v>
      </c>
      <c r="J6" s="3683"/>
      <c r="K6" s="559" t="s">
        <v>1678</v>
      </c>
      <c r="L6" s="2713"/>
      <c r="M6" s="2714"/>
      <c r="N6" s="2714"/>
      <c r="O6" s="2714"/>
      <c r="P6" s="3748"/>
      <c r="Q6" s="3700"/>
      <c r="R6" s="3676"/>
      <c r="S6" s="3677"/>
      <c r="T6" s="3701"/>
      <c r="U6" s="3702"/>
      <c r="V6" s="3704"/>
      <c r="W6" s="3704"/>
      <c r="X6" s="1355"/>
      <c r="Y6" s="3701"/>
      <c r="Z6" s="3702"/>
      <c r="AA6" s="3671"/>
      <c r="AB6" s="3671"/>
      <c r="AC6" s="3671"/>
    </row>
    <row r="7" spans="1:30" s="108" customFormat="1" ht="15.75" thickBot="1">
      <c r="A7" s="362" t="s">
        <v>1679</v>
      </c>
      <c r="B7" s="363"/>
      <c r="C7" s="364">
        <f>'数据-取费表'!B2</f>
        <v>45455</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72" t="s">
        <v>1680</v>
      </c>
      <c r="Q7" s="3706"/>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2" t="s">
        <v>1683</v>
      </c>
      <c r="Q8" s="3673"/>
      <c r="R8" s="701" t="s">
        <v>14</v>
      </c>
      <c r="S8" s="702">
        <f t="shared" si="0"/>
        <v>0</v>
      </c>
      <c r="T8" s="701" t="s">
        <v>14</v>
      </c>
      <c r="U8" s="702">
        <f t="shared" si="1"/>
        <v>0</v>
      </c>
      <c r="V8" s="701" t="s">
        <v>14</v>
      </c>
      <c r="W8" s="702">
        <f t="shared" si="2"/>
        <v>0</v>
      </c>
      <c r="X8" s="703"/>
      <c r="Y8" s="3672" t="s">
        <v>1683</v>
      </c>
      <c r="Z8" s="367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16"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7"/>
      <c r="M10" s="2718"/>
      <c r="N10" s="2718"/>
      <c r="O10" s="2771"/>
      <c r="P10" s="3716"/>
      <c r="Q10" s="1343" t="str">
        <f t="shared" si="6"/>
        <v>土地使用年限（年）</v>
      </c>
      <c r="R10" s="701" t="s">
        <v>14</v>
      </c>
      <c r="S10" s="702">
        <f t="shared" si="0"/>
        <v>123</v>
      </c>
      <c r="T10" s="701" t="s">
        <v>14</v>
      </c>
      <c r="U10" s="702">
        <f t="shared" si="1"/>
        <v>123</v>
      </c>
      <c r="V10" s="701" t="s">
        <v>14</v>
      </c>
      <c r="W10" s="702">
        <f t="shared" si="2"/>
        <v>123</v>
      </c>
      <c r="X10" s="703"/>
      <c r="Y10" s="3637"/>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6"/>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6"/>
      <c r="Q12" s="1343" t="str">
        <f t="shared" si="6"/>
        <v>配建</v>
      </c>
      <c r="R12" s="701" t="s">
        <v>14</v>
      </c>
      <c r="S12" s="702">
        <f t="shared" si="0"/>
        <v>100</v>
      </c>
      <c r="T12" s="701" t="s">
        <v>14</v>
      </c>
      <c r="U12" s="702">
        <f t="shared" si="1"/>
        <v>100</v>
      </c>
      <c r="V12" s="701" t="s">
        <v>14</v>
      </c>
      <c r="W12" s="702">
        <f t="shared" si="2"/>
        <v>100</v>
      </c>
      <c r="X12" s="703"/>
      <c r="Y12" s="363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6"/>
      <c r="Q13" s="1343">
        <f t="shared" si="6"/>
        <v>111</v>
      </c>
      <c r="R13" s="701" t="s">
        <v>14</v>
      </c>
      <c r="S13" s="702">
        <f t="shared" si="0"/>
        <v>100</v>
      </c>
      <c r="T13" s="701" t="s">
        <v>14</v>
      </c>
      <c r="U13" s="702">
        <f t="shared" si="1"/>
        <v>100</v>
      </c>
      <c r="V13" s="701" t="s">
        <v>14</v>
      </c>
      <c r="W13" s="702">
        <f t="shared" si="2"/>
        <v>100</v>
      </c>
      <c r="X13" s="703"/>
      <c r="Y13" s="363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6"/>
      <c r="Q14" s="1343">
        <f t="shared" si="6"/>
        <v>111</v>
      </c>
      <c r="R14" s="701" t="s">
        <v>14</v>
      </c>
      <c r="S14" s="702">
        <f t="shared" si="0"/>
        <v>100</v>
      </c>
      <c r="T14" s="701" t="s">
        <v>14</v>
      </c>
      <c r="U14" s="702">
        <f t="shared" si="1"/>
        <v>100</v>
      </c>
      <c r="V14" s="701" t="s">
        <v>14</v>
      </c>
      <c r="W14" s="702">
        <f t="shared" si="2"/>
        <v>100</v>
      </c>
      <c r="X14" s="703"/>
      <c r="Y14" s="3637"/>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9" t="s">
        <v>1691</v>
      </c>
      <c r="Q15" s="1352" t="str">
        <f t="shared" si="6"/>
        <v>居住社区成熟度</v>
      </c>
      <c r="R15" s="705" t="s">
        <v>14</v>
      </c>
      <c r="S15" s="706">
        <f t="shared" si="0"/>
        <v>100</v>
      </c>
      <c r="T15" s="705" t="s">
        <v>14</v>
      </c>
      <c r="U15" s="706">
        <f t="shared" si="1"/>
        <v>100</v>
      </c>
      <c r="V15" s="705" t="s">
        <v>14</v>
      </c>
      <c r="W15" s="706">
        <f t="shared" si="2"/>
        <v>100</v>
      </c>
      <c r="X15" s="1355"/>
      <c r="Y15" s="370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10"/>
      <c r="Q16" s="1352"/>
      <c r="R16" s="705"/>
      <c r="S16" s="706"/>
      <c r="T16" s="705"/>
      <c r="U16" s="706"/>
      <c r="V16" s="705"/>
      <c r="W16" s="706"/>
      <c r="X16" s="1355"/>
      <c r="Y16" s="3710"/>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0"/>
      <c r="Q17" s="1352" t="str">
        <f>B17</f>
        <v>商业繁华度</v>
      </c>
      <c r="R17" s="705" t="s">
        <v>14</v>
      </c>
      <c r="S17" s="706">
        <f>F17</f>
        <v>100</v>
      </c>
      <c r="T17" s="705" t="s">
        <v>14</v>
      </c>
      <c r="U17" s="706">
        <f>H17</f>
        <v>100</v>
      </c>
      <c r="V17" s="705" t="s">
        <v>14</v>
      </c>
      <c r="W17" s="706">
        <f>J17</f>
        <v>100</v>
      </c>
      <c r="X17" s="1355"/>
      <c r="Y17" s="371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10"/>
      <c r="Q18" s="1352"/>
      <c r="R18" s="705"/>
      <c r="S18" s="706"/>
      <c r="T18" s="705"/>
      <c r="U18" s="706"/>
      <c r="V18" s="705"/>
      <c r="W18" s="706"/>
      <c r="X18" s="1355"/>
      <c r="Y18" s="3710"/>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0"/>
      <c r="Q19" s="1352" t="str">
        <f>B19</f>
        <v>办公集聚程度</v>
      </c>
      <c r="R19" s="705" t="s">
        <v>14</v>
      </c>
      <c r="S19" s="706">
        <f>F19</f>
        <v>100</v>
      </c>
      <c r="T19" s="705" t="s">
        <v>14</v>
      </c>
      <c r="U19" s="706">
        <f>H19</f>
        <v>100</v>
      </c>
      <c r="V19" s="705" t="s">
        <v>14</v>
      </c>
      <c r="W19" s="706">
        <f>J19</f>
        <v>100</v>
      </c>
      <c r="X19" s="1355"/>
      <c r="Y19" s="371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10"/>
      <c r="Q20" s="1352"/>
      <c r="R20" s="705"/>
      <c r="S20" s="706"/>
      <c r="T20" s="705"/>
      <c r="U20" s="706"/>
      <c r="V20" s="705"/>
      <c r="W20" s="706"/>
      <c r="X20" s="1355"/>
      <c r="Y20" s="3710"/>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0"/>
      <c r="Q21" s="1352" t="str">
        <f>B21</f>
        <v>交通便捷度</v>
      </c>
      <c r="R21" s="705" t="s">
        <v>14</v>
      </c>
      <c r="S21" s="706">
        <f>F21</f>
        <v>100</v>
      </c>
      <c r="T21" s="705" t="s">
        <v>14</v>
      </c>
      <c r="U21" s="706">
        <f>H21</f>
        <v>100</v>
      </c>
      <c r="V21" s="705" t="s">
        <v>14</v>
      </c>
      <c r="W21" s="706">
        <f>J21</f>
        <v>100</v>
      </c>
      <c r="X21" s="1355"/>
      <c r="Y21" s="371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10"/>
      <c r="Q22" s="1352"/>
      <c r="R22" s="705"/>
      <c r="S22" s="706"/>
      <c r="T22" s="705"/>
      <c r="U22" s="706"/>
      <c r="V22" s="705"/>
      <c r="W22" s="706"/>
      <c r="X22" s="1355"/>
      <c r="Y22" s="371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0"/>
      <c r="Q23" s="1352" t="str">
        <f t="shared" ref="Q23:Q37" si="8">B23</f>
        <v>区域土地利用方向</v>
      </c>
      <c r="R23" s="705" t="s">
        <v>14</v>
      </c>
      <c r="S23" s="706">
        <f>F23</f>
        <v>100</v>
      </c>
      <c r="T23" s="705" t="s">
        <v>14</v>
      </c>
      <c r="U23" s="706">
        <f>H23</f>
        <v>100</v>
      </c>
      <c r="V23" s="705" t="s">
        <v>14</v>
      </c>
      <c r="W23" s="706">
        <f>J23</f>
        <v>100</v>
      </c>
      <c r="X23" s="1355"/>
      <c r="Y23" s="371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10"/>
      <c r="Q24" s="1352"/>
      <c r="R24" s="705"/>
      <c r="S24" s="706"/>
      <c r="T24" s="705"/>
      <c r="U24" s="706"/>
      <c r="V24" s="705"/>
      <c r="W24" s="706"/>
      <c r="X24" s="1355"/>
      <c r="Y24" s="3710"/>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0"/>
      <c r="Q25" s="1352" t="str">
        <f t="shared" si="8"/>
        <v>自然及人文环境状况</v>
      </c>
      <c r="R25" s="705" t="s">
        <v>14</v>
      </c>
      <c r="S25" s="706">
        <f>F25</f>
        <v>100</v>
      </c>
      <c r="T25" s="705" t="s">
        <v>14</v>
      </c>
      <c r="U25" s="706">
        <f>H25</f>
        <v>100</v>
      </c>
      <c r="V25" s="705" t="s">
        <v>14</v>
      </c>
      <c r="W25" s="706">
        <f>J25</f>
        <v>100</v>
      </c>
      <c r="X25" s="1355"/>
      <c r="Y25" s="371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10"/>
      <c r="Q26" s="1352"/>
      <c r="R26" s="705"/>
      <c r="S26" s="706"/>
      <c r="T26" s="705"/>
      <c r="U26" s="706"/>
      <c r="V26" s="705"/>
      <c r="W26" s="706"/>
      <c r="X26" s="1355"/>
      <c r="Y26" s="3710"/>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0"/>
      <c r="Q27" s="1343" t="str">
        <f t="shared" si="8"/>
        <v>公共配套设施</v>
      </c>
      <c r="R27" s="701" t="s">
        <v>14</v>
      </c>
      <c r="S27" s="702">
        <f>F27</f>
        <v>100</v>
      </c>
      <c r="T27" s="701" t="s">
        <v>14</v>
      </c>
      <c r="U27" s="702">
        <f>H27</f>
        <v>100</v>
      </c>
      <c r="V27" s="701" t="s">
        <v>14</v>
      </c>
      <c r="W27" s="702">
        <f>J27</f>
        <v>100</v>
      </c>
      <c r="X27" s="703"/>
      <c r="Y27" s="371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10"/>
      <c r="Q28" s="1343"/>
      <c r="R28" s="701"/>
      <c r="S28" s="702"/>
      <c r="T28" s="701"/>
      <c r="U28" s="702"/>
      <c r="V28" s="701"/>
      <c r="W28" s="702"/>
      <c r="X28" s="703"/>
      <c r="Y28" s="3710"/>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0"/>
      <c r="Q29" s="1343" t="str">
        <f t="shared" ref="Q29" si="9">B29</f>
        <v>基础设施水平</v>
      </c>
      <c r="R29" s="701" t="s">
        <v>14</v>
      </c>
      <c r="S29" s="702">
        <f>F29</f>
        <v>100</v>
      </c>
      <c r="T29" s="701" t="s">
        <v>14</v>
      </c>
      <c r="U29" s="702">
        <f>H29</f>
        <v>100</v>
      </c>
      <c r="V29" s="701" t="s">
        <v>14</v>
      </c>
      <c r="W29" s="702">
        <f>J29</f>
        <v>100</v>
      </c>
      <c r="X29" s="703"/>
      <c r="Y29" s="371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10"/>
      <c r="Q30" s="1343"/>
      <c r="R30" s="701"/>
      <c r="S30" s="702"/>
      <c r="T30" s="701"/>
      <c r="U30" s="702"/>
      <c r="V30" s="701"/>
      <c r="W30" s="702"/>
      <c r="X30" s="703"/>
      <c r="Y30" s="371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0"/>
      <c r="Q32" s="1352" t="str">
        <f t="shared" si="8"/>
        <v>毗邻道路的类型与等级</v>
      </c>
      <c r="R32" s="705" t="s">
        <v>14</v>
      </c>
      <c r="S32" s="706">
        <f t="shared" si="10"/>
        <v>100</v>
      </c>
      <c r="T32" s="705" t="s">
        <v>14</v>
      </c>
      <c r="U32" s="706">
        <f t="shared" si="11"/>
        <v>100</v>
      </c>
      <c r="V32" s="705" t="s">
        <v>14</v>
      </c>
      <c r="W32" s="706">
        <f t="shared" si="12"/>
        <v>100</v>
      </c>
      <c r="X32" s="1355"/>
      <c r="Y32" s="371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10"/>
      <c r="Q33" s="1352"/>
      <c r="R33" s="705"/>
      <c r="S33" s="706"/>
      <c r="T33" s="705"/>
      <c r="U33" s="706"/>
      <c r="V33" s="705"/>
      <c r="W33" s="706"/>
      <c r="X33" s="1355"/>
      <c r="Y33" s="371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0"/>
      <c r="Q34" s="1352" t="str">
        <f t="shared" si="8"/>
        <v>土地级别</v>
      </c>
      <c r="R34" s="705" t="s">
        <v>14</v>
      </c>
      <c r="S34" s="706">
        <f t="shared" si="10"/>
        <v>100</v>
      </c>
      <c r="T34" s="705" t="s">
        <v>14</v>
      </c>
      <c r="U34" s="706">
        <f t="shared" si="11"/>
        <v>100</v>
      </c>
      <c r="V34" s="705" t="s">
        <v>14</v>
      </c>
      <c r="W34" s="706">
        <f t="shared" si="12"/>
        <v>100</v>
      </c>
      <c r="X34" s="1355"/>
      <c r="Y34" s="371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0"/>
      <c r="Q35" s="1352">
        <f t="shared" si="8"/>
        <v>111</v>
      </c>
      <c r="R35" s="705" t="s">
        <v>14</v>
      </c>
      <c r="S35" s="706">
        <f t="shared" si="10"/>
        <v>100</v>
      </c>
      <c r="T35" s="705" t="s">
        <v>14</v>
      </c>
      <c r="U35" s="706">
        <f t="shared" si="11"/>
        <v>100</v>
      </c>
      <c r="V35" s="705" t="s">
        <v>14</v>
      </c>
      <c r="W35" s="706">
        <f t="shared" si="12"/>
        <v>100</v>
      </c>
      <c r="X35" s="1355"/>
      <c r="Y35" s="371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2" t="s">
        <v>1696</v>
      </c>
      <c r="Q36" s="1352">
        <f t="shared" si="8"/>
        <v>111</v>
      </c>
      <c r="R36" s="705" t="s">
        <v>14</v>
      </c>
      <c r="S36" s="706">
        <f t="shared" si="10"/>
        <v>100</v>
      </c>
      <c r="T36" s="705" t="s">
        <v>14</v>
      </c>
      <c r="U36" s="706">
        <f t="shared" si="11"/>
        <v>100</v>
      </c>
      <c r="V36" s="705" t="s">
        <v>14</v>
      </c>
      <c r="W36" s="706">
        <f t="shared" si="12"/>
        <v>100</v>
      </c>
      <c r="X36" s="1355"/>
      <c r="Y36" s="371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4"/>
      <c r="Q37" s="1352">
        <f t="shared" si="8"/>
        <v>111</v>
      </c>
      <c r="R37" s="708" t="s">
        <v>14</v>
      </c>
      <c r="S37" s="709">
        <f t="shared" si="10"/>
        <v>100</v>
      </c>
      <c r="T37" s="708" t="s">
        <v>14</v>
      </c>
      <c r="U37" s="709">
        <f t="shared" si="11"/>
        <v>100</v>
      </c>
      <c r="V37" s="708" t="s">
        <v>14</v>
      </c>
      <c r="W37" s="709">
        <f t="shared" si="12"/>
        <v>100</v>
      </c>
      <c r="X37" s="710"/>
      <c r="Y37" s="371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4"/>
      <c r="Q38" s="1352" t="str">
        <f>B38</f>
        <v>宗地面积</v>
      </c>
      <c r="R38" s="705" t="s">
        <v>14</v>
      </c>
      <c r="S38" s="706" t="e">
        <f t="shared" si="10"/>
        <v>#N/A</v>
      </c>
      <c r="T38" s="705" t="s">
        <v>14</v>
      </c>
      <c r="U38" s="706" t="e">
        <f t="shared" si="11"/>
        <v>#N/A</v>
      </c>
      <c r="V38" s="705" t="s">
        <v>14</v>
      </c>
      <c r="W38" s="706" t="e">
        <f t="shared" si="12"/>
        <v>#N/A</v>
      </c>
      <c r="X38" s="1355"/>
      <c r="Y38" s="371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14"/>
      <c r="Q39" s="1352" t="str">
        <f t="shared" ref="Q39:Q45" si="14">B39</f>
        <v>宗地形状</v>
      </c>
      <c r="R39" s="705" t="s">
        <v>14</v>
      </c>
      <c r="S39" s="706">
        <f t="shared" si="10"/>
        <v>100</v>
      </c>
      <c r="T39" s="705" t="s">
        <v>14</v>
      </c>
      <c r="U39" s="706">
        <f t="shared" si="11"/>
        <v>100</v>
      </c>
      <c r="V39" s="705" t="s">
        <v>14</v>
      </c>
      <c r="W39" s="706">
        <f t="shared" si="12"/>
        <v>100</v>
      </c>
      <c r="X39" s="1355"/>
      <c r="Y39" s="371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14"/>
      <c r="Q40" s="1352" t="str">
        <f t="shared" si="14"/>
        <v>临街宽度及深度</v>
      </c>
      <c r="R40" s="705" t="s">
        <v>14</v>
      </c>
      <c r="S40" s="706">
        <f t="shared" si="10"/>
        <v>100</v>
      </c>
      <c r="T40" s="705" t="s">
        <v>14</v>
      </c>
      <c r="U40" s="706">
        <f t="shared" si="11"/>
        <v>100</v>
      </c>
      <c r="V40" s="705" t="s">
        <v>14</v>
      </c>
      <c r="W40" s="706">
        <f t="shared" si="12"/>
        <v>100</v>
      </c>
      <c r="X40" s="1355"/>
      <c r="Y40" s="371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14"/>
      <c r="Q41" s="1352" t="str">
        <f t="shared" si="14"/>
        <v>宗地开发程度</v>
      </c>
      <c r="R41" s="701" t="s">
        <v>14</v>
      </c>
      <c r="S41" s="702">
        <f t="shared" si="10"/>
        <v>100</v>
      </c>
      <c r="T41" s="701" t="s">
        <v>14</v>
      </c>
      <c r="U41" s="702">
        <f t="shared" si="11"/>
        <v>100</v>
      </c>
      <c r="V41" s="701" t="s">
        <v>14</v>
      </c>
      <c r="W41" s="702">
        <f t="shared" si="12"/>
        <v>100</v>
      </c>
      <c r="X41" s="703"/>
      <c r="Y41" s="371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14" t="s">
        <v>1696</v>
      </c>
      <c r="Q42" s="1352" t="str">
        <f t="shared" si="14"/>
        <v>工程地质条件</v>
      </c>
      <c r="R42" s="705" t="s">
        <v>14</v>
      </c>
      <c r="S42" s="706">
        <f t="shared" si="10"/>
        <v>100</v>
      </c>
      <c r="T42" s="705" t="s">
        <v>14</v>
      </c>
      <c r="U42" s="706">
        <f t="shared" si="11"/>
        <v>100</v>
      </c>
      <c r="V42" s="705" t="s">
        <v>14</v>
      </c>
      <c r="W42" s="706">
        <f t="shared" si="12"/>
        <v>100</v>
      </c>
      <c r="X42" s="1355"/>
      <c r="Y42" s="371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4"/>
      <c r="Q43" s="1352">
        <f t="shared" si="14"/>
        <v>111</v>
      </c>
      <c r="R43" s="705" t="s">
        <v>14</v>
      </c>
      <c r="S43" s="706">
        <f t="shared" si="10"/>
        <v>100</v>
      </c>
      <c r="T43" s="705" t="s">
        <v>14</v>
      </c>
      <c r="U43" s="706">
        <f t="shared" si="11"/>
        <v>100</v>
      </c>
      <c r="V43" s="705" t="s">
        <v>14</v>
      </c>
      <c r="W43" s="706">
        <f t="shared" si="12"/>
        <v>100</v>
      </c>
      <c r="X43" s="1355"/>
      <c r="Y43" s="371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4"/>
      <c r="Q44" s="1352">
        <f t="shared" si="14"/>
        <v>111</v>
      </c>
      <c r="R44" s="705" t="s">
        <v>14</v>
      </c>
      <c r="S44" s="706">
        <f t="shared" si="10"/>
        <v>100</v>
      </c>
      <c r="T44" s="705" t="s">
        <v>14</v>
      </c>
      <c r="U44" s="706">
        <f t="shared" si="11"/>
        <v>100</v>
      </c>
      <c r="V44" s="705" t="s">
        <v>14</v>
      </c>
      <c r="W44" s="706">
        <f t="shared" si="12"/>
        <v>100</v>
      </c>
      <c r="X44" s="1355"/>
      <c r="Y44" s="371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4"/>
      <c r="Q45" s="1352">
        <f t="shared" si="14"/>
        <v>111</v>
      </c>
      <c r="R45" s="708" t="s">
        <v>14</v>
      </c>
      <c r="S45" s="709">
        <f t="shared" si="10"/>
        <v>100</v>
      </c>
      <c r="T45" s="708" t="s">
        <v>14</v>
      </c>
      <c r="U45" s="709">
        <f t="shared" si="11"/>
        <v>100</v>
      </c>
      <c r="V45" s="708" t="s">
        <v>14</v>
      </c>
      <c r="W45" s="709">
        <f t="shared" si="12"/>
        <v>100</v>
      </c>
      <c r="X45" s="710"/>
      <c r="Y45" s="371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716" t="str">
        <f>A46</f>
        <v>成交单价</v>
      </c>
      <c r="Q46" s="3716"/>
      <c r="R46" s="3704">
        <f>E46</f>
        <v>0</v>
      </c>
      <c r="S46" s="3704"/>
      <c r="T46" s="3704">
        <f>G46</f>
        <v>0</v>
      </c>
      <c r="U46" s="3704"/>
      <c r="V46" s="3704">
        <f>I46</f>
        <v>0</v>
      </c>
      <c r="W46" s="370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16" t="str">
        <f>A47</f>
        <v>比较价值（元/平方米）</v>
      </c>
      <c r="Q47" s="3716"/>
      <c r="R47" s="3754" t="e">
        <f>ROUND(PRODUCT(R46,AA7:AA45),0)</f>
        <v>#DIV/0!</v>
      </c>
      <c r="S47" s="3754"/>
      <c r="T47" s="3754" t="e">
        <f>ROUND(PRODUCT(T46,AB7:AB45),0)</f>
        <v>#DIV/0!</v>
      </c>
      <c r="U47" s="3754"/>
      <c r="V47" s="3754" t="e">
        <f>ROUND(PRODUCT(V46,AC7:AC45),0)</f>
        <v>#DIV/0!</v>
      </c>
      <c r="W47" s="375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49" t="str">
        <f>A48</f>
        <v>估价对象XX用房的比较价值（楼面单价，元/平方米）</v>
      </c>
      <c r="Q48" s="3750"/>
      <c r="R48" s="3755" t="e">
        <f>ROUND(IF(D47="简单平均",AVERAGE(R47:W47),R47*F47+T47*H47+V47*J47),0)</f>
        <v>#DIV/0!</v>
      </c>
      <c r="S48" s="3755"/>
      <c r="T48" s="3755"/>
      <c r="U48" s="3755"/>
      <c r="V48" s="3755"/>
      <c r="W48" s="3755"/>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91" t="s">
        <v>1887</v>
      </c>
      <c r="H55" s="3756"/>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75.58</v>
      </c>
      <c r="F56" s="886" t="e">
        <f t="shared" ref="F56:F64" si="15">ROUND(B56*E56/10000,0)</f>
        <v>#DIV/0!</v>
      </c>
      <c r="G56" s="3687"/>
      <c r="H56" s="371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75.58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745" t="s">
        <v>1775</v>
      </c>
      <c r="Q4" s="3746"/>
      <c r="R4" s="3743" t="s">
        <v>1771</v>
      </c>
      <c r="S4" s="3744"/>
      <c r="T4" s="3743" t="s">
        <v>1772</v>
      </c>
      <c r="U4" s="3744"/>
      <c r="V4" s="3704" t="s">
        <v>1773</v>
      </c>
      <c r="W4" s="3704"/>
      <c r="X4" s="1355"/>
      <c r="Y4" s="3743" t="s">
        <v>1775</v>
      </c>
      <c r="Z4" s="3744"/>
      <c r="AA4" s="3742" t="s">
        <v>1771</v>
      </c>
      <c r="AB4" s="3670" t="s">
        <v>1772</v>
      </c>
      <c r="AC4" s="3742" t="s">
        <v>1773</v>
      </c>
    </row>
    <row r="5" spans="1:29" ht="15">
      <c r="A5" s="358"/>
      <c r="B5" s="359"/>
      <c r="C5" s="3684" t="s">
        <v>1673</v>
      </c>
      <c r="D5" s="3681"/>
      <c r="E5" s="3678" t="s">
        <v>1674</v>
      </c>
      <c r="F5" s="3679"/>
      <c r="G5" s="3684" t="s">
        <v>1675</v>
      </c>
      <c r="H5" s="3681"/>
      <c r="I5" s="3684" t="s">
        <v>1676</v>
      </c>
      <c r="J5" s="3681"/>
      <c r="K5" s="559"/>
      <c r="L5" s="2713"/>
      <c r="M5" s="2714"/>
      <c r="N5" s="2714"/>
      <c r="O5" s="2714"/>
      <c r="P5" s="3747"/>
      <c r="Q5" s="3698"/>
      <c r="R5" s="3676"/>
      <c r="S5" s="3677"/>
      <c r="T5" s="3676"/>
      <c r="U5" s="3677"/>
      <c r="V5" s="3704"/>
      <c r="W5" s="3704"/>
      <c r="X5" s="1355"/>
      <c r="Y5" s="3676"/>
      <c r="Z5" s="3677"/>
      <c r="AA5" s="3670"/>
      <c r="AB5" s="3670"/>
      <c r="AC5" s="3670"/>
    </row>
    <row r="6" spans="1:29" ht="15.75" thickBot="1">
      <c r="A6" s="360"/>
      <c r="B6" s="361"/>
      <c r="C6" s="3757" t="s">
        <v>1919</v>
      </c>
      <c r="D6" s="3758"/>
      <c r="E6" s="3759" t="s">
        <v>1919</v>
      </c>
      <c r="F6" s="3760"/>
      <c r="G6" s="3757" t="s">
        <v>1919</v>
      </c>
      <c r="H6" s="3758"/>
      <c r="I6" s="3757" t="s">
        <v>1919</v>
      </c>
      <c r="J6" s="3758"/>
      <c r="K6" s="559" t="s">
        <v>1678</v>
      </c>
      <c r="L6" s="2713"/>
      <c r="M6" s="2714"/>
      <c r="N6" s="2714"/>
      <c r="O6" s="2714"/>
      <c r="P6" s="3748"/>
      <c r="Q6" s="3700"/>
      <c r="R6" s="3676"/>
      <c r="S6" s="3677"/>
      <c r="T6" s="3701"/>
      <c r="U6" s="3702"/>
      <c r="V6" s="3704"/>
      <c r="W6" s="3704"/>
      <c r="X6" s="1355"/>
      <c r="Y6" s="3701"/>
      <c r="Z6" s="3702"/>
      <c r="AA6" s="3671"/>
      <c r="AB6" s="3671"/>
      <c r="AC6" s="3671"/>
    </row>
    <row r="7" spans="1:29" s="108" customFormat="1" ht="15.75" thickBot="1">
      <c r="A7" s="362" t="s">
        <v>1679</v>
      </c>
      <c r="B7" s="363"/>
      <c r="C7" s="364">
        <f>'数据-取费表'!B2</f>
        <v>45455</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72" t="s">
        <v>1680</v>
      </c>
      <c r="Q7" s="3706"/>
      <c r="R7" s="701" t="s">
        <v>14</v>
      </c>
      <c r="S7" s="702">
        <f t="shared" ref="S7:S15" si="0">F7</f>
        <v>0</v>
      </c>
      <c r="T7" s="701" t="s">
        <v>14</v>
      </c>
      <c r="U7" s="702">
        <f t="shared" ref="U7:U15" si="1">H7</f>
        <v>0</v>
      </c>
      <c r="V7" s="701" t="s">
        <v>14</v>
      </c>
      <c r="W7" s="702">
        <f t="shared" ref="W7:W15" si="2">J7</f>
        <v>0</v>
      </c>
      <c r="X7" s="703"/>
      <c r="Y7" s="3672" t="s">
        <v>1680</v>
      </c>
      <c r="Z7" s="367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2" t="s">
        <v>1683</v>
      </c>
      <c r="Q8" s="3673"/>
      <c r="R8" s="701" t="s">
        <v>14</v>
      </c>
      <c r="S8" s="702">
        <f t="shared" si="0"/>
        <v>0</v>
      </c>
      <c r="T8" s="701" t="s">
        <v>14</v>
      </c>
      <c r="U8" s="702">
        <f t="shared" si="1"/>
        <v>0</v>
      </c>
      <c r="V8" s="701" t="s">
        <v>14</v>
      </c>
      <c r="W8" s="702">
        <f t="shared" si="2"/>
        <v>0</v>
      </c>
      <c r="X8" s="703"/>
      <c r="Y8" s="3672" t="s">
        <v>1683</v>
      </c>
      <c r="Z8" s="367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16" t="s">
        <v>1686</v>
      </c>
      <c r="Q9" s="1343" t="str">
        <f t="shared" ref="Q9:Q15" si="6">B9</f>
        <v>用途</v>
      </c>
      <c r="R9" s="701" t="s">
        <v>14</v>
      </c>
      <c r="S9" s="702">
        <f t="shared" si="0"/>
        <v>100</v>
      </c>
      <c r="T9" s="701" t="s">
        <v>14</v>
      </c>
      <c r="U9" s="702">
        <f t="shared" si="1"/>
        <v>100</v>
      </c>
      <c r="V9" s="701" t="s">
        <v>14</v>
      </c>
      <c r="W9" s="702">
        <f t="shared" si="2"/>
        <v>100</v>
      </c>
      <c r="X9" s="703"/>
      <c r="Y9" s="363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7"/>
      <c r="M10" s="2718"/>
      <c r="N10" s="2718"/>
      <c r="O10" s="2771"/>
      <c r="P10" s="3716"/>
      <c r="Q10" s="1343" t="str">
        <f t="shared" si="6"/>
        <v>土地使用年限（年）</v>
      </c>
      <c r="R10" s="701" t="s">
        <v>14</v>
      </c>
      <c r="S10" s="702">
        <f t="shared" si="0"/>
        <v>123</v>
      </c>
      <c r="T10" s="701" t="s">
        <v>14</v>
      </c>
      <c r="U10" s="702">
        <f t="shared" si="1"/>
        <v>123</v>
      </c>
      <c r="V10" s="701" t="s">
        <v>14</v>
      </c>
      <c r="W10" s="702">
        <f t="shared" si="2"/>
        <v>123</v>
      </c>
      <c r="X10" s="703"/>
      <c r="Y10" s="3637"/>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6"/>
      <c r="Q11" s="1343" t="str">
        <f t="shared" si="6"/>
        <v>容积率</v>
      </c>
      <c r="R11" s="701" t="s">
        <v>14</v>
      </c>
      <c r="S11" s="702" t="e">
        <f t="shared" si="0"/>
        <v>#N/A</v>
      </c>
      <c r="T11" s="701" t="s">
        <v>14</v>
      </c>
      <c r="U11" s="702" t="e">
        <f t="shared" si="1"/>
        <v>#N/A</v>
      </c>
      <c r="V11" s="701" t="s">
        <v>14</v>
      </c>
      <c r="W11" s="702" t="e">
        <f t="shared" si="2"/>
        <v>#N/A</v>
      </c>
      <c r="X11" s="703"/>
      <c r="Y11" s="363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6"/>
      <c r="Q12" s="1343">
        <f t="shared" si="6"/>
        <v>111</v>
      </c>
      <c r="R12" s="701" t="s">
        <v>14</v>
      </c>
      <c r="S12" s="702">
        <f t="shared" si="0"/>
        <v>100</v>
      </c>
      <c r="T12" s="701" t="s">
        <v>14</v>
      </c>
      <c r="U12" s="702">
        <f t="shared" si="1"/>
        <v>100</v>
      </c>
      <c r="V12" s="701" t="s">
        <v>14</v>
      </c>
      <c r="W12" s="702">
        <f t="shared" si="2"/>
        <v>100</v>
      </c>
      <c r="X12" s="703"/>
      <c r="Y12" s="363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6"/>
      <c r="Q13" s="1343">
        <f t="shared" si="6"/>
        <v>111</v>
      </c>
      <c r="R13" s="701" t="s">
        <v>14</v>
      </c>
      <c r="S13" s="702">
        <f t="shared" si="0"/>
        <v>100</v>
      </c>
      <c r="T13" s="701" t="s">
        <v>14</v>
      </c>
      <c r="U13" s="702">
        <f t="shared" si="1"/>
        <v>100</v>
      </c>
      <c r="V13" s="701" t="s">
        <v>14</v>
      </c>
      <c r="W13" s="702">
        <f t="shared" si="2"/>
        <v>100</v>
      </c>
      <c r="X13" s="703"/>
      <c r="Y13" s="363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6"/>
      <c r="Q14" s="1343">
        <f t="shared" si="6"/>
        <v>111</v>
      </c>
      <c r="R14" s="701" t="s">
        <v>14</v>
      </c>
      <c r="S14" s="702">
        <f t="shared" si="0"/>
        <v>100</v>
      </c>
      <c r="T14" s="701" t="s">
        <v>14</v>
      </c>
      <c r="U14" s="702">
        <f t="shared" si="1"/>
        <v>100</v>
      </c>
      <c r="V14" s="701" t="s">
        <v>14</v>
      </c>
      <c r="W14" s="702">
        <f t="shared" si="2"/>
        <v>100</v>
      </c>
      <c r="X14" s="703"/>
      <c r="Y14" s="363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9" t="s">
        <v>1691</v>
      </c>
      <c r="Q15" s="1352" t="str">
        <f t="shared" si="6"/>
        <v>产业集聚程度</v>
      </c>
      <c r="R15" s="705" t="s">
        <v>14</v>
      </c>
      <c r="S15" s="706">
        <f t="shared" si="0"/>
        <v>100</v>
      </c>
      <c r="T15" s="705" t="s">
        <v>14</v>
      </c>
      <c r="U15" s="706">
        <f t="shared" si="1"/>
        <v>100</v>
      </c>
      <c r="V15" s="705" t="s">
        <v>14</v>
      </c>
      <c r="W15" s="706">
        <f t="shared" si="2"/>
        <v>100</v>
      </c>
      <c r="X15" s="1355"/>
      <c r="Y15" s="370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10"/>
      <c r="Q16" s="1352"/>
      <c r="R16" s="705"/>
      <c r="S16" s="706"/>
      <c r="T16" s="705"/>
      <c r="U16" s="706"/>
      <c r="V16" s="705"/>
      <c r="W16" s="706"/>
      <c r="X16" s="1355"/>
      <c r="Y16" s="371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0"/>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10"/>
      <c r="Q18" s="1352"/>
      <c r="R18" s="705"/>
      <c r="S18" s="706"/>
      <c r="T18" s="705"/>
      <c r="U18" s="706"/>
      <c r="V18" s="705"/>
      <c r="W18" s="706"/>
      <c r="X18" s="1355"/>
      <c r="Y18" s="371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0"/>
      <c r="Q19" s="1352" t="str">
        <f t="shared" ref="Q19:Q33" si="8">B19</f>
        <v>区域土地利用方向</v>
      </c>
      <c r="R19" s="705" t="s">
        <v>14</v>
      </c>
      <c r="S19" s="706">
        <f>F19</f>
        <v>100</v>
      </c>
      <c r="T19" s="705" t="s">
        <v>14</v>
      </c>
      <c r="U19" s="706">
        <f>H19</f>
        <v>100</v>
      </c>
      <c r="V19" s="705" t="s">
        <v>14</v>
      </c>
      <c r="W19" s="706">
        <f>J19</f>
        <v>100</v>
      </c>
      <c r="X19" s="1355"/>
      <c r="Y19" s="371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10"/>
      <c r="Q20" s="1352"/>
      <c r="R20" s="705"/>
      <c r="S20" s="706"/>
      <c r="T20" s="705"/>
      <c r="U20" s="706"/>
      <c r="V20" s="705"/>
      <c r="W20" s="706"/>
      <c r="X20" s="1355"/>
      <c r="Y20" s="371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0"/>
      <c r="Q21" s="1352" t="str">
        <f t="shared" si="8"/>
        <v>环境状况</v>
      </c>
      <c r="R21" s="705" t="s">
        <v>14</v>
      </c>
      <c r="S21" s="706">
        <f>F21</f>
        <v>100</v>
      </c>
      <c r="T21" s="705" t="s">
        <v>14</v>
      </c>
      <c r="U21" s="706">
        <f>H21</f>
        <v>100</v>
      </c>
      <c r="V21" s="705" t="s">
        <v>14</v>
      </c>
      <c r="W21" s="706">
        <f>J21</f>
        <v>100</v>
      </c>
      <c r="X21" s="1355"/>
      <c r="Y21" s="371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10"/>
      <c r="Q22" s="1352"/>
      <c r="R22" s="705"/>
      <c r="S22" s="706"/>
      <c r="T22" s="705"/>
      <c r="U22" s="706"/>
      <c r="V22" s="705"/>
      <c r="W22" s="706"/>
      <c r="X22" s="1355"/>
      <c r="Y22" s="371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0"/>
      <c r="Q23" s="1343" t="str">
        <f t="shared" si="8"/>
        <v>公共配套设施</v>
      </c>
      <c r="R23" s="701" t="s">
        <v>14</v>
      </c>
      <c r="S23" s="702">
        <f>F23</f>
        <v>100</v>
      </c>
      <c r="T23" s="701" t="s">
        <v>14</v>
      </c>
      <c r="U23" s="702">
        <f>H23</f>
        <v>100</v>
      </c>
      <c r="V23" s="701" t="s">
        <v>14</v>
      </c>
      <c r="W23" s="702">
        <f>J23</f>
        <v>100</v>
      </c>
      <c r="X23" s="703"/>
      <c r="Y23" s="371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10"/>
      <c r="Q24" s="1343"/>
      <c r="R24" s="701"/>
      <c r="S24" s="702"/>
      <c r="T24" s="701"/>
      <c r="U24" s="702"/>
      <c r="V24" s="701"/>
      <c r="W24" s="702"/>
      <c r="X24" s="703"/>
      <c r="Y24" s="371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0"/>
      <c r="Q25" s="1343" t="str">
        <f t="shared" ref="Q25" si="9">B25</f>
        <v>基础设施水平</v>
      </c>
      <c r="R25" s="701" t="s">
        <v>14</v>
      </c>
      <c r="S25" s="702">
        <f>F25</f>
        <v>100</v>
      </c>
      <c r="T25" s="701" t="s">
        <v>14</v>
      </c>
      <c r="U25" s="702">
        <f>H25</f>
        <v>100</v>
      </c>
      <c r="V25" s="701" t="s">
        <v>14</v>
      </c>
      <c r="W25" s="702">
        <f>J25</f>
        <v>100</v>
      </c>
      <c r="X25" s="703"/>
      <c r="Y25" s="371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10"/>
      <c r="Q26" s="1343"/>
      <c r="R26" s="701"/>
      <c r="S26" s="702"/>
      <c r="T26" s="701"/>
      <c r="U26" s="702"/>
      <c r="V26" s="701"/>
      <c r="W26" s="702"/>
      <c r="X26" s="703"/>
      <c r="Y26" s="371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0"/>
      <c r="Q28" s="1352" t="str">
        <f t="shared" si="8"/>
        <v>毗邻道路的类型与等级</v>
      </c>
      <c r="R28" s="705" t="s">
        <v>14</v>
      </c>
      <c r="S28" s="706">
        <f t="shared" si="10"/>
        <v>100</v>
      </c>
      <c r="T28" s="705" t="s">
        <v>14</v>
      </c>
      <c r="U28" s="706">
        <f t="shared" si="11"/>
        <v>100</v>
      </c>
      <c r="V28" s="705" t="s">
        <v>14</v>
      </c>
      <c r="W28" s="706">
        <f t="shared" si="12"/>
        <v>100</v>
      </c>
      <c r="X28" s="1355"/>
      <c r="Y28" s="371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10"/>
      <c r="Q29" s="1352"/>
      <c r="R29" s="705"/>
      <c r="S29" s="706"/>
      <c r="T29" s="705"/>
      <c r="U29" s="706"/>
      <c r="V29" s="705"/>
      <c r="W29" s="706"/>
      <c r="X29" s="1355"/>
      <c r="Y29" s="371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0"/>
      <c r="Q30" s="1352" t="str">
        <f t="shared" si="8"/>
        <v>土地级别</v>
      </c>
      <c r="R30" s="705" t="s">
        <v>14</v>
      </c>
      <c r="S30" s="706">
        <f t="shared" si="10"/>
        <v>100</v>
      </c>
      <c r="T30" s="705" t="s">
        <v>14</v>
      </c>
      <c r="U30" s="706">
        <f t="shared" si="11"/>
        <v>100</v>
      </c>
      <c r="V30" s="705" t="s">
        <v>14</v>
      </c>
      <c r="W30" s="706">
        <f t="shared" si="12"/>
        <v>100</v>
      </c>
      <c r="X30" s="1355"/>
      <c r="Y30" s="371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0"/>
      <c r="Q31" s="1352">
        <f t="shared" si="8"/>
        <v>111</v>
      </c>
      <c r="R31" s="705" t="s">
        <v>14</v>
      </c>
      <c r="S31" s="706">
        <f t="shared" si="10"/>
        <v>100</v>
      </c>
      <c r="T31" s="705" t="s">
        <v>14</v>
      </c>
      <c r="U31" s="706">
        <f t="shared" si="11"/>
        <v>100</v>
      </c>
      <c r="V31" s="705" t="s">
        <v>14</v>
      </c>
      <c r="W31" s="706">
        <f t="shared" si="12"/>
        <v>100</v>
      </c>
      <c r="X31" s="1355"/>
      <c r="Y31" s="371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2" t="s">
        <v>1696</v>
      </c>
      <c r="Q32" s="1352">
        <f t="shared" si="8"/>
        <v>111</v>
      </c>
      <c r="R32" s="705" t="s">
        <v>14</v>
      </c>
      <c r="S32" s="706">
        <f t="shared" si="10"/>
        <v>100</v>
      </c>
      <c r="T32" s="705" t="s">
        <v>14</v>
      </c>
      <c r="U32" s="706">
        <f t="shared" si="11"/>
        <v>100</v>
      </c>
      <c r="V32" s="705" t="s">
        <v>14</v>
      </c>
      <c r="W32" s="706">
        <f t="shared" si="12"/>
        <v>100</v>
      </c>
      <c r="X32" s="1355"/>
      <c r="Y32" s="371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4"/>
      <c r="Q33" s="1352">
        <f t="shared" si="8"/>
        <v>111</v>
      </c>
      <c r="R33" s="708" t="s">
        <v>14</v>
      </c>
      <c r="S33" s="709">
        <f t="shared" si="10"/>
        <v>100</v>
      </c>
      <c r="T33" s="708" t="s">
        <v>14</v>
      </c>
      <c r="U33" s="709">
        <f t="shared" si="11"/>
        <v>100</v>
      </c>
      <c r="V33" s="708" t="s">
        <v>14</v>
      </c>
      <c r="W33" s="709">
        <f t="shared" si="12"/>
        <v>100</v>
      </c>
      <c r="X33" s="710"/>
      <c r="Y33" s="371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4"/>
      <c r="Q34" s="1352" t="str">
        <f>B34</f>
        <v>宗地面积</v>
      </c>
      <c r="R34" s="705" t="s">
        <v>14</v>
      </c>
      <c r="S34" s="706" t="e">
        <f t="shared" si="10"/>
        <v>#N/A</v>
      </c>
      <c r="T34" s="705" t="s">
        <v>14</v>
      </c>
      <c r="U34" s="706" t="e">
        <f t="shared" si="11"/>
        <v>#N/A</v>
      </c>
      <c r="V34" s="705" t="s">
        <v>14</v>
      </c>
      <c r="W34" s="706" t="e">
        <f t="shared" si="12"/>
        <v>#N/A</v>
      </c>
      <c r="X34" s="1355"/>
      <c r="Y34" s="371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14"/>
      <c r="Q35" s="1352" t="str">
        <f t="shared" ref="Q35:Q40" si="14">B35</f>
        <v>宗地形状</v>
      </c>
      <c r="R35" s="705" t="s">
        <v>14</v>
      </c>
      <c r="S35" s="706">
        <f t="shared" si="10"/>
        <v>100</v>
      </c>
      <c r="T35" s="705" t="s">
        <v>14</v>
      </c>
      <c r="U35" s="706">
        <f t="shared" si="11"/>
        <v>100</v>
      </c>
      <c r="V35" s="705" t="s">
        <v>14</v>
      </c>
      <c r="W35" s="706">
        <f t="shared" si="12"/>
        <v>100</v>
      </c>
      <c r="X35" s="1355"/>
      <c r="Y35" s="371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14"/>
      <c r="Q36" s="1352" t="str">
        <f t="shared" si="14"/>
        <v>宗地开发程度</v>
      </c>
      <c r="R36" s="701" t="s">
        <v>14</v>
      </c>
      <c r="S36" s="702">
        <f t="shared" si="10"/>
        <v>100</v>
      </c>
      <c r="T36" s="701" t="s">
        <v>14</v>
      </c>
      <c r="U36" s="702">
        <f t="shared" si="11"/>
        <v>100</v>
      </c>
      <c r="V36" s="701" t="s">
        <v>14</v>
      </c>
      <c r="W36" s="702">
        <f t="shared" si="12"/>
        <v>100</v>
      </c>
      <c r="X36" s="703"/>
      <c r="Y36" s="371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14" t="s">
        <v>1696</v>
      </c>
      <c r="Q37" s="1352" t="str">
        <f t="shared" si="14"/>
        <v>工程地质条件</v>
      </c>
      <c r="R37" s="705" t="s">
        <v>14</v>
      </c>
      <c r="S37" s="706">
        <f t="shared" si="10"/>
        <v>100</v>
      </c>
      <c r="T37" s="705" t="s">
        <v>14</v>
      </c>
      <c r="U37" s="706">
        <f t="shared" si="11"/>
        <v>100</v>
      </c>
      <c r="V37" s="705" t="s">
        <v>14</v>
      </c>
      <c r="W37" s="706">
        <f t="shared" si="12"/>
        <v>100</v>
      </c>
      <c r="X37" s="1355"/>
      <c r="Y37" s="371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4"/>
      <c r="Q38" s="1352">
        <f t="shared" si="14"/>
        <v>111</v>
      </c>
      <c r="R38" s="705" t="s">
        <v>14</v>
      </c>
      <c r="S38" s="706">
        <f t="shared" si="10"/>
        <v>100</v>
      </c>
      <c r="T38" s="705" t="s">
        <v>14</v>
      </c>
      <c r="U38" s="706">
        <f t="shared" si="11"/>
        <v>100</v>
      </c>
      <c r="V38" s="705" t="s">
        <v>14</v>
      </c>
      <c r="W38" s="706">
        <f t="shared" si="12"/>
        <v>100</v>
      </c>
      <c r="X38" s="1355"/>
      <c r="Y38" s="371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4"/>
      <c r="Q39" s="1352">
        <f t="shared" si="14"/>
        <v>111</v>
      </c>
      <c r="R39" s="705" t="s">
        <v>14</v>
      </c>
      <c r="S39" s="706">
        <f t="shared" si="10"/>
        <v>100</v>
      </c>
      <c r="T39" s="705" t="s">
        <v>14</v>
      </c>
      <c r="U39" s="706">
        <f t="shared" si="11"/>
        <v>100</v>
      </c>
      <c r="V39" s="705" t="s">
        <v>14</v>
      </c>
      <c r="W39" s="706">
        <f t="shared" si="12"/>
        <v>100</v>
      </c>
      <c r="X39" s="1355"/>
      <c r="Y39" s="371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4"/>
      <c r="Q40" s="1352">
        <f t="shared" si="14"/>
        <v>111</v>
      </c>
      <c r="R40" s="708" t="s">
        <v>14</v>
      </c>
      <c r="S40" s="709">
        <f t="shared" si="10"/>
        <v>100</v>
      </c>
      <c r="T40" s="708" t="s">
        <v>14</v>
      </c>
      <c r="U40" s="709">
        <f t="shared" si="11"/>
        <v>100</v>
      </c>
      <c r="V40" s="708" t="s">
        <v>14</v>
      </c>
      <c r="W40" s="709">
        <f t="shared" si="12"/>
        <v>100</v>
      </c>
      <c r="X40" s="710"/>
      <c r="Y40" s="371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716" t="str">
        <f>A41</f>
        <v>成交单价</v>
      </c>
      <c r="Q41" s="3716"/>
      <c r="R41" s="3704">
        <f>E41</f>
        <v>0</v>
      </c>
      <c r="S41" s="3704"/>
      <c r="T41" s="3704">
        <f>G41</f>
        <v>0</v>
      </c>
      <c r="U41" s="3704"/>
      <c r="V41" s="3704">
        <f>I41</f>
        <v>0</v>
      </c>
      <c r="W41" s="370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16" t="str">
        <f>A42</f>
        <v>比较价值（元/平方米）</v>
      </c>
      <c r="Q42" s="3716"/>
      <c r="R42" s="3754" t="e">
        <f>ROUND(PRODUCT(R41,AA7:AA40),0)</f>
        <v>#DIV/0!</v>
      </c>
      <c r="S42" s="3754"/>
      <c r="T42" s="3754" t="e">
        <f>ROUND(PRODUCT(T41,AB7:AB40),0)</f>
        <v>#DIV/0!</v>
      </c>
      <c r="U42" s="3754"/>
      <c r="V42" s="3754" t="e">
        <f>ROUND(PRODUCT(V41,AC7:AC40),0)</f>
        <v>#DIV/0!</v>
      </c>
      <c r="W42" s="375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49" t="str">
        <f>A43</f>
        <v>估价对象XX用房的比较价值（楼面单价，元/平方米）</v>
      </c>
      <c r="Q43" s="3750"/>
      <c r="R43" s="3755" t="e">
        <f>ROUND(IF(D42="简单平均",AVERAGE(R42:W42),R42*F42+T42*H42+V42*J42),0)</f>
        <v>#DIV/0!</v>
      </c>
      <c r="S43" s="3755"/>
      <c r="T43" s="3755"/>
      <c r="U43" s="3755"/>
      <c r="V43" s="3755"/>
      <c r="W43" s="3755"/>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91" t="s">
        <v>1887</v>
      </c>
      <c r="H50" s="3756"/>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75.58</v>
      </c>
      <c r="F51" s="639" t="e">
        <f t="shared" ref="F51:F60" si="15">ROUND(B51*E51/10000,0)</f>
        <v>#DIV/0!</v>
      </c>
      <c r="G51" s="3687"/>
      <c r="H51" s="371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4" t="s">
        <v>2084</v>
      </c>
      <c r="D1" s="3765"/>
      <c r="E1" s="3765"/>
      <c r="F1" s="3765"/>
      <c r="G1" s="3765"/>
      <c r="H1" s="3765"/>
      <c r="I1" s="3765"/>
      <c r="J1" s="3765"/>
      <c r="K1" s="3765"/>
      <c r="L1" s="3765"/>
      <c r="M1" s="3765"/>
      <c r="N1" s="3765"/>
      <c r="O1" s="3765"/>
      <c r="P1" s="3765"/>
      <c r="Q1" s="3765"/>
      <c r="R1" s="3765"/>
      <c r="S1" s="376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1" t="s">
        <v>27</v>
      </c>
      <c r="D22" s="3762"/>
      <c r="E22" s="3762"/>
      <c r="F22" s="3762"/>
      <c r="G22" s="3762"/>
      <c r="H22" s="3762"/>
      <c r="I22" s="3762"/>
      <c r="J22" s="3762"/>
      <c r="K22" s="3762"/>
      <c r="L22" s="3762"/>
      <c r="M22" s="3762"/>
      <c r="N22" s="3762"/>
      <c r="O22" s="3762"/>
      <c r="P22" s="3762"/>
      <c r="Q22" s="376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74"/>
      <c r="B4" s="3775"/>
      <c r="C4" s="3775"/>
      <c r="D4" s="3776"/>
      <c r="E4" s="3776"/>
      <c r="F4" s="3776"/>
      <c r="G4" s="3776"/>
      <c r="H4" s="3776"/>
      <c r="I4" s="3776"/>
      <c r="J4" s="377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71" t="s">
        <v>1960</v>
      </c>
      <c r="X8" s="377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73"/>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7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3238</v>
      </c>
      <c r="B12" s="3303" t="s">
        <v>3239</v>
      </c>
      <c r="C12" s="3304"/>
      <c r="D12" s="3305" t="s">
        <v>3240</v>
      </c>
      <c r="E12" s="3306" t="s">
        <v>3241</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3242</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3243</v>
      </c>
      <c r="G14" s="3310" t="s">
        <v>3243</v>
      </c>
      <c r="H14" s="3310" t="s">
        <v>3243</v>
      </c>
      <c r="I14" s="3310" t="s">
        <v>3243</v>
      </c>
      <c r="J14" s="3310" t="s">
        <v>3243</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3244</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3245</v>
      </c>
      <c r="B17" s="3319" t="s">
        <v>3246</v>
      </c>
      <c r="C17" s="3329">
        <f>ROUND(IF(OR(E2="工业",E2="公共服务"),1,IF(AND(E18=0,E19=0),1,IF(AND(E18=J24,E19=G19),0.8,IF(E19=0,1+E17*(-0.2),1+E17*G17*(-0.2))))),4)</f>
        <v>1</v>
      </c>
      <c r="D17" s="3320" t="s">
        <v>3247</v>
      </c>
      <c r="E17" s="3329" t="e">
        <f>ROUND(G18/I18,2)</f>
        <v>#DIV/0!</v>
      </c>
      <c r="F17" s="3320" t="s">
        <v>3250</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3248</v>
      </c>
      <c r="E18" s="3327"/>
      <c r="F18" s="3322" t="s">
        <v>3251</v>
      </c>
      <c r="G18" s="3326">
        <f>ROUND(1-(1/(POWER(1+G24,E18))),4)</f>
        <v>0</v>
      </c>
      <c r="H18" s="3322" t="s">
        <v>3253</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3249</v>
      </c>
      <c r="E19" s="3336"/>
      <c r="F19" s="3337" t="s">
        <v>3252</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78" t="s">
        <v>3254</v>
      </c>
      <c r="B20" s="167" t="s">
        <v>1994</v>
      </c>
      <c r="C20" s="3323" t="e">
        <f>ROUND(IF(F21="与级别开发程度一致",0,(G21-E21)/C21),0)</f>
        <v>#DIV/0!</v>
      </c>
      <c r="D20" s="3339" t="s">
        <v>1998</v>
      </c>
      <c r="E20" s="3340"/>
      <c r="F20" s="3784" t="s">
        <v>1995</v>
      </c>
      <c r="G20" s="3785"/>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7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45455</v>
      </c>
      <c r="H23" s="3341" t="s">
        <v>3256</v>
      </c>
      <c r="I23" s="3342" t="str">
        <f>IF(H23="季度增幅（自定义）",SUMIF(N25:N28,E2,O25:O28),"")</f>
        <v/>
      </c>
      <c r="J23" s="3444" t="s">
        <v>3255</v>
      </c>
      <c r="K23" s="1125"/>
      <c r="L23" s="2055" t="s">
        <v>2004</v>
      </c>
      <c r="M23" s="1328">
        <f>ROUND(SUMIF(地价!B2:G2,E2,地价!B16:G16),0)</f>
        <v>0</v>
      </c>
      <c r="N23" s="2056" t="s">
        <v>2005</v>
      </c>
      <c r="O23" s="763">
        <f>ROUNDDOWN(DATEDIF(E23,G23,"M")/3,0)</f>
        <v>13</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3335</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3258</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3265</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3266</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83"/>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3269</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3269</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3269</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3270</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2612</v>
      </c>
      <c r="B91" s="3376">
        <f>1+E93</f>
        <v>1</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3273</v>
      </c>
      <c r="B94" s="3368" t="str">
        <f>估价对象房地状况!C18</f>
        <v>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3269</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3274</v>
      </c>
      <c r="B96" s="3383" t="s">
        <v>3285</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3275</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3276</v>
      </c>
      <c r="B98" s="3384" t="s">
        <v>3286</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4">
      <c r="A99" s="3377" t="s">
        <v>3277</v>
      </c>
      <c r="B99" s="3368" t="str">
        <f>估价对象房地状况!C21</f>
        <v>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3278</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3279</v>
      </c>
      <c r="B101" s="3385" t="str">
        <f>估价对象房地状况!C20</f>
        <v>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80" t="s">
        <v>3294</v>
      </c>
      <c r="B103" s="3780"/>
      <c r="C103" s="3780"/>
      <c r="D103" s="3780"/>
      <c r="E103" s="3780"/>
      <c r="F103" s="3780"/>
      <c r="G103" s="3780"/>
      <c r="H103" s="3780"/>
      <c r="I103" s="3780"/>
      <c r="J103" s="3780"/>
      <c r="K103" s="3388"/>
      <c r="L103" s="3388"/>
      <c r="M103" s="3388"/>
      <c r="N103" s="3388"/>
    </row>
    <row r="104" spans="1:14">
      <c r="A104" s="3781" t="s">
        <v>3295</v>
      </c>
      <c r="B104" s="3781" t="s">
        <v>3296</v>
      </c>
      <c r="C104" s="3389" t="s">
        <v>3297</v>
      </c>
      <c r="D104" s="3390"/>
      <c r="E104" s="3390"/>
      <c r="F104" s="3390"/>
      <c r="G104" s="3390"/>
      <c r="H104" s="3390"/>
      <c r="I104" s="3390"/>
      <c r="J104" s="3391"/>
      <c r="K104" s="3392"/>
      <c r="L104" s="3392"/>
      <c r="M104" s="3392"/>
      <c r="N104" s="3392"/>
    </row>
    <row r="105" spans="1:14">
      <c r="A105" s="3781"/>
      <c r="B105" s="3781"/>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767"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8"/>
      <c r="B111" s="3393" t="s">
        <v>3268</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9"/>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70" t="s">
        <v>3311</v>
      </c>
      <c r="B113" s="3770"/>
      <c r="C113" s="3770"/>
      <c r="D113" s="3770"/>
      <c r="E113" s="3770"/>
      <c r="F113" s="3770"/>
      <c r="G113" s="3770"/>
      <c r="H113" s="3770"/>
      <c r="I113" s="3770"/>
      <c r="J113" s="377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0</v>
      </c>
      <c r="C116" s="3398" t="s">
        <v>3313</v>
      </c>
      <c r="D116" s="3399">
        <f>SUMPRODUCT((A118:A122=F116)*(B117:M117=H116)*B118:M122)</f>
        <v>0</v>
      </c>
      <c r="E116" s="2000" t="s">
        <v>3314</v>
      </c>
      <c r="F116" s="3400">
        <f>E2</f>
        <v>0</v>
      </c>
      <c r="G116" s="2000" t="s">
        <v>3315</v>
      </c>
      <c r="H116" s="3400">
        <f>G2</f>
        <v>0</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3329</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3330</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3331</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2612</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93" t="s">
        <v>2607</v>
      </c>
      <c r="B20" s="3786" t="s">
        <v>2628</v>
      </c>
      <c r="C20" s="3101" t="s">
        <v>2439</v>
      </c>
      <c r="D20" s="3102"/>
      <c r="E20" s="3103">
        <v>1</v>
      </c>
      <c r="F20" s="3104" t="s">
        <v>2440</v>
      </c>
      <c r="G20" s="3104"/>
    </row>
    <row r="21" spans="1:13" ht="19.5" customHeight="1">
      <c r="A21" s="3794"/>
      <c r="B21" s="3787"/>
      <c r="C21" s="3105" t="s">
        <v>2441</v>
      </c>
      <c r="D21" s="3106"/>
      <c r="E21" s="3107">
        <v>1</v>
      </c>
      <c r="F21" s="3104" t="s">
        <v>2442</v>
      </c>
      <c r="G21" s="3104"/>
    </row>
    <row r="22" spans="1:13" ht="19.5" customHeight="1">
      <c r="A22" s="3794"/>
      <c r="B22" s="3787"/>
      <c r="C22" s="3105" t="s">
        <v>2443</v>
      </c>
      <c r="D22" s="3106"/>
      <c r="E22" s="3107">
        <v>0.9</v>
      </c>
      <c r="F22" s="3104" t="s">
        <v>2444</v>
      </c>
      <c r="G22" s="3104"/>
    </row>
    <row r="23" spans="1:13" ht="19.5" customHeight="1">
      <c r="A23" s="3794"/>
      <c r="B23" s="3787"/>
      <c r="C23" s="3105" t="s">
        <v>2445</v>
      </c>
      <c r="D23" s="3106"/>
      <c r="E23" s="3107">
        <v>0.9</v>
      </c>
      <c r="F23" s="3104" t="s">
        <v>2446</v>
      </c>
      <c r="G23" s="3104"/>
    </row>
    <row r="24" spans="1:13" ht="19.5" customHeight="1">
      <c r="A24" s="3794"/>
      <c r="B24" s="3787"/>
      <c r="C24" s="3105" t="s">
        <v>2447</v>
      </c>
      <c r="D24" s="3106"/>
      <c r="E24" s="3107">
        <v>0.8</v>
      </c>
      <c r="F24" s="3104" t="s">
        <v>2448</v>
      </c>
      <c r="G24" s="3104"/>
    </row>
    <row r="25" spans="1:13" ht="19.5" customHeight="1" thickBot="1">
      <c r="A25" s="3795"/>
      <c r="B25" s="3788"/>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89" t="s">
        <v>2631</v>
      </c>
      <c r="B27" s="3786" t="s">
        <v>2612</v>
      </c>
      <c r="C27" s="3101" t="s">
        <v>2452</v>
      </c>
      <c r="D27" s="3102"/>
      <c r="E27" s="3103">
        <v>1</v>
      </c>
      <c r="F27" s="3104" t="s">
        <v>2453</v>
      </c>
      <c r="G27" s="3104"/>
    </row>
    <row r="28" spans="1:13" ht="19.5" customHeight="1">
      <c r="A28" s="3790"/>
      <c r="B28" s="3787"/>
      <c r="C28" s="3105" t="s">
        <v>2454</v>
      </c>
      <c r="D28" s="3106"/>
      <c r="E28" s="3107">
        <v>1</v>
      </c>
      <c r="F28" s="3104" t="s">
        <v>2455</v>
      </c>
      <c r="G28" s="3104"/>
    </row>
    <row r="29" spans="1:13" ht="19.5" customHeight="1">
      <c r="A29" s="3790"/>
      <c r="B29" s="3787"/>
      <c r="C29" s="3105" t="s">
        <v>2456</v>
      </c>
      <c r="D29" s="3106"/>
      <c r="E29" s="3107">
        <v>0.8</v>
      </c>
      <c r="F29" s="3104" t="s">
        <v>2457</v>
      </c>
      <c r="G29" s="3104"/>
    </row>
    <row r="30" spans="1:13" ht="19.5" customHeight="1">
      <c r="A30" s="3790"/>
      <c r="B30" s="3787"/>
      <c r="C30" s="3105" t="s">
        <v>2458</v>
      </c>
      <c r="D30" s="3106"/>
      <c r="E30" s="3107">
        <v>0.8</v>
      </c>
      <c r="F30" s="3104" t="s">
        <v>2459</v>
      </c>
      <c r="G30" s="3104"/>
    </row>
    <row r="31" spans="1:13" ht="19.5" customHeight="1">
      <c r="A31" s="3790"/>
      <c r="B31" s="3787"/>
      <c r="C31" s="3105" t="s">
        <v>2460</v>
      </c>
      <c r="D31" s="3106"/>
      <c r="E31" s="3107">
        <v>0.8</v>
      </c>
      <c r="F31" s="3104" t="s">
        <v>2461</v>
      </c>
      <c r="G31" s="3104"/>
    </row>
    <row r="32" spans="1:13" ht="19.5" customHeight="1">
      <c r="A32" s="3790"/>
      <c r="B32" s="3787"/>
      <c r="C32" s="3105" t="s">
        <v>2462</v>
      </c>
      <c r="D32" s="3106"/>
      <c r="E32" s="3107">
        <v>0.7</v>
      </c>
      <c r="F32" s="3104" t="s">
        <v>2463</v>
      </c>
      <c r="G32" s="3104"/>
    </row>
    <row r="33" spans="1:7" ht="19.5" customHeight="1">
      <c r="A33" s="3790"/>
      <c r="B33" s="3787"/>
      <c r="C33" s="3105" t="s">
        <v>2464</v>
      </c>
      <c r="D33" s="3106"/>
      <c r="E33" s="3107">
        <v>0.8</v>
      </c>
      <c r="F33" s="3104" t="s">
        <v>2465</v>
      </c>
      <c r="G33" s="3104"/>
    </row>
    <row r="34" spans="1:7" ht="19.5" customHeight="1">
      <c r="A34" s="3790"/>
      <c r="B34" s="3787"/>
      <c r="C34" s="3105" t="s">
        <v>2466</v>
      </c>
      <c r="D34" s="3106"/>
      <c r="E34" s="3107">
        <v>0.6</v>
      </c>
      <c r="F34" s="3104" t="s">
        <v>2467</v>
      </c>
      <c r="G34" s="3104"/>
    </row>
    <row r="35" spans="1:7" ht="19.5" customHeight="1">
      <c r="A35" s="3790"/>
      <c r="B35" s="3787"/>
      <c r="C35" s="3105" t="s">
        <v>2468</v>
      </c>
      <c r="D35" s="3106"/>
      <c r="E35" s="3107">
        <v>0.2</v>
      </c>
      <c r="F35" s="3104" t="s">
        <v>2469</v>
      </c>
      <c r="G35" s="3104"/>
    </row>
    <row r="36" spans="1:7" ht="19.5" customHeight="1">
      <c r="A36" s="3790"/>
      <c r="B36" s="3787"/>
      <c r="C36" s="3105" t="s">
        <v>2470</v>
      </c>
      <c r="D36" s="3106"/>
      <c r="E36" s="3107">
        <v>0.2</v>
      </c>
      <c r="F36" s="3104" t="s">
        <v>2471</v>
      </c>
      <c r="G36" s="3104"/>
    </row>
    <row r="37" spans="1:7" ht="19.5" customHeight="1">
      <c r="A37" s="3790"/>
      <c r="B37" s="3792" t="s">
        <v>2632</v>
      </c>
      <c r="C37" s="3105" t="s">
        <v>2472</v>
      </c>
      <c r="D37" s="3106"/>
      <c r="E37" s="3107">
        <v>0.6</v>
      </c>
      <c r="F37" s="3104" t="s">
        <v>2473</v>
      </c>
      <c r="G37" s="3104"/>
    </row>
    <row r="38" spans="1:7" ht="19.5" customHeight="1">
      <c r="A38" s="3790"/>
      <c r="B38" s="3787"/>
      <c r="C38" s="3105" t="s">
        <v>2474</v>
      </c>
      <c r="D38" s="3106"/>
      <c r="E38" s="3107">
        <v>0.6</v>
      </c>
      <c r="F38" s="3104" t="s">
        <v>2475</v>
      </c>
      <c r="G38" s="3104"/>
    </row>
    <row r="39" spans="1:7" ht="19.5" customHeight="1" thickBot="1">
      <c r="A39" s="3791"/>
      <c r="B39" s="3788"/>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93" t="s">
        <v>2610</v>
      </c>
      <c r="B41" s="3786" t="s">
        <v>2634</v>
      </c>
      <c r="C41" s="3101" t="s">
        <v>2479</v>
      </c>
      <c r="D41" s="3102"/>
      <c r="E41" s="3103">
        <v>1</v>
      </c>
      <c r="F41" s="3104" t="s">
        <v>2480</v>
      </c>
      <c r="G41" s="3104"/>
    </row>
    <row r="42" spans="1:7" ht="19.5" customHeight="1">
      <c r="A42" s="3794"/>
      <c r="B42" s="3787"/>
      <c r="C42" s="3105" t="s">
        <v>2481</v>
      </c>
      <c r="D42" s="3106"/>
      <c r="E42" s="3107">
        <v>1</v>
      </c>
      <c r="F42" s="3104" t="s">
        <v>2482</v>
      </c>
      <c r="G42" s="3104"/>
    </row>
    <row r="43" spans="1:7" ht="19.5" customHeight="1">
      <c r="A43" s="3794"/>
      <c r="B43" s="3796"/>
      <c r="C43" s="3105" t="s">
        <v>2483</v>
      </c>
      <c r="D43" s="3106"/>
      <c r="E43" s="3107">
        <v>1.5</v>
      </c>
      <c r="F43" s="3104" t="s">
        <v>2484</v>
      </c>
      <c r="G43" s="3104"/>
    </row>
    <row r="44" spans="1:7" ht="19.5" customHeight="1">
      <c r="A44" s="3794"/>
      <c r="B44" s="3116" t="s">
        <v>2635</v>
      </c>
      <c r="C44" s="3105" t="s">
        <v>2636</v>
      </c>
      <c r="D44" s="3106"/>
      <c r="E44" s="3107">
        <v>2</v>
      </c>
      <c r="F44" s="3104" t="s">
        <v>2485</v>
      </c>
      <c r="G44" s="3104"/>
    </row>
    <row r="45" spans="1:7" ht="19.5" customHeight="1">
      <c r="A45" s="3794"/>
      <c r="B45" s="3792" t="s">
        <v>2637</v>
      </c>
      <c r="C45" s="3105" t="s">
        <v>2486</v>
      </c>
      <c r="D45" s="3106"/>
      <c r="E45" s="3107">
        <v>1</v>
      </c>
      <c r="F45" s="3104" t="s">
        <v>2487</v>
      </c>
      <c r="G45" s="3104"/>
    </row>
    <row r="46" spans="1:7" ht="19.5" customHeight="1">
      <c r="A46" s="3794"/>
      <c r="B46" s="3787"/>
      <c r="C46" s="3105" t="s">
        <v>2488</v>
      </c>
      <c r="D46" s="3106"/>
      <c r="E46" s="3107">
        <v>1</v>
      </c>
      <c r="F46" s="3104" t="s">
        <v>2489</v>
      </c>
      <c r="G46" s="3104"/>
    </row>
    <row r="47" spans="1:7" ht="19.5" customHeight="1">
      <c r="A47" s="3794"/>
      <c r="B47" s="3787"/>
      <c r="C47" s="3105" t="s">
        <v>2490</v>
      </c>
      <c r="D47" s="3106"/>
      <c r="E47" s="3107">
        <v>1</v>
      </c>
      <c r="F47" s="3104" t="s">
        <v>2491</v>
      </c>
      <c r="G47" s="3104"/>
    </row>
    <row r="48" spans="1:7" ht="19.5" customHeight="1">
      <c r="A48" s="3794"/>
      <c r="B48" s="3787"/>
      <c r="C48" s="3105" t="s">
        <v>2492</v>
      </c>
      <c r="D48" s="3106"/>
      <c r="E48" s="3107">
        <v>1</v>
      </c>
      <c r="F48" s="3104" t="s">
        <v>2493</v>
      </c>
      <c r="G48" s="3104"/>
    </row>
    <row r="49" spans="1:7" ht="19.5" customHeight="1">
      <c r="A49" s="3794"/>
      <c r="B49" s="3787"/>
      <c r="C49" s="3105" t="s">
        <v>2494</v>
      </c>
      <c r="D49" s="3106"/>
      <c r="E49" s="3107">
        <v>1</v>
      </c>
      <c r="F49" s="3104" t="s">
        <v>2495</v>
      </c>
      <c r="G49" s="3104"/>
    </row>
    <row r="50" spans="1:7" ht="19.5" customHeight="1">
      <c r="A50" s="3794"/>
      <c r="B50" s="3787"/>
      <c r="C50" s="3105" t="s">
        <v>2496</v>
      </c>
      <c r="D50" s="3106"/>
      <c r="E50" s="3107">
        <v>1</v>
      </c>
      <c r="F50" s="3104" t="s">
        <v>2497</v>
      </c>
      <c r="G50" s="3104"/>
    </row>
    <row r="51" spans="1:7" ht="19.5" customHeight="1" thickBot="1">
      <c r="A51" s="3795"/>
      <c r="B51" s="3788"/>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92" t="s">
        <v>2651</v>
      </c>
      <c r="C73" s="3090" t="s">
        <v>2652</v>
      </c>
      <c r="D73" s="3090" t="s">
        <v>2653</v>
      </c>
      <c r="E73" s="3116">
        <v>0.2</v>
      </c>
      <c r="F73" s="3116">
        <v>25</v>
      </c>
    </row>
    <row r="74" spans="1:7" ht="24">
      <c r="A74" s="3116">
        <v>2</v>
      </c>
      <c r="B74" s="3787"/>
      <c r="C74" s="3090" t="s">
        <v>2654</v>
      </c>
      <c r="D74" s="3090" t="s">
        <v>2655</v>
      </c>
      <c r="E74" s="3116">
        <v>0.2</v>
      </c>
      <c r="F74" s="3116">
        <v>25</v>
      </c>
    </row>
    <row r="75" spans="1:7" ht="24">
      <c r="A75" s="3116">
        <v>3</v>
      </c>
      <c r="B75" s="3787"/>
      <c r="C75" s="3090" t="s">
        <v>2656</v>
      </c>
      <c r="D75" s="3090" t="s">
        <v>2657</v>
      </c>
      <c r="E75" s="3116">
        <v>0.2</v>
      </c>
      <c r="F75" s="3116">
        <v>25</v>
      </c>
    </row>
    <row r="76" spans="1:7" ht="13.5">
      <c r="A76" s="3116">
        <v>4</v>
      </c>
      <c r="B76" s="3787"/>
      <c r="C76" s="3090" t="s">
        <v>2658</v>
      </c>
      <c r="D76" s="3090" t="s">
        <v>2659</v>
      </c>
      <c r="E76" s="3116">
        <v>0.15</v>
      </c>
      <c r="F76" s="3116">
        <v>20</v>
      </c>
    </row>
    <row r="77" spans="1:7" ht="24">
      <c r="A77" s="3116">
        <v>5</v>
      </c>
      <c r="B77" s="3787"/>
      <c r="C77" s="3090" t="s">
        <v>2660</v>
      </c>
      <c r="D77" s="3090" t="s">
        <v>2661</v>
      </c>
      <c r="E77" s="3116">
        <v>0.15</v>
      </c>
      <c r="F77" s="3116">
        <v>20</v>
      </c>
    </row>
    <row r="78" spans="1:7" ht="24">
      <c r="A78" s="3116">
        <v>6</v>
      </c>
      <c r="B78" s="3787"/>
      <c r="C78" s="3090" t="s">
        <v>2662</v>
      </c>
      <c r="D78" s="3090" t="s">
        <v>2663</v>
      </c>
      <c r="E78" s="3116">
        <v>0.15</v>
      </c>
      <c r="F78" s="3116">
        <v>20</v>
      </c>
    </row>
    <row r="79" spans="1:7" ht="24">
      <c r="A79" s="3116">
        <v>7</v>
      </c>
      <c r="B79" s="3787"/>
      <c r="C79" s="3090" t="s">
        <v>2664</v>
      </c>
      <c r="D79" s="3090" t="s">
        <v>2665</v>
      </c>
      <c r="E79" s="3116">
        <v>0.15</v>
      </c>
      <c r="F79" s="3116">
        <v>20</v>
      </c>
    </row>
    <row r="80" spans="1:7" ht="24">
      <c r="A80" s="3116">
        <v>8</v>
      </c>
      <c r="B80" s="3787"/>
      <c r="C80" s="3090" t="s">
        <v>2666</v>
      </c>
      <c r="D80" s="3090" t="s">
        <v>2667</v>
      </c>
      <c r="E80" s="3116">
        <v>0.1</v>
      </c>
      <c r="F80" s="3116">
        <v>15</v>
      </c>
    </row>
    <row r="81" spans="1:6" ht="24">
      <c r="A81" s="3116">
        <v>9</v>
      </c>
      <c r="B81" s="3787"/>
      <c r="C81" s="3090" t="s">
        <v>2668</v>
      </c>
      <c r="D81" s="3090" t="s">
        <v>2669</v>
      </c>
      <c r="E81" s="3116">
        <v>0.1</v>
      </c>
      <c r="F81" s="3116">
        <v>15</v>
      </c>
    </row>
    <row r="82" spans="1:6" ht="24">
      <c r="A82" s="3116">
        <v>10</v>
      </c>
      <c r="B82" s="3787"/>
      <c r="C82" s="3090" t="s">
        <v>2670</v>
      </c>
      <c r="D82" s="3090" t="s">
        <v>2671</v>
      </c>
      <c r="E82" s="3116">
        <v>0.1</v>
      </c>
      <c r="F82" s="3116">
        <v>15</v>
      </c>
    </row>
    <row r="83" spans="1:6" ht="24">
      <c r="A83" s="3116">
        <v>11</v>
      </c>
      <c r="B83" s="3787"/>
      <c r="C83" s="3090" t="s">
        <v>2672</v>
      </c>
      <c r="D83" s="3090" t="s">
        <v>2673</v>
      </c>
      <c r="E83" s="3116">
        <v>0.1</v>
      </c>
      <c r="F83" s="3116">
        <v>15</v>
      </c>
    </row>
    <row r="84" spans="1:6" ht="24">
      <c r="A84" s="3116">
        <v>12</v>
      </c>
      <c r="B84" s="3787"/>
      <c r="C84" s="3090" t="s">
        <v>2674</v>
      </c>
      <c r="D84" s="3090" t="s">
        <v>2675</v>
      </c>
      <c r="E84" s="3116">
        <v>0.1</v>
      </c>
      <c r="F84" s="3116">
        <v>15</v>
      </c>
    </row>
    <row r="85" spans="1:6" ht="13.5">
      <c r="A85" s="3116">
        <v>13</v>
      </c>
      <c r="B85" s="3787"/>
      <c r="C85" s="3090" t="s">
        <v>2676</v>
      </c>
      <c r="D85" s="3090" t="s">
        <v>2677</v>
      </c>
      <c r="E85" s="3116">
        <v>0.1</v>
      </c>
      <c r="F85" s="3116">
        <v>15</v>
      </c>
    </row>
    <row r="86" spans="1:6" ht="13.5">
      <c r="A86" s="3116">
        <v>14</v>
      </c>
      <c r="B86" s="3787"/>
      <c r="C86" s="3090" t="s">
        <v>2678</v>
      </c>
      <c r="D86" s="3090" t="s">
        <v>2679</v>
      </c>
      <c r="E86" s="3116">
        <v>0.1</v>
      </c>
      <c r="F86" s="3116">
        <v>15</v>
      </c>
    </row>
    <row r="87" spans="1:6" ht="13.5">
      <c r="A87" s="3116">
        <v>15</v>
      </c>
      <c r="B87" s="3787"/>
      <c r="C87" s="3090" t="s">
        <v>2680</v>
      </c>
      <c r="D87" s="3090" t="s">
        <v>2681</v>
      </c>
      <c r="E87" s="3116">
        <v>0.1</v>
      </c>
      <c r="F87" s="3116">
        <v>15</v>
      </c>
    </row>
    <row r="88" spans="1:6" ht="24">
      <c r="A88" s="3116">
        <v>16</v>
      </c>
      <c r="B88" s="3787"/>
      <c r="C88" s="3090" t="s">
        <v>2682</v>
      </c>
      <c r="D88" s="3090" t="s">
        <v>2683</v>
      </c>
      <c r="E88" s="3116">
        <v>0.1</v>
      </c>
      <c r="F88" s="3116">
        <v>15</v>
      </c>
    </row>
    <row r="89" spans="1:6" ht="24">
      <c r="A89" s="3116">
        <v>17</v>
      </c>
      <c r="B89" s="3796"/>
      <c r="C89" s="3090" t="s">
        <v>2684</v>
      </c>
      <c r="D89" s="3090" t="s">
        <v>2685</v>
      </c>
      <c r="E89" s="3116">
        <v>0.1</v>
      </c>
      <c r="F89" s="3116">
        <v>15</v>
      </c>
    </row>
    <row r="90" spans="1:6" ht="13.5">
      <c r="A90" s="3116">
        <v>18</v>
      </c>
      <c r="B90" s="3792" t="s">
        <v>2686</v>
      </c>
      <c r="C90" s="3090" t="s">
        <v>2687</v>
      </c>
      <c r="D90" s="3090" t="s">
        <v>2688</v>
      </c>
      <c r="E90" s="3116">
        <v>0.2</v>
      </c>
      <c r="F90" s="3116">
        <v>25</v>
      </c>
    </row>
    <row r="91" spans="1:6" ht="24">
      <c r="A91" s="3116">
        <v>19</v>
      </c>
      <c r="B91" s="3787"/>
      <c r="C91" s="3090" t="s">
        <v>2689</v>
      </c>
      <c r="D91" s="3090" t="s">
        <v>2690</v>
      </c>
      <c r="E91" s="3116">
        <v>0.2</v>
      </c>
      <c r="F91" s="3116">
        <v>25</v>
      </c>
    </row>
    <row r="92" spans="1:6" ht="13.5">
      <c r="A92" s="3116">
        <v>20</v>
      </c>
      <c r="B92" s="3787"/>
      <c r="C92" s="3090" t="s">
        <v>2691</v>
      </c>
      <c r="D92" s="3090" t="s">
        <v>2692</v>
      </c>
      <c r="E92" s="3116">
        <v>0.15</v>
      </c>
      <c r="F92" s="3116">
        <v>20</v>
      </c>
    </row>
    <row r="93" spans="1:6" ht="13.5">
      <c r="A93" s="3116">
        <v>21</v>
      </c>
      <c r="B93" s="3787"/>
      <c r="C93" s="3090" t="s">
        <v>2693</v>
      </c>
      <c r="D93" s="3090" t="s">
        <v>2694</v>
      </c>
      <c r="E93" s="3116">
        <v>0.15</v>
      </c>
      <c r="F93" s="3116">
        <v>20</v>
      </c>
    </row>
    <row r="94" spans="1:6" ht="13.5">
      <c r="A94" s="3116">
        <v>22</v>
      </c>
      <c r="B94" s="3787"/>
      <c r="C94" s="3090" t="s">
        <v>2695</v>
      </c>
      <c r="D94" s="3090" t="s">
        <v>2696</v>
      </c>
      <c r="E94" s="3116">
        <v>0.15</v>
      </c>
      <c r="F94" s="3116">
        <v>20</v>
      </c>
    </row>
    <row r="95" spans="1:6" ht="36">
      <c r="A95" s="3116">
        <v>23</v>
      </c>
      <c r="B95" s="3787"/>
      <c r="C95" s="3090" t="s">
        <v>2697</v>
      </c>
      <c r="D95" s="3090" t="s">
        <v>2698</v>
      </c>
      <c r="E95" s="3116">
        <v>0.15</v>
      </c>
      <c r="F95" s="3116">
        <v>20</v>
      </c>
    </row>
    <row r="96" spans="1:6" ht="13.5">
      <c r="A96" s="3116">
        <v>24</v>
      </c>
      <c r="B96" s="3787"/>
      <c r="C96" s="3090" t="s">
        <v>2699</v>
      </c>
      <c r="D96" s="3090" t="s">
        <v>2700</v>
      </c>
      <c r="E96" s="3116">
        <v>0.1</v>
      </c>
      <c r="F96" s="3116">
        <v>15</v>
      </c>
    </row>
    <row r="97" spans="1:6" ht="13.5">
      <c r="A97" s="3116">
        <v>25</v>
      </c>
      <c r="B97" s="3787"/>
      <c r="C97" s="3090" t="s">
        <v>2701</v>
      </c>
      <c r="D97" s="3090" t="s">
        <v>2702</v>
      </c>
      <c r="E97" s="3116">
        <v>0.1</v>
      </c>
      <c r="F97" s="3116">
        <v>15</v>
      </c>
    </row>
    <row r="98" spans="1:6" ht="24">
      <c r="A98" s="3116">
        <v>26</v>
      </c>
      <c r="B98" s="3787"/>
      <c r="C98" s="3090" t="s">
        <v>2703</v>
      </c>
      <c r="D98" s="3090" t="s">
        <v>2704</v>
      </c>
      <c r="E98" s="3116">
        <v>0.1</v>
      </c>
      <c r="F98" s="3116">
        <v>15</v>
      </c>
    </row>
    <row r="99" spans="1:6" ht="24">
      <c r="A99" s="3116">
        <v>27</v>
      </c>
      <c r="B99" s="3787"/>
      <c r="C99" s="3090" t="s">
        <v>2705</v>
      </c>
      <c r="D99" s="3090" t="s">
        <v>2706</v>
      </c>
      <c r="E99" s="3116">
        <v>0.1</v>
      </c>
      <c r="F99" s="3116">
        <v>15</v>
      </c>
    </row>
    <row r="100" spans="1:6" ht="13.5">
      <c r="A100" s="3116">
        <v>28</v>
      </c>
      <c r="B100" s="3787"/>
      <c r="C100" s="3090" t="s">
        <v>2707</v>
      </c>
      <c r="D100" s="3090" t="s">
        <v>2708</v>
      </c>
      <c r="E100" s="3116">
        <v>0.1</v>
      </c>
      <c r="F100" s="3116">
        <v>15</v>
      </c>
    </row>
    <row r="101" spans="1:6" ht="13.5">
      <c r="A101" s="3116">
        <v>29</v>
      </c>
      <c r="B101" s="3787"/>
      <c r="C101" s="3090" t="s">
        <v>2709</v>
      </c>
      <c r="D101" s="3090" t="s">
        <v>2710</v>
      </c>
      <c r="E101" s="3116">
        <v>0.1</v>
      </c>
      <c r="F101" s="3116">
        <v>15</v>
      </c>
    </row>
    <row r="102" spans="1:6" ht="13.5">
      <c r="A102" s="3116">
        <v>30</v>
      </c>
      <c r="B102" s="3787"/>
      <c r="C102" s="3090" t="s">
        <v>2711</v>
      </c>
      <c r="D102" s="3090" t="s">
        <v>2712</v>
      </c>
      <c r="E102" s="3116">
        <v>0.1</v>
      </c>
      <c r="F102" s="3116">
        <v>15</v>
      </c>
    </row>
    <row r="103" spans="1:6" ht="24">
      <c r="A103" s="3116">
        <v>31</v>
      </c>
      <c r="B103" s="3787"/>
      <c r="C103" s="3090" t="s">
        <v>2713</v>
      </c>
      <c r="D103" s="3090" t="s">
        <v>2714</v>
      </c>
      <c r="E103" s="3116">
        <v>0.1</v>
      </c>
      <c r="F103" s="3116">
        <v>15</v>
      </c>
    </row>
    <row r="104" spans="1:6" ht="24">
      <c r="A104" s="3116">
        <v>32</v>
      </c>
      <c r="B104" s="3787"/>
      <c r="C104" s="3090" t="s">
        <v>2715</v>
      </c>
      <c r="D104" s="3090" t="s">
        <v>2716</v>
      </c>
      <c r="E104" s="3116">
        <v>0.1</v>
      </c>
      <c r="F104" s="3116">
        <v>15</v>
      </c>
    </row>
    <row r="105" spans="1:6" ht="24">
      <c r="A105" s="3116">
        <v>33</v>
      </c>
      <c r="B105" s="3787"/>
      <c r="C105" s="3090" t="s">
        <v>2717</v>
      </c>
      <c r="D105" s="3090" t="s">
        <v>2718</v>
      </c>
      <c r="E105" s="3116">
        <v>0.1</v>
      </c>
      <c r="F105" s="3116">
        <v>15</v>
      </c>
    </row>
    <row r="106" spans="1:6" ht="24">
      <c r="A106" s="3116">
        <v>34</v>
      </c>
      <c r="B106" s="3796"/>
      <c r="C106" s="3090" t="s">
        <v>2719</v>
      </c>
      <c r="D106" s="3090" t="s">
        <v>2720</v>
      </c>
      <c r="E106" s="3116">
        <v>0.1</v>
      </c>
      <c r="F106" s="3116">
        <v>15</v>
      </c>
    </row>
    <row r="107" spans="1:6" ht="24">
      <c r="A107" s="3116">
        <v>35</v>
      </c>
      <c r="B107" s="3792" t="s">
        <v>2721</v>
      </c>
      <c r="C107" s="3116" t="s">
        <v>2722</v>
      </c>
      <c r="D107" s="3090" t="s">
        <v>2723</v>
      </c>
      <c r="E107" s="3116">
        <v>0.15</v>
      </c>
      <c r="F107" s="3116">
        <v>20</v>
      </c>
    </row>
    <row r="108" spans="1:6" ht="13.5">
      <c r="A108" s="3116">
        <v>36</v>
      </c>
      <c r="B108" s="3787"/>
      <c r="C108" s="3116" t="s">
        <v>2724</v>
      </c>
      <c r="D108" s="3090" t="s">
        <v>2725</v>
      </c>
      <c r="E108" s="3116">
        <v>0.15</v>
      </c>
      <c r="F108" s="3116">
        <v>20</v>
      </c>
    </row>
    <row r="109" spans="1:6" ht="13.5">
      <c r="A109" s="3116">
        <v>37</v>
      </c>
      <c r="B109" s="3787"/>
      <c r="C109" s="3116" t="s">
        <v>2726</v>
      </c>
      <c r="D109" s="3090" t="s">
        <v>2727</v>
      </c>
      <c r="E109" s="3116">
        <v>0.15</v>
      </c>
      <c r="F109" s="3116">
        <v>20</v>
      </c>
    </row>
    <row r="110" spans="1:6" ht="13.5">
      <c r="A110" s="3116">
        <v>38</v>
      </c>
      <c r="B110" s="3787"/>
      <c r="C110" s="3116" t="s">
        <v>2728</v>
      </c>
      <c r="D110" s="3090" t="s">
        <v>2729</v>
      </c>
      <c r="E110" s="3116">
        <v>0.1</v>
      </c>
      <c r="F110" s="3116">
        <v>15</v>
      </c>
    </row>
    <row r="111" spans="1:6" ht="24">
      <c r="A111" s="3116">
        <v>39</v>
      </c>
      <c r="B111" s="3787"/>
      <c r="C111" s="3116" t="s">
        <v>2730</v>
      </c>
      <c r="D111" s="3090" t="s">
        <v>2731</v>
      </c>
      <c r="E111" s="3116">
        <v>0.1</v>
      </c>
      <c r="F111" s="3116">
        <v>15</v>
      </c>
    </row>
    <row r="112" spans="1:6" ht="24">
      <c r="A112" s="3116">
        <v>40</v>
      </c>
      <c r="B112" s="3796"/>
      <c r="C112" s="3116" t="s">
        <v>2732</v>
      </c>
      <c r="D112" s="3090" t="s">
        <v>2733</v>
      </c>
      <c r="E112" s="3116">
        <v>0.1</v>
      </c>
      <c r="F112" s="3116">
        <v>15</v>
      </c>
    </row>
    <row r="113" spans="1:6" ht="13.5">
      <c r="A113" s="3116">
        <v>41</v>
      </c>
      <c r="B113" s="3797" t="s">
        <v>2734</v>
      </c>
      <c r="C113" s="3116" t="s">
        <v>2735</v>
      </c>
      <c r="D113" s="3090" t="s">
        <v>2736</v>
      </c>
      <c r="E113" s="3116">
        <v>0.1</v>
      </c>
      <c r="F113" s="3116">
        <v>15</v>
      </c>
    </row>
    <row r="114" spans="1:6" ht="13.5">
      <c r="A114" s="3116">
        <v>42</v>
      </c>
      <c r="B114" s="3797"/>
      <c r="C114" s="3116" t="s">
        <v>2737</v>
      </c>
      <c r="D114" s="3090" t="s">
        <v>2738</v>
      </c>
      <c r="E114" s="3116">
        <v>0.1</v>
      </c>
      <c r="F114" s="3116">
        <v>15</v>
      </c>
    </row>
    <row r="115" spans="1:6" ht="24">
      <c r="A115" s="3116">
        <v>43</v>
      </c>
      <c r="B115" s="3797"/>
      <c r="C115" s="3116" t="s">
        <v>2739</v>
      </c>
      <c r="D115" s="3090" t="s">
        <v>2740</v>
      </c>
      <c r="E115" s="3116">
        <v>0.1</v>
      </c>
      <c r="F115" s="3116">
        <v>15</v>
      </c>
    </row>
    <row r="116" spans="1:6" ht="13.5">
      <c r="A116" s="3116">
        <v>44</v>
      </c>
      <c r="B116" s="3792" t="s">
        <v>2741</v>
      </c>
      <c r="C116" s="3116" t="s">
        <v>2742</v>
      </c>
      <c r="D116" s="3090" t="s">
        <v>2743</v>
      </c>
      <c r="E116" s="3116">
        <v>0.1</v>
      </c>
      <c r="F116" s="3116">
        <v>15</v>
      </c>
    </row>
    <row r="117" spans="1:6" ht="24">
      <c r="A117" s="3116">
        <v>45</v>
      </c>
      <c r="B117" s="3796"/>
      <c r="C117" s="3090" t="s">
        <v>2744</v>
      </c>
      <c r="D117" s="3090" t="s">
        <v>2745</v>
      </c>
      <c r="E117" s="3116">
        <v>0.1</v>
      </c>
      <c r="F117" s="3116">
        <v>15</v>
      </c>
    </row>
    <row r="118" spans="1:6" ht="24">
      <c r="A118" s="3116">
        <v>46</v>
      </c>
      <c r="B118" s="3792" t="s">
        <v>2746</v>
      </c>
      <c r="C118" s="3116" t="s">
        <v>2747</v>
      </c>
      <c r="D118" s="3090" t="s">
        <v>2748</v>
      </c>
      <c r="E118" s="3116">
        <v>0.1</v>
      </c>
      <c r="F118" s="3116">
        <v>15</v>
      </c>
    </row>
    <row r="119" spans="1:6" ht="24">
      <c r="A119" s="3116">
        <v>47</v>
      </c>
      <c r="B119" s="3796"/>
      <c r="C119" s="3116" t="s">
        <v>2749</v>
      </c>
      <c r="D119" s="3090" t="s">
        <v>2750</v>
      </c>
      <c r="E119" s="3116">
        <v>0.1</v>
      </c>
      <c r="F119" s="3116">
        <v>15</v>
      </c>
    </row>
    <row r="120" spans="1:6" ht="13.5">
      <c r="A120" s="3116">
        <v>48</v>
      </c>
      <c r="B120" s="3792" t="s">
        <v>2751</v>
      </c>
      <c r="C120" s="3116" t="s">
        <v>2752</v>
      </c>
      <c r="D120" s="3090" t="s">
        <v>2753</v>
      </c>
      <c r="E120" s="3116">
        <v>0.1</v>
      </c>
      <c r="F120" s="3116">
        <v>15</v>
      </c>
    </row>
    <row r="121" spans="1:6" ht="13.5">
      <c r="A121" s="3116">
        <v>49</v>
      </c>
      <c r="B121" s="3796"/>
      <c r="C121" s="3116" t="s">
        <v>2754</v>
      </c>
      <c r="D121" s="3090" t="s">
        <v>2755</v>
      </c>
      <c r="E121" s="3116">
        <v>0.1</v>
      </c>
      <c r="F121" s="3116">
        <v>15</v>
      </c>
    </row>
    <row r="122" spans="1:6" ht="24">
      <c r="A122" s="3116">
        <v>50</v>
      </c>
      <c r="B122" s="3797" t="s">
        <v>2756</v>
      </c>
      <c r="C122" s="3116" t="s">
        <v>2757</v>
      </c>
      <c r="D122" s="3090" t="s">
        <v>2758</v>
      </c>
      <c r="E122" s="3116">
        <v>0.1</v>
      </c>
      <c r="F122" s="3116">
        <v>15</v>
      </c>
    </row>
    <row r="123" spans="1:6" ht="24">
      <c r="A123" s="3116">
        <v>51</v>
      </c>
      <c r="B123" s="3797"/>
      <c r="C123" s="3116" t="s">
        <v>2759</v>
      </c>
      <c r="D123" s="3090" t="s">
        <v>2760</v>
      </c>
      <c r="E123" s="3116">
        <v>0.1</v>
      </c>
      <c r="F123" s="3116">
        <v>15</v>
      </c>
    </row>
    <row r="124" spans="1:6" ht="24">
      <c r="A124" s="3116">
        <v>52</v>
      </c>
      <c r="B124" s="3797" t="s">
        <v>2761</v>
      </c>
      <c r="C124" s="3116" t="s">
        <v>2762</v>
      </c>
      <c r="D124" s="3090" t="s">
        <v>2763</v>
      </c>
      <c r="E124" s="3116">
        <v>0.1</v>
      </c>
      <c r="F124" s="3116">
        <v>15</v>
      </c>
    </row>
    <row r="125" spans="1:6" ht="24">
      <c r="A125" s="3116">
        <v>53</v>
      </c>
      <c r="B125" s="3797"/>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97" t="s">
        <v>2769</v>
      </c>
      <c r="C127" s="3116" t="s">
        <v>2770</v>
      </c>
      <c r="D127" s="3090" t="s">
        <v>2771</v>
      </c>
      <c r="E127" s="3116">
        <v>0.1</v>
      </c>
      <c r="F127" s="3116">
        <v>15</v>
      </c>
    </row>
    <row r="128" spans="1:6" ht="13.5">
      <c r="A128" s="3116">
        <v>56</v>
      </c>
      <c r="B128" s="3797"/>
      <c r="C128" s="3116" t="s">
        <v>2772</v>
      </c>
      <c r="D128" s="3090" t="s">
        <v>2773</v>
      </c>
      <c r="E128" s="3116">
        <v>0.1</v>
      </c>
      <c r="F128" s="3116">
        <v>15</v>
      </c>
    </row>
    <row r="129" spans="1:6" ht="24">
      <c r="A129" s="3116">
        <v>57</v>
      </c>
      <c r="B129" s="3797"/>
      <c r="C129" s="3116" t="s">
        <v>2774</v>
      </c>
      <c r="D129" s="3090" t="s">
        <v>2775</v>
      </c>
      <c r="E129" s="3116">
        <v>0.1</v>
      </c>
      <c r="F129" s="3116">
        <v>15</v>
      </c>
    </row>
    <row r="130" spans="1:6" ht="24">
      <c r="A130" s="3116">
        <v>58</v>
      </c>
      <c r="B130" s="3797" t="s">
        <v>2776</v>
      </c>
      <c r="C130" s="3116" t="s">
        <v>2777</v>
      </c>
      <c r="D130" s="3090" t="s">
        <v>2778</v>
      </c>
      <c r="E130" s="3116">
        <v>0.1</v>
      </c>
      <c r="F130" s="3116">
        <v>15</v>
      </c>
    </row>
    <row r="131" spans="1:6" ht="13.5">
      <c r="A131" s="3116">
        <v>59</v>
      </c>
      <c r="B131" s="3797"/>
      <c r="C131" s="3116" t="s">
        <v>2779</v>
      </c>
      <c r="D131" s="3090" t="s">
        <v>2780</v>
      </c>
      <c r="E131" s="3116">
        <v>0.1</v>
      </c>
      <c r="F131" s="3116">
        <v>15</v>
      </c>
    </row>
    <row r="132" spans="1:6" ht="13.5">
      <c r="A132" s="3116">
        <v>60</v>
      </c>
      <c r="B132" s="3792" t="s">
        <v>2781</v>
      </c>
      <c r="C132" s="3116" t="s">
        <v>2782</v>
      </c>
      <c r="D132" s="3090" t="s">
        <v>2783</v>
      </c>
      <c r="E132" s="3116">
        <v>0.1</v>
      </c>
      <c r="F132" s="3116">
        <v>15</v>
      </c>
    </row>
    <row r="133" spans="1:6" ht="13.5">
      <c r="A133" s="3116">
        <v>61</v>
      </c>
      <c r="B133" s="3796"/>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97" t="s">
        <v>2789</v>
      </c>
      <c r="C135" s="3116" t="s">
        <v>2790</v>
      </c>
      <c r="D135" s="3090" t="s">
        <v>2791</v>
      </c>
      <c r="E135" s="3116">
        <v>0.1</v>
      </c>
      <c r="F135" s="3116">
        <v>15</v>
      </c>
    </row>
    <row r="136" spans="1:6" ht="13.5">
      <c r="A136" s="3116">
        <v>64</v>
      </c>
      <c r="B136" s="3797"/>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3"/>
      <c r="B4" s="3482" t="s">
        <v>917</v>
      </c>
      <c r="C4" s="3482"/>
      <c r="D4" s="3482"/>
      <c r="E4" s="1493"/>
    </row>
    <row r="5" spans="1:5" ht="16.5" thickTop="1">
      <c r="A5" s="1491"/>
      <c r="B5" s="3480" t="s">
        <v>909</v>
      </c>
      <c r="C5" s="1494" t="s">
        <v>910</v>
      </c>
      <c r="D5" s="850">
        <f ca="1">结果表!H101</f>
        <v>265</v>
      </c>
      <c r="E5" s="1491"/>
    </row>
    <row r="6" spans="1:5" ht="15.75">
      <c r="A6" s="1491"/>
      <c r="B6" s="3480"/>
      <c r="C6" s="1494" t="s">
        <v>911</v>
      </c>
      <c r="D6" s="850" t="str">
        <f ca="1">NUMBERSTRING(INT(D5*10000),2)&amp;"元整"</f>
        <v>贰佰陆拾伍万元整</v>
      </c>
      <c r="E6" s="1491"/>
    </row>
    <row r="7" spans="1:5" ht="15.75">
      <c r="A7" s="1491"/>
      <c r="B7" s="3485"/>
      <c r="C7" s="1495" t="s">
        <v>912</v>
      </c>
      <c r="D7" s="851">
        <f ca="1">结果表!H102</f>
        <v>35021</v>
      </c>
      <c r="E7" s="1491"/>
    </row>
    <row r="8" spans="1:5" ht="15.75">
      <c r="A8" s="1491"/>
      <c r="B8" s="3486" t="str">
        <f>结果表!E103</f>
        <v>2.估价师知悉的法定优先受偿款</v>
      </c>
      <c r="C8" s="1496" t="s">
        <v>913</v>
      </c>
      <c r="D8" s="851">
        <f>结果表!H103</f>
        <v>0</v>
      </c>
      <c r="E8" s="1491"/>
    </row>
    <row r="9" spans="1:5" ht="15.75">
      <c r="A9" s="1491"/>
      <c r="B9" s="348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9" t="str">
        <f>结果表!E107</f>
        <v>3.房地产抵押价值</v>
      </c>
      <c r="C13" s="1499" t="s">
        <v>910</v>
      </c>
      <c r="D13" s="853">
        <f ca="1">结果表!H107</f>
        <v>265</v>
      </c>
      <c r="E13" s="1491"/>
    </row>
    <row r="14" spans="1:5" ht="15.75">
      <c r="A14" s="1491"/>
      <c r="B14" s="3480"/>
      <c r="C14" s="1494" t="s">
        <v>911</v>
      </c>
      <c r="D14" s="850" t="str">
        <f ca="1">NUMBERSTRING(INT(D13*10000),2)&amp;"元整"</f>
        <v>贰佰陆拾伍万元整</v>
      </c>
      <c r="E14" s="1491"/>
    </row>
    <row r="15" spans="1:5" ht="15">
      <c r="A15" s="1491"/>
      <c r="B15" s="3485"/>
      <c r="C15" s="1495" t="s">
        <v>921</v>
      </c>
      <c r="D15" s="859">
        <f ca="1">结果表!H108</f>
        <v>35021</v>
      </c>
      <c r="E15" s="1491"/>
    </row>
    <row r="16" spans="1:5" ht="15">
      <c r="A16" s="1491"/>
      <c r="B16" s="3486" t="str">
        <f>结果表!E109</f>
        <v>——</v>
      </c>
      <c r="C16" s="1499" t="s">
        <v>922</v>
      </c>
      <c r="D16" s="1500" t="str">
        <f>结果表!H109</f>
        <v>——</v>
      </c>
      <c r="E16" s="1491"/>
    </row>
    <row r="17" spans="1:5" ht="15.75">
      <c r="A17" s="1491"/>
      <c r="B17" s="3487"/>
      <c r="C17" s="1494" t="s">
        <v>923</v>
      </c>
      <c r="D17" s="850" t="e">
        <f>NUMBERSTRING(INT(D16*10000),2)&amp;"元整"</f>
        <v>#VALUE!</v>
      </c>
      <c r="E17" s="1491"/>
    </row>
    <row r="18" spans="1:5" ht="15">
      <c r="A18" s="1491"/>
      <c r="B18" s="3488"/>
      <c r="C18" s="1495" t="s">
        <v>912</v>
      </c>
      <c r="D18" s="859" t="str">
        <f>结果表!H110</f>
        <v>——</v>
      </c>
      <c r="E18" s="1491"/>
    </row>
    <row r="19" spans="1:5" ht="15.75">
      <c r="A19" s="1491"/>
      <c r="B19" s="3479" t="str">
        <f>结果表!E111</f>
        <v>——</v>
      </c>
      <c r="C19" s="1499" t="s">
        <v>910</v>
      </c>
      <c r="D19" s="851" t="str">
        <f>结果表!H111</f>
        <v>——</v>
      </c>
      <c r="E19" s="1491"/>
    </row>
    <row r="20" spans="1:5" ht="15.75">
      <c r="A20" s="1491"/>
      <c r="B20" s="3480"/>
      <c r="C20" s="1494" t="s">
        <v>923</v>
      </c>
      <c r="D20" s="850" t="e">
        <f>NUMBERSTRING(INT(D19*10000),2)&amp;"元整"</f>
        <v>#VALUE!</v>
      </c>
      <c r="E20" s="1491"/>
    </row>
    <row r="21" spans="1:5" ht="15.75" thickBot="1">
      <c r="A21" s="1491"/>
      <c r="B21" s="348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27815</v>
      </c>
      <c r="C2" s="2" t="s">
        <v>106</v>
      </c>
      <c r="D2" s="199"/>
      <c r="E2" s="199"/>
      <c r="F2" s="199"/>
      <c r="G2" s="199"/>
    </row>
    <row r="3" spans="1:7" s="200" customFormat="1" ht="18" customHeight="1" thickBot="1">
      <c r="A3" s="203" t="s">
        <v>58</v>
      </c>
      <c r="B3" s="204">
        <f ca="1">ROUND(B2*10000/'数据-汇总表'!E3,0)</f>
        <v>3680206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75.58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75.58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75.58</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61" t="s">
        <v>94</v>
      </c>
    </row>
    <row r="43" spans="1:7" ht="13.5" customHeight="1">
      <c r="A43" s="780" t="s">
        <v>347</v>
      </c>
      <c r="B43" s="215" t="s">
        <v>426</v>
      </c>
      <c r="C43" s="238">
        <f ca="1">ROUND(IF('数据-取费表'!B22&lt;=1,C39*F22*'数据-取费表'!B21/2,C39*(POWER((1+F22),'数据-取费表'!B21/2)-1)),0)</f>
        <v>0</v>
      </c>
      <c r="D43" s="238"/>
      <c r="E43" s="238"/>
      <c r="F43" s="239"/>
      <c r="G43" s="3662"/>
    </row>
    <row r="44" spans="1:7" ht="13.5" customHeight="1">
      <c r="A44" s="780" t="s">
        <v>348</v>
      </c>
      <c r="B44" s="215" t="s">
        <v>428</v>
      </c>
      <c r="C44" s="238">
        <f ca="1">ROUND(IF('数据-取费表'!B22&lt;=1,C40*F22*'数据-取费表'!B21/2,C40*(POWER((1+F22),'数据-取费表'!B21/2)-1)),4)</f>
        <v>6.9999999999999999E-4</v>
      </c>
      <c r="D44" s="238"/>
      <c r="E44" s="238"/>
      <c r="F44" s="239"/>
      <c r="G44" s="3663"/>
    </row>
    <row r="45" spans="1:7" s="214" customFormat="1" ht="13.5" customHeight="1">
      <c r="A45" s="777" t="s">
        <v>341</v>
      </c>
      <c r="B45" s="244" t="s">
        <v>85</v>
      </c>
      <c r="C45" s="245">
        <f>C46</f>
        <v>6</v>
      </c>
      <c r="D45" s="235">
        <f>C47</f>
        <v>3.0000000000000001E-3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49</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36</v>
      </c>
      <c r="D51" s="232"/>
      <c r="E51" s="232"/>
      <c r="F51" s="264"/>
      <c r="G51" s="234" t="s">
        <v>37</v>
      </c>
    </row>
    <row r="52" spans="1:7" s="208" customFormat="1" ht="16.5" thickBot="1">
      <c r="A52" s="265" t="s">
        <v>38</v>
      </c>
      <c r="B52" s="266"/>
      <c r="C52" s="267">
        <f ca="1">C31+C51</f>
        <v>27815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0" t="s">
        <v>2839</v>
      </c>
      <c r="B1" s="3800"/>
      <c r="C1" s="3800"/>
      <c r="D1" s="3800"/>
      <c r="E1" s="3800"/>
      <c r="F1" s="3800"/>
      <c r="G1" s="3801"/>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2"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798" t="s">
        <v>2866</v>
      </c>
      <c r="B3" s="3228"/>
      <c r="C3" s="3229" t="s">
        <v>2811</v>
      </c>
      <c r="D3" s="3229" t="s">
        <v>2867</v>
      </c>
      <c r="E3" s="3229" t="s">
        <v>2813</v>
      </c>
      <c r="F3" s="3229" t="s">
        <v>2868</v>
      </c>
      <c r="G3" s="3229" t="s">
        <v>2631</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2" thickBot="1">
      <c r="A4" s="3799"/>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2"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2"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2"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2"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2" t="s">
        <v>3181</v>
      </c>
      <c r="B1" s="3802"/>
    </row>
    <row r="2" spans="1:7" ht="14.25" thickBot="1">
      <c r="A2" s="3253"/>
      <c r="B2" s="3253"/>
    </row>
    <row r="3" spans="1:7" ht="14.25" thickBot="1">
      <c r="A3" s="3253"/>
      <c r="B3" s="3253"/>
      <c r="C3" s="3254" t="s">
        <v>2811</v>
      </c>
      <c r="D3" s="3254" t="s">
        <v>2867</v>
      </c>
      <c r="E3" s="3254" t="s">
        <v>2813</v>
      </c>
      <c r="F3" s="3254" t="s">
        <v>2868</v>
      </c>
      <c r="G3" s="3254" t="s">
        <v>2631</v>
      </c>
    </row>
    <row r="4" spans="1:7" ht="14.2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4.2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4.2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4.2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4.2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4.2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4.2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4.2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4.2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4.2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4.2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03" t="s">
        <v>3232</v>
      </c>
      <c r="B1" s="3803"/>
      <c r="C1" s="3803"/>
      <c r="D1" s="3803"/>
      <c r="E1" s="3803"/>
      <c r="F1" s="3804"/>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45455</v>
      </c>
      <c r="B1" s="3208" t="s">
        <v>3371</v>
      </c>
      <c r="C1" s="3209"/>
      <c r="D1" s="3209"/>
      <c r="E1" s="3209"/>
      <c r="F1" s="3209"/>
      <c r="G1" s="3209"/>
      <c r="H1" s="3209"/>
      <c r="I1" s="3209"/>
      <c r="J1" s="3163"/>
      <c r="K1" s="3209" t="s">
        <v>454</v>
      </c>
      <c r="L1" s="3209"/>
      <c r="M1" s="3209"/>
      <c r="N1" s="3209"/>
      <c r="O1" s="3209"/>
      <c r="P1" s="3209"/>
      <c r="Q1" s="3163"/>
      <c r="R1" s="3805" t="s">
        <v>456</v>
      </c>
      <c r="S1" s="3806"/>
      <c r="T1" s="3806"/>
      <c r="U1" s="3806"/>
      <c r="V1" s="3806"/>
      <c r="W1" s="3806"/>
      <c r="X1" s="3163"/>
      <c r="Y1" s="3805" t="s">
        <v>457</v>
      </c>
      <c r="Z1" s="3806"/>
      <c r="AA1" s="3806"/>
      <c r="AB1" s="3806"/>
      <c r="AC1" s="3806"/>
      <c r="AD1" s="3806"/>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3374</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3375</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3377</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3378</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3370</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3369</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3368</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3364</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3355</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2820</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2821</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2822</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2823</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2824</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3366</v>
      </c>
    </row>
    <row r="21" spans="1:30" s="3007" customFormat="1">
      <c r="I21" s="3206" t="s">
        <v>2825</v>
      </c>
    </row>
    <row r="22" spans="1:30" s="3007" customFormat="1"/>
    <row r="23" spans="1:30" s="3207" customFormat="1" ht="12.75">
      <c r="B23" s="3208" t="s">
        <v>3372</v>
      </c>
      <c r="C23" s="3209"/>
      <c r="D23" s="3209"/>
      <c r="E23" s="3209"/>
      <c r="F23" s="3209"/>
      <c r="G23" s="3209"/>
      <c r="H23" s="3209"/>
      <c r="I23" s="3209"/>
      <c r="J23" s="3163"/>
      <c r="K23" s="3209" t="s">
        <v>2826</v>
      </c>
      <c r="L23" s="3209"/>
      <c r="M23" s="3209"/>
      <c r="N23" s="3209"/>
      <c r="O23" s="3209"/>
      <c r="P23" s="3209"/>
      <c r="Q23" s="3163"/>
      <c r="R23" s="3805" t="s">
        <v>2827</v>
      </c>
      <c r="S23" s="3806"/>
      <c r="T23" s="3806"/>
      <c r="U23" s="3806"/>
      <c r="V23" s="3806"/>
      <c r="W23" s="3806"/>
      <c r="X23" s="3163"/>
      <c r="Y23" s="3805" t="s">
        <v>2828</v>
      </c>
      <c r="Z23" s="3806"/>
      <c r="AA23" s="3806"/>
      <c r="AB23" s="3806"/>
      <c r="AC23" s="3806"/>
      <c r="AD23" s="3806"/>
    </row>
    <row r="24" spans="1:30" s="3141" customFormat="1" ht="14.25" thickBot="1">
      <c r="B24" s="3142"/>
      <c r="C24" s="3143"/>
      <c r="D24" s="3144" t="s">
        <v>2829</v>
      </c>
      <c r="E24" s="3145" t="s">
        <v>2830</v>
      </c>
      <c r="F24" s="3145" t="s">
        <v>2831</v>
      </c>
      <c r="G24" s="3145" t="s">
        <v>2832</v>
      </c>
      <c r="H24" s="3145"/>
      <c r="I24" s="3145" t="s">
        <v>2833</v>
      </c>
      <c r="J24" s="3146"/>
      <c r="K24" s="3144" t="s">
        <v>2829</v>
      </c>
      <c r="L24" s="3145" t="s">
        <v>2830</v>
      </c>
      <c r="M24" s="3145" t="s">
        <v>2831</v>
      </c>
      <c r="N24" s="3145" t="s">
        <v>2832</v>
      </c>
      <c r="O24" s="3145"/>
      <c r="P24" s="3145" t="s">
        <v>2833</v>
      </c>
      <c r="Q24" s="3146"/>
      <c r="R24" s="3144" t="s">
        <v>2829</v>
      </c>
      <c r="S24" s="3145" t="s">
        <v>2830</v>
      </c>
      <c r="T24" s="3145" t="s">
        <v>2831</v>
      </c>
      <c r="U24" s="3145" t="s">
        <v>2832</v>
      </c>
      <c r="V24" s="3145"/>
      <c r="W24" s="3145" t="s">
        <v>2833</v>
      </c>
      <c r="X24" s="3146"/>
      <c r="Y24" s="3144" t="s">
        <v>2829</v>
      </c>
      <c r="Z24" s="3145" t="s">
        <v>2830</v>
      </c>
      <c r="AA24" s="3145" t="s">
        <v>2831</v>
      </c>
      <c r="AB24" s="3145" t="s">
        <v>2832</v>
      </c>
      <c r="AC24" s="3145"/>
      <c r="AD24" s="3145" t="s">
        <v>2833</v>
      </c>
    </row>
    <row r="25" spans="1:30" s="3159" customFormat="1" ht="12.75">
      <c r="A25" s="3147" t="s">
        <v>2834</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3374</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3375</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3379</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3378</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3373</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3369</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3368</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3365</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3355</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2835</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2836</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2837</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2838</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2824</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2" t="s">
        <v>452</v>
      </c>
      <c r="C1" s="3812"/>
      <c r="D1" s="3812"/>
      <c r="E1" s="3812"/>
      <c r="F1" s="3812"/>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45455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2309</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9" t="str">
        <f>IF(项目基本情况!B9="房地产市场价值","估价结果一览表","结果表-2")</f>
        <v>结果表-2</v>
      </c>
      <c r="B1" s="3489"/>
      <c r="C1" s="3489"/>
      <c r="D1" s="3489"/>
      <c r="E1" s="3489"/>
      <c r="F1" s="3489"/>
      <c r="G1" s="3489"/>
      <c r="H1" s="3489"/>
      <c r="I1" s="3489"/>
    </row>
    <row r="2" spans="1:9" ht="30" customHeight="1" thickTop="1">
      <c r="A2" s="3490" t="s">
        <v>928</v>
      </c>
      <c r="B2" s="3490" t="s">
        <v>929</v>
      </c>
      <c r="C2" s="3490" t="s">
        <v>930</v>
      </c>
      <c r="D2" s="3490" t="str">
        <f>结果表!D116</f>
        <v>出让国有建设用地使用权价值</v>
      </c>
      <c r="E2" s="3490"/>
      <c r="F2" s="3490" t="str">
        <f>结果表!F116</f>
        <v>在建建筑物价值</v>
      </c>
      <c r="G2" s="3490"/>
      <c r="H2" s="3490" t="str">
        <f>IF(项目基本情况!B9="房地产市场价值","房地产市场价值","房地产价值")</f>
        <v>房地产价值</v>
      </c>
      <c r="I2" s="3490"/>
    </row>
    <row r="3" spans="1:9" ht="15">
      <c r="A3" s="3491"/>
      <c r="B3" s="3491"/>
      <c r="C3" s="3491"/>
      <c r="D3" s="854" t="s">
        <v>925</v>
      </c>
      <c r="E3" s="854" t="s">
        <v>931</v>
      </c>
      <c r="F3" s="854" t="s">
        <v>925</v>
      </c>
      <c r="G3" s="854" t="s">
        <v>926</v>
      </c>
      <c r="H3" s="854" t="s">
        <v>925</v>
      </c>
      <c r="I3" s="854" t="s">
        <v>926</v>
      </c>
    </row>
    <row r="4" spans="1:9" ht="30">
      <c r="A4" s="1505" t="str">
        <f>项目基本情况!S2</f>
        <v>北京市海淀区长春桥路11号2号楼1层102房地产</v>
      </c>
      <c r="B4" s="854">
        <f>项目基本情况!C17</f>
        <v>75.58</v>
      </c>
      <c r="C4" s="854">
        <f>项目基本情况!C18</f>
        <v>0</v>
      </c>
      <c r="D4" s="854">
        <f>结果表!D118</f>
        <v>0</v>
      </c>
      <c r="E4" s="854">
        <f>结果表!E118</f>
        <v>0</v>
      </c>
      <c r="F4" s="854">
        <f>结果表!F118</f>
        <v>0</v>
      </c>
      <c r="G4" s="854">
        <f>结果表!G118</f>
        <v>0</v>
      </c>
      <c r="H4" s="854">
        <f ca="1">结果表!H118</f>
        <v>265</v>
      </c>
      <c r="I4" s="854">
        <f ca="1">结果表!I118</f>
        <v>35021</v>
      </c>
    </row>
    <row r="5" spans="1:9" ht="30" customHeight="1">
      <c r="A5" s="3491" t="s">
        <v>927</v>
      </c>
      <c r="B5" s="3491"/>
      <c r="C5" s="3491"/>
      <c r="D5" s="3491" t="str">
        <f>结果表!D119</f>
        <v>零元整</v>
      </c>
      <c r="E5" s="3491"/>
      <c r="F5" s="3491" t="str">
        <f>结果表!F119</f>
        <v>零元整</v>
      </c>
      <c r="G5" s="3491"/>
      <c r="H5" s="3491" t="str">
        <f ca="1">结果表!H119</f>
        <v>贰佰陆拾伍万元整</v>
      </c>
      <c r="I5" s="3491"/>
    </row>
    <row r="6" spans="1:9" ht="15.75">
      <c r="A6" s="3492" t="str">
        <f>结果表!A120</f>
        <v>估价师知悉的法定优先受偿款</v>
      </c>
      <c r="B6" s="3492"/>
      <c r="C6" s="3492"/>
      <c r="D6" s="3492">
        <f>结果表!D120</f>
        <v>0</v>
      </c>
      <c r="E6" s="3492"/>
      <c r="F6" s="3492"/>
      <c r="G6" s="3492"/>
      <c r="H6" s="3492"/>
      <c r="I6" s="3492"/>
    </row>
    <row r="7" spans="1:9" ht="15">
      <c r="A7" s="3491" t="s">
        <v>927</v>
      </c>
      <c r="B7" s="3491"/>
      <c r="C7" s="3491"/>
      <c r="D7" s="3493" t="str">
        <f>结果表!D121</f>
        <v>零元整</v>
      </c>
      <c r="E7" s="3494"/>
      <c r="F7" s="3494"/>
      <c r="G7" s="3494"/>
      <c r="H7" s="3494"/>
      <c r="I7" s="3495"/>
    </row>
    <row r="8" spans="1:9" ht="15.75">
      <c r="A8" s="3492" t="str">
        <f>结果表!A122</f>
        <v>房地产抵押价值</v>
      </c>
      <c r="B8" s="3492"/>
      <c r="C8" s="3492"/>
      <c r="D8" s="3492">
        <f ca="1">结果表!D122</f>
        <v>265</v>
      </c>
      <c r="E8" s="3492"/>
      <c r="F8" s="3492"/>
      <c r="G8" s="3492"/>
      <c r="H8" s="3492"/>
      <c r="I8" s="3492"/>
    </row>
    <row r="9" spans="1:9" ht="15">
      <c r="A9" s="3491" t="s">
        <v>927</v>
      </c>
      <c r="B9" s="3491"/>
      <c r="C9" s="3491"/>
      <c r="D9" s="3491" t="str">
        <f ca="1">结果表!D123</f>
        <v>贰佰陆拾伍万元整</v>
      </c>
      <c r="E9" s="3491"/>
      <c r="F9" s="3491"/>
      <c r="G9" s="3491"/>
      <c r="H9" s="3491"/>
      <c r="I9" s="3491"/>
    </row>
    <row r="10" spans="1:9" ht="15.75">
      <c r="A10" s="3492" t="str">
        <f>结果表!A124</f>
        <v/>
      </c>
      <c r="B10" s="3492"/>
      <c r="C10" s="3492"/>
      <c r="D10" s="3492" t="str">
        <f>结果表!D124</f>
        <v>——</v>
      </c>
      <c r="E10" s="3492"/>
      <c r="F10" s="3492"/>
      <c r="G10" s="3492"/>
      <c r="H10" s="3492"/>
      <c r="I10" s="3492"/>
    </row>
    <row r="11" spans="1:9" ht="15">
      <c r="A11" s="3491" t="s">
        <v>927</v>
      </c>
      <c r="B11" s="3491"/>
      <c r="C11" s="3491"/>
      <c r="D11" s="3491" t="e">
        <f>结果表!D125</f>
        <v>#VALUE!</v>
      </c>
      <c r="E11" s="3491"/>
      <c r="F11" s="3491"/>
      <c r="G11" s="3491"/>
      <c r="H11" s="3491"/>
      <c r="I11" s="3491"/>
    </row>
    <row r="12" spans="1:9" ht="15.75">
      <c r="A12" s="3492" t="str">
        <f>结果表!A126</f>
        <v/>
      </c>
      <c r="B12" s="3492"/>
      <c r="C12" s="3492"/>
      <c r="D12" s="3492" t="str">
        <f>结果表!D126</f>
        <v>——</v>
      </c>
      <c r="E12" s="3492"/>
      <c r="F12" s="3492"/>
      <c r="G12" s="3492"/>
      <c r="H12" s="3492"/>
      <c r="I12" s="3492"/>
    </row>
    <row r="13" spans="1:9" ht="15.75" thickBot="1">
      <c r="A13" s="3496" t="s">
        <v>927</v>
      </c>
      <c r="B13" s="3496"/>
      <c r="C13" s="3496"/>
      <c r="D13" s="3496" t="e">
        <f>结果表!D127</f>
        <v>#VALUE!</v>
      </c>
      <c r="E13" s="3496"/>
      <c r="F13" s="3496"/>
      <c r="G13" s="3496"/>
      <c r="H13" s="3496"/>
      <c r="I13" s="3496"/>
    </row>
    <row r="14" spans="1:9" ht="15" thickTop="1">
      <c r="A14" s="3497" t="s">
        <v>932</v>
      </c>
      <c r="B14" s="3497"/>
      <c r="C14" s="3497"/>
      <c r="D14" s="3497"/>
      <c r="E14" s="3497"/>
      <c r="F14" s="3497"/>
      <c r="G14" s="3497"/>
      <c r="H14" s="3497"/>
      <c r="I14" s="349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8" t="s">
        <v>949</v>
      </c>
      <c r="B1" s="3498"/>
      <c r="C1" s="3498"/>
      <c r="D1" s="3498"/>
    </row>
    <row r="2" spans="1:4" ht="18">
      <c r="A2" s="3499" t="s">
        <v>933</v>
      </c>
      <c r="B2" s="3499"/>
      <c r="C2" s="3499"/>
      <c r="D2" s="3499"/>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499" t="s">
        <v>939</v>
      </c>
      <c r="B6" s="3499"/>
      <c r="C6" s="3499"/>
      <c r="D6" s="349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0"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2"/>
      <c r="C12" s="3502"/>
      <c r="D12" s="3502"/>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2"/>
      <c r="C13" s="3502"/>
      <c r="D13" s="3502"/>
    </row>
    <row r="14" spans="1:4" ht="15.75" customHeight="1">
      <c r="A14" s="3501" t="str">
        <f>IF(项目基本情况!B8="抵押","4.本次评估估价师所知悉的法定优先受偿款情况说明如下：","——")</f>
        <v>4.本次评估估价师所知悉的法定优先受偿款情况说明如下：</v>
      </c>
      <c r="B14" s="3502"/>
      <c r="C14" s="3502"/>
      <c r="D14" s="3502"/>
    </row>
    <row r="15" spans="1:4" ht="42" customHeight="1">
      <c r="A15" s="350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1"/>
      <c r="C15" s="3501"/>
      <c r="D15" s="3501"/>
    </row>
    <row r="16" spans="1:4" ht="30" customHeight="1">
      <c r="A16" s="3504" t="s">
        <v>943</v>
      </c>
      <c r="B16" s="3504"/>
      <c r="C16" s="3504"/>
      <c r="D16" s="3504"/>
    </row>
    <row r="17" spans="1:4" ht="144" customHeight="1">
      <c r="A17" s="3504" t="s">
        <v>944</v>
      </c>
      <c r="B17" s="3504"/>
      <c r="C17" s="3504"/>
      <c r="D17" s="3504"/>
    </row>
    <row r="18" spans="1:4" ht="15.75" customHeight="1">
      <c r="A18" s="3501" t="str">
        <f>IF(项目基本情况!B8="抵押",结果表!K120,"——")</f>
        <v>故，本次评估不存在估价师知悉的法定优先受偿款</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1"/>
      <c r="C20" s="3501"/>
      <c r="D20" s="3501"/>
    </row>
    <row r="21" spans="1:4" ht="57.75" customHeight="1">
      <c r="A21" s="35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5"/>
      <c r="C21" s="3505"/>
      <c r="D21" s="3505"/>
    </row>
    <row r="22" spans="1:4" ht="18.75" customHeight="1">
      <c r="A22" s="3506" t="s">
        <v>945</v>
      </c>
      <c r="B22" s="3506"/>
      <c r="C22" s="3506"/>
      <c r="D22" s="350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3">
        <v>42551</v>
      </c>
      <c r="D31" s="35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2" t="s">
        <v>956</v>
      </c>
      <c r="B15" s="3507" t="s">
        <v>109</v>
      </c>
      <c r="C15" s="3508"/>
    </row>
    <row r="16" spans="1:7" ht="13.5">
      <c r="A16" s="3513"/>
      <c r="B16" s="3507" t="s">
        <v>42</v>
      </c>
      <c r="C16" s="3508"/>
    </row>
    <row r="17" spans="1:3" ht="13.5">
      <c r="A17" s="3513"/>
      <c r="B17" s="3510" t="s">
        <v>957</v>
      </c>
      <c r="C17" s="1532" t="s">
        <v>956</v>
      </c>
    </row>
    <row r="18" spans="1:3" ht="13.5">
      <c r="A18" s="3513"/>
      <c r="B18" s="3510"/>
      <c r="C18" s="1532" t="s">
        <v>958</v>
      </c>
    </row>
    <row r="19" spans="1:3" ht="13.5">
      <c r="A19" s="3513"/>
      <c r="B19" s="3510"/>
      <c r="C19" s="1532" t="s">
        <v>959</v>
      </c>
    </row>
    <row r="20" spans="1:3" ht="13.5">
      <c r="A20" s="3514"/>
      <c r="B20" s="3509" t="s">
        <v>960</v>
      </c>
      <c r="C20" s="3508"/>
    </row>
    <row r="21" spans="1:3" ht="13.5">
      <c r="A21" s="1533" t="s">
        <v>961</v>
      </c>
      <c r="B21" s="1534"/>
      <c r="C21" s="1535"/>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2" t="s">
        <v>967</v>
      </c>
    </row>
    <row r="26" spans="1:3" ht="13.5">
      <c r="A26" s="3511"/>
      <c r="B26" s="3510"/>
      <c r="C26" s="1532" t="s">
        <v>968</v>
      </c>
    </row>
    <row r="27" spans="1:3" ht="13.5">
      <c r="A27" s="3511"/>
      <c r="B27" s="3510"/>
      <c r="C27" s="1532" t="s">
        <v>969</v>
      </c>
    </row>
    <row r="28" spans="1:3" ht="13.5">
      <c r="A28" s="3511"/>
      <c r="B28" s="3510"/>
      <c r="C28" s="1532" t="s">
        <v>970</v>
      </c>
    </row>
    <row r="29" spans="1:3" ht="13.5">
      <c r="A29" s="3511"/>
      <c r="B29" s="3510"/>
      <c r="C29" s="1532" t="s">
        <v>971</v>
      </c>
    </row>
    <row r="30" spans="1:3" ht="13.5">
      <c r="A30" s="3511"/>
      <c r="B30" s="3510"/>
      <c r="C30" s="1532" t="s">
        <v>972</v>
      </c>
    </row>
    <row r="31" spans="1:3" ht="13.5">
      <c r="A31" s="3511"/>
      <c r="B31" s="3510"/>
      <c r="C31" s="1532" t="s">
        <v>973</v>
      </c>
    </row>
    <row r="32" spans="1:3" ht="13.5">
      <c r="A32" s="3511"/>
      <c r="B32" s="3510"/>
      <c r="C32" s="1532" t="s">
        <v>974</v>
      </c>
    </row>
    <row r="33" spans="1:3" ht="13.5">
      <c r="A33" s="3511"/>
      <c r="B33" s="351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45455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2160</v>
      </c>
      <c r="B17" s="3515"/>
      <c r="C17" s="3515"/>
      <c r="D17" s="3515"/>
      <c r="E17" s="3515"/>
      <c r="F17" s="3515"/>
      <c r="G17" s="3515"/>
      <c r="H17" s="3515"/>
    </row>
    <row r="18" spans="1:8" ht="24" customHeight="1">
      <c r="A18" s="3516" t="s">
        <v>2161</v>
      </c>
      <c r="B18" s="3516"/>
      <c r="C18" s="3516"/>
      <c r="D18" s="2343"/>
      <c r="E18" s="3517" t="s">
        <v>2162</v>
      </c>
      <c r="F18" s="3516"/>
      <c r="G18" s="351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比较法-租金</vt:lpstr>
      <vt:lpstr>案例</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2024-06-12T08:12:06Z</dcterms:modified>
</cp:coreProperties>
</file>