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9"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介绍"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G4" i="66" l="1"/>
  <c r="N6" i="1"/>
  <c r="Y6" i="1" s="1"/>
  <c r="L64" i="77"/>
  <c r="M4" i="77"/>
  <c r="M5" i="77"/>
  <c r="I38" i="39"/>
  <c r="G38" i="39"/>
  <c r="E38" i="39"/>
  <c r="I7" i="39"/>
  <c r="G7" i="39"/>
  <c r="E7" i="39"/>
  <c r="I5" i="39"/>
  <c r="G5" i="39"/>
  <c r="E5" i="39"/>
  <c r="D71" i="39"/>
  <c r="E71" i="39" s="1"/>
  <c r="F71" i="39" s="1"/>
  <c r="G71" i="39" s="1"/>
  <c r="H71" i="39" s="1"/>
  <c r="I71" i="39" s="1"/>
  <c r="J71" i="39" s="1"/>
  <c r="K71" i="39" s="1"/>
  <c r="L71" i="39" s="1"/>
  <c r="M71" i="39" s="1"/>
  <c r="N71" i="39" s="1"/>
  <c r="O71" i="39" s="1"/>
  <c r="C38" i="39"/>
  <c r="I4" i="66"/>
  <c r="I10" i="66"/>
  <c r="I11" i="66"/>
  <c r="C68" i="77"/>
  <c r="C69" i="77" s="1"/>
  <c r="D12" i="66"/>
  <c r="I5" i="66" l="1"/>
  <c r="I7" i="66"/>
  <c r="I13" i="3"/>
  <c r="H65" i="77"/>
  <c r="K13" i="3" s="1"/>
  <c r="G19" i="6" s="1"/>
  <c r="I6" i="66" l="1"/>
  <c r="G9" i="66"/>
  <c r="I9" i="66" s="1"/>
  <c r="I8" i="66"/>
  <c r="C70" i="77"/>
  <c r="D3" i="39"/>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O19" i="71"/>
  <c r="N19" i="71"/>
  <c r="V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D59" i="71"/>
  <c r="Q58" i="71"/>
  <c r="P58" i="71"/>
  <c r="O58" i="71"/>
  <c r="N58" i="71"/>
  <c r="Q57" i="71"/>
  <c r="P57" i="71"/>
  <c r="O57" i="71"/>
  <c r="N57" i="71"/>
  <c r="Q56" i="71"/>
  <c r="P56" i="71"/>
  <c r="O56" i="71"/>
  <c r="N56" i="71"/>
  <c r="Q55" i="71"/>
  <c r="F56" i="71"/>
  <c r="F57" i="71" s="1"/>
  <c r="F58" i="7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c r="F54" i="71" s="1"/>
  <c r="V54" i="71" s="1"/>
  <c r="P51" i="71"/>
  <c r="E52" i="71"/>
  <c r="E53" i="71" s="1"/>
  <c r="O51" i="71"/>
  <c r="C52" i="71"/>
  <c r="C53" i="71" s="1"/>
  <c r="C54" i="71" s="1"/>
  <c r="N51" i="71"/>
  <c r="B52" i="71"/>
  <c r="B53" i="71" s="1"/>
  <c r="B54" i="71"/>
  <c r="S54" i="71" s="1"/>
  <c r="D51" i="71"/>
  <c r="Q50" i="71"/>
  <c r="P50" i="71"/>
  <c r="O50" i="71"/>
  <c r="N50" i="71"/>
  <c r="Q49" i="71"/>
  <c r="P49" i="71"/>
  <c r="O49" i="71"/>
  <c r="N49" i="71"/>
  <c r="Q48" i="71"/>
  <c r="P48" i="71"/>
  <c r="O48" i="71"/>
  <c r="N48" i="71"/>
  <c r="Q47" i="71"/>
  <c r="F48" i="71" s="1"/>
  <c r="F49" i="71" s="1"/>
  <c r="F50" i="71" s="1"/>
  <c r="V50" i="71"/>
  <c r="P47" i="71"/>
  <c r="E48" i="71"/>
  <c r="E49" i="71" s="1"/>
  <c r="E50" i="71" s="1"/>
  <c r="U50"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P43" i="71"/>
  <c r="E44" i="71" s="1"/>
  <c r="E45" i="71"/>
  <c r="E46" i="71" s="1"/>
  <c r="U46" i="71" s="1"/>
  <c r="O43" i="71"/>
  <c r="C44" i="71"/>
  <c r="N43" i="71"/>
  <c r="B44" i="71"/>
  <c r="B45" i="71" s="1"/>
  <c r="B46" i="71"/>
  <c r="S46" i="71" s="1"/>
  <c r="D43" i="71"/>
  <c r="T42" i="71"/>
  <c r="Q42" i="71"/>
  <c r="P42" i="71"/>
  <c r="O42" i="71"/>
  <c r="N42" i="71"/>
  <c r="D42" i="71"/>
  <c r="Q41" i="71"/>
  <c r="P41" i="71"/>
  <c r="O41" i="71"/>
  <c r="N41" i="71"/>
  <c r="Q40" i="71"/>
  <c r="P40" i="71"/>
  <c r="O40" i="71"/>
  <c r="N40" i="71"/>
  <c r="F41" i="71"/>
  <c r="F42" i="71" s="1"/>
  <c r="V42" i="71" s="1"/>
  <c r="Q39" i="71"/>
  <c r="F40" i="71" s="1"/>
  <c r="P39" i="71"/>
  <c r="E40" i="71" s="1"/>
  <c r="E41" i="71"/>
  <c r="E42" i="71" s="1"/>
  <c r="U42" i="71" s="1"/>
  <c r="O39" i="71"/>
  <c r="C40" i="71"/>
  <c r="N39" i="71"/>
  <c r="B40" i="71"/>
  <c r="B41" i="71" s="1"/>
  <c r="B42" i="71"/>
  <c r="S42" i="71" s="1"/>
  <c r="D39" i="71"/>
  <c r="Q38" i="71"/>
  <c r="P38" i="71"/>
  <c r="O38" i="71"/>
  <c r="N38" i="71"/>
  <c r="Q37" i="71"/>
  <c r="P37" i="71"/>
  <c r="O37" i="71"/>
  <c r="N37" i="71"/>
  <c r="Q36" i="71"/>
  <c r="P36" i="71"/>
  <c r="O36" i="71"/>
  <c r="N36" i="71"/>
  <c r="F37" i="71"/>
  <c r="F38" i="71" s="1"/>
  <c r="V38" i="71" s="1"/>
  <c r="Q35" i="71"/>
  <c r="F36" i="71" s="1"/>
  <c r="P35" i="71"/>
  <c r="E36" i="71" s="1"/>
  <c r="E37" i="71"/>
  <c r="E38" i="71" s="1"/>
  <c r="U38" i="71" s="1"/>
  <c r="O35" i="71"/>
  <c r="C36" i="71"/>
  <c r="D36" i="71" s="1"/>
  <c r="N35" i="71"/>
  <c r="B36" i="71"/>
  <c r="B37" i="71" s="1"/>
  <c r="B38" i="71"/>
  <c r="S38" i="71" s="1"/>
  <c r="D35" i="71"/>
  <c r="Q34" i="71"/>
  <c r="P34" i="71"/>
  <c r="O34" i="71"/>
  <c r="N34" i="71"/>
  <c r="Q33" i="71"/>
  <c r="AB33" i="71" s="1"/>
  <c r="P33" i="71"/>
  <c r="AA33" i="71"/>
  <c r="O33" i="71"/>
  <c r="Y33" i="71"/>
  <c r="Z33" i="71" s="1"/>
  <c r="N33" i="71"/>
  <c r="X33" i="71" s="1"/>
  <c r="Q32" i="71"/>
  <c r="P32" i="71"/>
  <c r="AA32" i="71" s="1"/>
  <c r="O32" i="71"/>
  <c r="Y32" i="71"/>
  <c r="Z32" i="71" s="1"/>
  <c r="N32" i="71"/>
  <c r="X32" i="71" s="1"/>
  <c r="Q31" i="71"/>
  <c r="F32" i="71" s="1"/>
  <c r="F33" i="71" s="1"/>
  <c r="F34" i="71" s="1"/>
  <c r="V34" i="71" s="1"/>
  <c r="P31" i="71"/>
  <c r="O31" i="71"/>
  <c r="N31" i="71"/>
  <c r="D31" i="71"/>
  <c r="Q30" i="71"/>
  <c r="P30" i="71"/>
  <c r="O30" i="71"/>
  <c r="Y30" i="71"/>
  <c r="Z30" i="71" s="1"/>
  <c r="N30" i="71"/>
  <c r="Q29" i="71"/>
  <c r="P29" i="71"/>
  <c r="O29" i="71"/>
  <c r="N29" i="71"/>
  <c r="Q28" i="71"/>
  <c r="P28" i="71"/>
  <c r="O28" i="71"/>
  <c r="Y28" i="71"/>
  <c r="Z28" i="71" s="1"/>
  <c r="N28" i="71"/>
  <c r="F29" i="71"/>
  <c r="F30" i="71" s="1"/>
  <c r="V30" i="71" s="1"/>
  <c r="Q27" i="71"/>
  <c r="F28" i="71" s="1"/>
  <c r="P27" i="71"/>
  <c r="O27" i="71"/>
  <c r="N27" i="71"/>
  <c r="D27" i="71"/>
  <c r="Q26" i="71"/>
  <c r="P26" i="71"/>
  <c r="O26" i="71"/>
  <c r="Y26" i="71"/>
  <c r="Z26" i="71" s="1"/>
  <c r="N26" i="71"/>
  <c r="Q25" i="71"/>
  <c r="P25" i="71"/>
  <c r="O25" i="71"/>
  <c r="N25" i="71"/>
  <c r="Q24" i="71"/>
  <c r="AB24" i="71" s="1"/>
  <c r="P24" i="71"/>
  <c r="O24" i="71"/>
  <c r="N24" i="71"/>
  <c r="Q23" i="71"/>
  <c r="F24" i="71" s="1"/>
  <c r="P23" i="71"/>
  <c r="O23" i="71"/>
  <c r="N23" i="71"/>
  <c r="X22" i="71" s="1"/>
  <c r="D23" i="71"/>
  <c r="O22" i="71"/>
  <c r="N22" i="71"/>
  <c r="B24" i="71"/>
  <c r="B25" i="71" s="1"/>
  <c r="B26" i="71" s="1"/>
  <c r="S26" i="71" s="1"/>
  <c r="B28" i="71"/>
  <c r="B29" i="71" s="1"/>
  <c r="B30" i="71"/>
  <c r="S30" i="71" s="1"/>
  <c r="E32" i="71"/>
  <c r="E33" i="71" s="1"/>
  <c r="E34" i="71" s="1"/>
  <c r="U34" i="71" s="1"/>
  <c r="AA31" i="71"/>
  <c r="E28" i="71"/>
  <c r="C24" i="71"/>
  <c r="AA25" i="71"/>
  <c r="C28" i="71"/>
  <c r="C29" i="71"/>
  <c r="X29" i="71"/>
  <c r="C32" i="71"/>
  <c r="Y31" i="71"/>
  <c r="Z31" i="71"/>
  <c r="F45" i="71"/>
  <c r="F46" i="71" s="1"/>
  <c r="V46" i="71" s="1"/>
  <c r="Y21" i="71"/>
  <c r="Z21" i="71" s="1"/>
  <c r="B22" i="71"/>
  <c r="X20" i="71"/>
  <c r="C25" i="71"/>
  <c r="D24" i="71"/>
  <c r="D28" i="71"/>
  <c r="C37" i="71"/>
  <c r="C38" i="71" s="1"/>
  <c r="D38" i="71" s="1"/>
  <c r="C41" i="71"/>
  <c r="D41" i="71" s="1"/>
  <c r="D40" i="71"/>
  <c r="D44" i="71"/>
  <c r="P22" i="71"/>
  <c r="E54" i="71"/>
  <c r="U54" i="71" s="1"/>
  <c r="E57" i="71"/>
  <c r="E58" i="71" s="1"/>
  <c r="U58" i="71" s="1"/>
  <c r="U62" i="71"/>
  <c r="E61" i="71"/>
  <c r="Q22" i="71"/>
  <c r="D48" i="71"/>
  <c r="D52" i="71"/>
  <c r="T62" i="71"/>
  <c r="O62" i="71"/>
  <c r="D62" i="71"/>
  <c r="C61" i="71"/>
  <c r="Q62" i="71"/>
  <c r="E65" i="71"/>
  <c r="E64" i="71" s="1"/>
  <c r="C69" i="71"/>
  <c r="E69" i="71"/>
  <c r="E68" i="71" s="1"/>
  <c r="D70" i="71"/>
  <c r="C73" i="71"/>
  <c r="E73" i="71"/>
  <c r="E72" i="71" s="1"/>
  <c r="D74" i="71"/>
  <c r="C81" i="71"/>
  <c r="AB20" i="71"/>
  <c r="E22" i="71"/>
  <c r="E21" i="71"/>
  <c r="E20" i="71" s="1"/>
  <c r="AA22" i="71"/>
  <c r="C60" i="71"/>
  <c r="O61" i="71"/>
  <c r="D61" i="71"/>
  <c r="D69" i="71"/>
  <c r="C68" i="71"/>
  <c r="D68" i="71" s="1"/>
  <c r="D73" i="71"/>
  <c r="C72" i="71"/>
  <c r="D72" i="71" s="1"/>
  <c r="D53" i="71"/>
  <c r="D49" i="71"/>
  <c r="P61" i="71"/>
  <c r="E60" i="71"/>
  <c r="P59" i="71" s="1"/>
  <c r="D37" i="71"/>
  <c r="D29" i="71"/>
  <c r="D25" i="71"/>
  <c r="V22" i="71"/>
  <c r="P60" i="71"/>
  <c r="O60" i="71"/>
  <c r="D60" i="71"/>
  <c r="O59"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C21" i="33"/>
  <c r="C21" i="21"/>
  <c r="Q21" i="21"/>
  <c r="Z21" i="21" s="1"/>
  <c r="H19" i="21"/>
  <c r="D83" i="21"/>
  <c r="F21" i="21"/>
  <c r="D81" i="21"/>
  <c r="G20" i="20"/>
  <c r="B86" i="43"/>
  <c r="C22" i="20"/>
  <c r="B75" i="43"/>
  <c r="B55" i="43"/>
  <c r="B66" i="43"/>
  <c r="C25" i="40"/>
  <c r="C29" i="39"/>
  <c r="S25" i="40"/>
  <c r="S18" i="36"/>
  <c r="S21" i="34"/>
  <c r="H25" i="40"/>
  <c r="AB25" i="40" s="1"/>
  <c r="J25" i="40"/>
  <c r="AC25" i="40" s="1"/>
  <c r="H29" i="39"/>
  <c r="AB29" i="39" s="1"/>
  <c r="J29" i="39"/>
  <c r="AC29" i="39" s="1"/>
  <c r="J18" i="36"/>
  <c r="W18" i="36" s="1"/>
  <c r="H18" i="35"/>
  <c r="U18" i="35" s="1"/>
  <c r="S18" i="35"/>
  <c r="G68" i="35"/>
  <c r="J18" i="35"/>
  <c r="F77" i="37"/>
  <c r="H21" i="37"/>
  <c r="F21" i="37"/>
  <c r="S21" i="37" s="1"/>
  <c r="H21" i="34"/>
  <c r="U21" i="34" s="1"/>
  <c r="H21" i="33"/>
  <c r="AB21" i="33" s="1"/>
  <c r="F21" i="33"/>
  <c r="E83" i="21"/>
  <c r="H1" i="69"/>
  <c r="W25" i="40"/>
  <c r="U25" i="40"/>
  <c r="U29" i="39"/>
  <c r="AC18" i="36"/>
  <c r="AB21" i="37"/>
  <c r="U21" i="37"/>
  <c r="AA21" i="37"/>
  <c r="AB21" i="34"/>
  <c r="U21" i="33"/>
  <c r="AA21" i="33"/>
  <c r="S21" i="33"/>
  <c r="AB18" i="35"/>
  <c r="AC18" i="35"/>
  <c r="W18" i="35"/>
  <c r="G77" i="37"/>
  <c r="J21" i="37"/>
  <c r="G84" i="34"/>
  <c r="J21" i="34"/>
  <c r="G83" i="33"/>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I25" i="66"/>
  <c r="D22" i="66"/>
  <c r="I21" i="66"/>
  <c r="I20" i="66"/>
  <c r="I19" i="66"/>
  <c r="I22" i="66" s="1"/>
  <c r="E17" i="66"/>
  <c r="I16" i="66"/>
  <c r="I15" i="66"/>
  <c r="I14" i="66"/>
  <c r="I17" i="66" s="1"/>
  <c r="I3" i="66"/>
  <c r="I12"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F101" i="39" s="1"/>
  <c r="G101" i="39" s="1"/>
  <c r="H19" i="39"/>
  <c r="AB19" i="39"/>
  <c r="F19" i="39"/>
  <c r="AA19" i="39"/>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c r="J17" i="39"/>
  <c r="J27" i="39"/>
  <c r="AC27" i="39" s="1"/>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34" i="39"/>
  <c r="U40" i="39"/>
  <c r="W14" i="39"/>
  <c r="AA41" i="39"/>
  <c r="W9" i="39"/>
  <c r="W8" i="39"/>
  <c r="J19" i="40"/>
  <c r="AC19" i="40"/>
  <c r="J50" i="40"/>
  <c r="H103" i="9"/>
  <c r="D8" i="53" s="1"/>
  <c r="B16" i="53"/>
  <c r="B33" i="72" s="1"/>
  <c r="C7" i="37"/>
  <c r="C7" i="34"/>
  <c r="C7" i="36"/>
  <c r="W35" i="40"/>
  <c r="A118" i="9"/>
  <c r="A4" i="52"/>
  <c r="B41" i="72"/>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W39" i="39"/>
  <c r="S43" i="39"/>
  <c r="S37" i="39"/>
  <c r="U35" i="39"/>
  <c r="S25" i="39"/>
  <c r="J21" i="39"/>
  <c r="AC21" i="39" s="1"/>
  <c r="F21" i="39"/>
  <c r="AA21" i="39" s="1"/>
  <c r="H21" i="39"/>
  <c r="AB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c r="G13" i="3"/>
  <c r="BA13" i="3"/>
  <c r="E10" i="6"/>
  <c r="BA5" i="3"/>
  <c r="E27" i="6" s="1"/>
  <c r="E11" i="6"/>
  <c r="E61" i="39" s="1"/>
  <c r="BL17" i="3"/>
  <c r="AZ17" i="3" s="1"/>
  <c r="BL13" i="3"/>
  <c r="E65" i="39"/>
  <c r="J56" i="9"/>
  <c r="J57" i="9" s="1"/>
  <c r="J59" i="9" s="1"/>
  <c r="J61" i="9" s="1"/>
  <c r="A24" i="51"/>
  <c r="B18" i="72"/>
  <c r="U29" i="34"/>
  <c r="E14" i="6"/>
  <c r="E64" i="39" s="1"/>
  <c r="E5" i="6"/>
  <c r="D9" i="11" s="1"/>
  <c r="C9" i="11" s="1"/>
  <c r="E32" i="6"/>
  <c r="L19" i="6"/>
  <c r="G1" i="68"/>
  <c r="K1" i="12"/>
  <c r="F30"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D19" i="12"/>
  <c r="C19" i="12" s="1"/>
  <c r="AQ9" i="1"/>
  <c r="AR11" i="1"/>
  <c r="E59" i="40"/>
  <c r="T13" i="1"/>
  <c r="S7" i="1"/>
  <c r="E7" i="70"/>
  <c r="AA39" i="40"/>
  <c r="S39" i="40"/>
  <c r="S12" i="33"/>
  <c r="AA12" i="33"/>
  <c r="J32" i="39"/>
  <c r="AC32" i="39" s="1"/>
  <c r="S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c r="L111" i="33" s="1"/>
  <c r="M111" i="33" s="1"/>
  <c r="J36" i="33"/>
  <c r="H36" i="33"/>
  <c r="AB36" i="33" s="1"/>
  <c r="S36" i="33"/>
  <c r="AA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T8" i="1"/>
  <c r="R22" i="31"/>
  <c r="L27" i="6"/>
  <c r="AP7" i="1"/>
  <c r="M7" i="1"/>
  <c r="O7" i="1"/>
  <c r="P7" i="1" s="1"/>
  <c r="AB45" i="21"/>
  <c r="W33" i="21"/>
  <c r="S33" i="21"/>
  <c r="AA33" i="21"/>
  <c r="AC32" i="21"/>
  <c r="AA32" i="21"/>
  <c r="S32" i="21"/>
  <c r="W9" i="21"/>
  <c r="AC9" i="21"/>
  <c r="AB32" i="21"/>
  <c r="U32" i="21"/>
  <c r="S10" i="21"/>
  <c r="W19" i="37"/>
  <c r="W23" i="37"/>
  <c r="AC23" i="37"/>
  <c r="AB11" i="37"/>
  <c r="H63" i="37"/>
  <c r="I63" i="37" s="1"/>
  <c r="J63" i="37"/>
  <c r="K63" i="37" s="1"/>
  <c r="L63" i="37" s="1"/>
  <c r="M63" i="37" s="1"/>
  <c r="J11" i="37"/>
  <c r="AC11" i="37" s="1"/>
  <c r="W10" i="37"/>
  <c r="AC10" i="37"/>
  <c r="AB11" i="34"/>
  <c r="AC10" i="34"/>
  <c r="W10" i="34"/>
  <c r="H70" i="34"/>
  <c r="I70" i="34"/>
  <c r="J70" i="34" s="1"/>
  <c r="K70" i="34"/>
  <c r="L70" i="34" s="1"/>
  <c r="M70" i="34" s="1"/>
  <c r="J11" i="34"/>
  <c r="AC36" i="33"/>
  <c r="W36" i="33"/>
  <c r="U36" i="33"/>
  <c r="W27" i="33"/>
  <c r="W25" i="33"/>
  <c r="AA23" i="33"/>
  <c r="S23" i="33"/>
  <c r="AB19" i="33"/>
  <c r="AA17" i="33"/>
  <c r="U17" i="33"/>
  <c r="AB17" i="33"/>
  <c r="U23" i="21"/>
  <c r="AB23" i="21"/>
  <c r="AC23" i="21"/>
  <c r="W11" i="37"/>
  <c r="W11" i="34"/>
  <c r="AC11" i="34"/>
  <c r="R7" i="1"/>
  <c r="F34" i="11"/>
  <c r="F11" i="12"/>
  <c r="C23" i="12" s="1"/>
  <c r="R8" i="1"/>
  <c r="AE7" i="1"/>
  <c r="AE8" i="1"/>
  <c r="AG6" i="1"/>
  <c r="H109" i="9"/>
  <c r="H110" i="9"/>
  <c r="D18" i="53" s="1"/>
  <c r="B35" i="72" s="1"/>
  <c r="D124" i="9"/>
  <c r="H14" i="74" s="1"/>
  <c r="B7" i="74" s="1"/>
  <c r="D16" i="53"/>
  <c r="B34" i="72"/>
  <c r="D17" i="53"/>
  <c r="B36" i="72" s="1"/>
  <c r="D125" i="9"/>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6" i="71"/>
  <c r="X14" i="71"/>
  <c r="X13" i="71"/>
  <c r="AA14" i="71"/>
  <c r="AA13" i="71"/>
  <c r="X17" i="71"/>
  <c r="Y13" i="71"/>
  <c r="Z13" i="71" s="1"/>
  <c r="AB14" i="71"/>
  <c r="AB13" i="71"/>
  <c r="Y14" i="71"/>
  <c r="Z14" i="71" s="1"/>
  <c r="X3" i="71"/>
  <c r="G20" i="43"/>
  <c r="E41" i="43" s="1"/>
  <c r="C41" i="43" s="1"/>
  <c r="I59" i="34"/>
  <c r="J59" i="34" s="1"/>
  <c r="F34" i="68"/>
  <c r="E2" i="68"/>
  <c r="E2" i="69"/>
  <c r="F3" i="73"/>
  <c r="D2" i="35"/>
  <c r="B7" i="76"/>
  <c r="E10" i="76"/>
  <c r="AO7" i="1"/>
  <c r="F20" i="31"/>
  <c r="E8" i="76"/>
  <c r="AO8" i="1"/>
  <c r="F9" i="15"/>
  <c r="M29" i="67"/>
  <c r="F38" i="15"/>
  <c r="M8" i="67"/>
  <c r="F42" i="15"/>
  <c r="M6" i="67"/>
  <c r="B9" i="76"/>
  <c r="M24" i="67"/>
  <c r="F16" i="15"/>
  <c r="F35" i="67"/>
  <c r="E12" i="76"/>
  <c r="AO11" i="1"/>
  <c r="E7" i="76"/>
  <c r="B13" i="76"/>
  <c r="F40" i="67"/>
  <c r="AO9" i="1"/>
  <c r="F7" i="15"/>
  <c r="J15" i="67"/>
  <c r="F37" i="15"/>
  <c r="F16" i="67"/>
  <c r="F4" i="73"/>
  <c r="F7" i="73"/>
  <c r="M28" i="67"/>
  <c r="C76" i="15"/>
  <c r="D4" i="73"/>
  <c r="F5" i="73"/>
  <c r="M8" i="15"/>
  <c r="M6" i="15"/>
  <c r="D9" i="68"/>
  <c r="D2" i="37"/>
  <c r="F43" i="67"/>
  <c r="F7" i="67"/>
  <c r="C76" i="67"/>
  <c r="F42" i="67"/>
  <c r="D2" i="34"/>
  <c r="B11" i="76"/>
  <c r="D2" i="36"/>
  <c r="D2" i="33"/>
  <c r="B8" i="76"/>
  <c r="B12" i="76"/>
  <c r="E13" i="76"/>
  <c r="AO12" i="1"/>
  <c r="AO10" i="1"/>
  <c r="F8" i="67"/>
  <c r="M23" i="67"/>
  <c r="F6" i="67"/>
  <c r="F6" i="73"/>
  <c r="D2" i="21"/>
  <c r="E9" i="76"/>
  <c r="M22" i="67"/>
  <c r="D3" i="73"/>
  <c r="AO13" i="1"/>
  <c r="B10" i="76"/>
  <c r="F36" i="15"/>
  <c r="M29" i="15"/>
  <c r="E11" i="76"/>
  <c r="F9" i="67"/>
  <c r="F37" i="67"/>
  <c r="M22" i="15"/>
  <c r="F13" i="15"/>
  <c r="P61" i="15" l="1"/>
  <c r="C20" i="43"/>
  <c r="E28" i="6"/>
  <c r="G30" i="6"/>
  <c r="G31" i="6" s="1"/>
  <c r="AZ521" i="3"/>
  <c r="G17" i="43"/>
  <c r="C16" i="43" s="1"/>
  <c r="D5" i="43" s="1"/>
  <c r="U9" i="21"/>
  <c r="AR8" i="1"/>
  <c r="AQ7" i="1"/>
  <c r="AR7" i="1"/>
  <c r="K20" i="6"/>
  <c r="M20" i="6" s="1"/>
  <c r="I20" i="6" s="1"/>
  <c r="AZ585" i="3"/>
  <c r="J9" i="34"/>
  <c r="H9" i="34"/>
  <c r="E56" i="40"/>
  <c r="G5" i="3"/>
  <c r="B3" i="3" s="1"/>
  <c r="AA14" i="33"/>
  <c r="AA44" i="33"/>
  <c r="F27" i="39"/>
  <c r="F9" i="34"/>
  <c r="C5" i="11"/>
  <c r="BL16" i="3"/>
  <c r="AZ399" i="3"/>
  <c r="AZ404" i="3"/>
  <c r="AZ409" i="3"/>
  <c r="AZ411" i="3"/>
  <c r="AZ421" i="3"/>
  <c r="AZ423" i="3"/>
  <c r="AZ425" i="3"/>
  <c r="AZ427"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C31" i="35"/>
  <c r="F34" i="35"/>
  <c r="H34" i="35"/>
  <c r="J36" i="35"/>
  <c r="H38" i="40"/>
  <c r="J38" i="40"/>
  <c r="H39" i="40"/>
  <c r="M108" i="43"/>
  <c r="M100" i="43"/>
  <c r="I108" i="43"/>
  <c r="I100" i="43"/>
  <c r="E108" i="43"/>
  <c r="E100" i="43"/>
  <c r="AB18" i="36"/>
  <c r="U18" i="36"/>
  <c r="C80" i="71"/>
  <c r="D80" i="71" s="1"/>
  <c r="D81" i="71"/>
  <c r="AB21" i="71"/>
  <c r="AB22" i="71"/>
  <c r="C22" i="71"/>
  <c r="Y20" i="71"/>
  <c r="Z20" i="71" s="1"/>
  <c r="Y22" i="71"/>
  <c r="Z22" i="71" s="1"/>
  <c r="E24" i="71"/>
  <c r="E25" i="71" s="1"/>
  <c r="E26" i="71" s="1"/>
  <c r="U26" i="71" s="1"/>
  <c r="AA23" i="71"/>
  <c r="AA20" i="71"/>
  <c r="AA28" i="71"/>
  <c r="AA27" i="71"/>
  <c r="AB32" i="71"/>
  <c r="AB31" i="71"/>
  <c r="AA15" i="71"/>
  <c r="AA12" i="71"/>
  <c r="AA16" i="71"/>
  <c r="AB15" i="71"/>
  <c r="X12" i="71"/>
  <c r="X9" i="71"/>
  <c r="X8" i="71"/>
  <c r="X5" i="71"/>
  <c r="X7" i="71"/>
  <c r="X6" i="71"/>
  <c r="AA9" i="71"/>
  <c r="AA8" i="71"/>
  <c r="AA7" i="71"/>
  <c r="AA6" i="71"/>
  <c r="X11" i="71"/>
  <c r="AA11" i="71"/>
  <c r="AB6" i="71"/>
  <c r="A15" i="62"/>
  <c r="B61" i="72" s="1"/>
  <c r="AZ27" i="3"/>
  <c r="AZ34" i="3"/>
  <c r="AZ44" i="3"/>
  <c r="AZ56" i="3"/>
  <c r="AZ60" i="3"/>
  <c r="AZ73" i="3"/>
  <c r="AZ78" i="3"/>
  <c r="AZ87" i="3"/>
  <c r="AZ91" i="3"/>
  <c r="AZ95" i="3"/>
  <c r="AZ98" i="3"/>
  <c r="AZ100" i="3"/>
  <c r="AZ104" i="3"/>
  <c r="K100" i="43"/>
  <c r="D108" i="43"/>
  <c r="D100" i="43"/>
  <c r="AC21" i="21"/>
  <c r="F40" i="68"/>
  <c r="C21" i="68"/>
  <c r="C40" i="68"/>
  <c r="F40" i="69"/>
  <c r="C40" i="69"/>
  <c r="AA21" i="21"/>
  <c r="S21" i="21"/>
  <c r="T38" i="71"/>
  <c r="AA3" i="71"/>
  <c r="F22" i="71"/>
  <c r="F21" i="71" s="1"/>
  <c r="F20" i="71" s="1"/>
  <c r="B21" i="71"/>
  <c r="B20" i="71" s="1"/>
  <c r="S22" i="71"/>
  <c r="Y19" i="71"/>
  <c r="Z19" i="71" s="1"/>
  <c r="D32" i="71"/>
  <c r="C33" i="71"/>
  <c r="AB23" i="71"/>
  <c r="X23" i="71"/>
  <c r="F25" i="71"/>
  <c r="F26" i="71" s="1"/>
  <c r="V26" i="71" s="1"/>
  <c r="X24" i="71"/>
  <c r="AA24" i="71"/>
  <c r="AA26" i="71"/>
  <c r="Y29" i="71"/>
  <c r="Z29" i="71" s="1"/>
  <c r="Y27" i="71"/>
  <c r="Z27" i="71" s="1"/>
  <c r="Y24" i="71"/>
  <c r="Z24" i="71" s="1"/>
  <c r="Y23" i="71"/>
  <c r="Z23" i="71" s="1"/>
  <c r="AB29" i="71"/>
  <c r="X27" i="71"/>
  <c r="X28" i="71"/>
  <c r="X30" i="71"/>
  <c r="AB30" i="71"/>
  <c r="AB25" i="71"/>
  <c r="B32" i="71"/>
  <c r="B33" i="71" s="1"/>
  <c r="B34" i="71" s="1"/>
  <c r="S34" i="71" s="1"/>
  <c r="X31" i="71"/>
  <c r="C57" i="71"/>
  <c r="D56" i="71"/>
  <c r="S62" i="71"/>
  <c r="B61" i="71"/>
  <c r="N62" i="71"/>
  <c r="T66" i="71"/>
  <c r="C65" i="71"/>
  <c r="D66" i="71"/>
  <c r="E16" i="71"/>
  <c r="E15" i="71" s="1"/>
  <c r="E14" i="71" s="1"/>
  <c r="AA5" i="71"/>
  <c r="C30" i="71"/>
  <c r="E29" i="71"/>
  <c r="E30" i="71" s="1"/>
  <c r="U30" i="71" s="1"/>
  <c r="Y25" i="71"/>
  <c r="Z25" i="71" s="1"/>
  <c r="C26" i="71"/>
  <c r="X25" i="71"/>
  <c r="X26" i="71"/>
  <c r="AB26" i="71"/>
  <c r="AB28" i="71"/>
  <c r="AB27" i="71"/>
  <c r="AA29" i="71"/>
  <c r="AA30" i="71"/>
  <c r="C45" i="71"/>
  <c r="F60" i="71"/>
  <c r="Q61" i="71"/>
  <c r="D78" i="71"/>
  <c r="C77" i="71"/>
  <c r="AC12" i="43"/>
  <c r="AC10" i="43"/>
  <c r="AE12" i="43"/>
  <c r="AE10" i="43"/>
  <c r="AG12" i="43"/>
  <c r="AG10" i="43"/>
  <c r="X19" i="71"/>
  <c r="X21" i="71"/>
  <c r="AA19" i="71"/>
  <c r="AA21" i="71"/>
  <c r="AB19" i="71"/>
  <c r="X18" i="71"/>
  <c r="Y16" i="71"/>
  <c r="Z16" i="71" s="1"/>
  <c r="Y17" i="71"/>
  <c r="Z17" i="71" s="1"/>
  <c r="C18" i="71"/>
  <c r="Y18" i="71"/>
  <c r="Z18" i="71" s="1"/>
  <c r="AB17" i="71"/>
  <c r="AB18" i="71"/>
  <c r="F18" i="71"/>
  <c r="F17" i="71" s="1"/>
  <c r="F16" i="71" s="1"/>
  <c r="F15" i="71" s="1"/>
  <c r="F14" i="71" s="1"/>
  <c r="F13" i="71" s="1"/>
  <c r="F12" i="71" s="1"/>
  <c r="F11" i="71" s="1"/>
  <c r="Y15" i="71"/>
  <c r="Z15" i="71" s="1"/>
  <c r="Y6" i="71"/>
  <c r="Z6" i="71" s="1"/>
  <c r="Z12" i="43"/>
  <c r="Z10" i="43"/>
  <c r="AD12" i="43"/>
  <c r="AD10" i="43"/>
  <c r="AH12" i="43"/>
  <c r="AH10" i="43"/>
  <c r="AA17" i="71"/>
  <c r="AA18" i="71"/>
  <c r="X16" i="71"/>
  <c r="B18" i="71"/>
  <c r="X15" i="71"/>
  <c r="Y12" i="71"/>
  <c r="Z12" i="71" s="1"/>
  <c r="AB12" i="71"/>
  <c r="Y8" i="71"/>
  <c r="Z8" i="71" s="1"/>
  <c r="Y11" i="71"/>
  <c r="Z11" i="71" s="1"/>
  <c r="AB11" i="71"/>
  <c r="AB5" i="71"/>
  <c r="Y7" i="71"/>
  <c r="Z7" i="71" s="1"/>
  <c r="AB9" i="71"/>
  <c r="AB7" i="71"/>
  <c r="AB8" i="71"/>
  <c r="Y5" i="71"/>
  <c r="Z5" i="71" s="1"/>
  <c r="C36" i="69"/>
  <c r="H32" i="39"/>
  <c r="AB32" i="39" s="1"/>
  <c r="F32" i="39"/>
  <c r="AA32" i="39" s="1"/>
  <c r="C9" i="68"/>
  <c r="W32" i="39"/>
  <c r="U31" i="39"/>
  <c r="W29" i="39"/>
  <c r="W27" i="39"/>
  <c r="AB27" i="39"/>
  <c r="U25" i="39"/>
  <c r="U21" i="39"/>
  <c r="S32" i="39"/>
  <c r="U32" i="39"/>
  <c r="U42" i="39"/>
  <c r="W42" i="39"/>
  <c r="S42" i="39"/>
  <c r="S31" i="39"/>
  <c r="S29" i="39"/>
  <c r="U9" i="39"/>
  <c r="C5" i="43"/>
  <c r="T11" i="43" s="1"/>
  <c r="V11" i="43" s="1"/>
  <c r="I23" i="66"/>
  <c r="C92" i="9"/>
  <c r="C94" i="9"/>
  <c r="F30" i="69"/>
  <c r="F48" i="69" s="1"/>
  <c r="F52" i="9"/>
  <c r="D68" i="9"/>
  <c r="F28" i="15"/>
  <c r="F32" i="67"/>
  <c r="F60" i="67" s="1"/>
  <c r="F28" i="67"/>
  <c r="C28" i="67" s="1"/>
  <c r="C24" i="12"/>
  <c r="C13" i="12"/>
  <c r="C30" i="11"/>
  <c r="F54" i="9"/>
  <c r="M18" i="15"/>
  <c r="F32" i="15"/>
  <c r="F60" i="15" s="1"/>
  <c r="M18" i="67"/>
  <c r="F31" i="12"/>
  <c r="C31" i="12" s="1"/>
  <c r="F30" i="68"/>
  <c r="F53" i="9"/>
  <c r="C21" i="69"/>
  <c r="D22" i="67"/>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85" i="3"/>
  <c r="E140" i="3"/>
  <c r="E157" i="3"/>
  <c r="E181" i="3"/>
  <c r="E228" i="3"/>
  <c r="E188" i="3"/>
  <c r="E156" i="3"/>
  <c r="E196" i="3"/>
  <c r="E244" i="3"/>
  <c r="E16" i="6"/>
  <c r="E66" i="39"/>
  <c r="F31" i="6"/>
  <c r="O11" i="1"/>
  <c r="P11" i="1" s="1"/>
  <c r="O9" i="1"/>
  <c r="P9" i="1" s="1"/>
  <c r="O12" i="1"/>
  <c r="P12" i="1" s="1"/>
  <c r="O8" i="1"/>
  <c r="T7" i="1"/>
  <c r="H16" i="1"/>
  <c r="Q16" i="1"/>
  <c r="K23" i="6"/>
  <c r="M23" i="6" s="1"/>
  <c r="I23" i="6" s="1"/>
  <c r="K22" i="6"/>
  <c r="M22" i="6" s="1"/>
  <c r="I22" i="6" s="1"/>
  <c r="T9" i="1"/>
  <c r="F22" i="43"/>
  <c r="K101" i="43"/>
  <c r="F101" i="43"/>
  <c r="N101" i="43"/>
  <c r="E22" i="43"/>
  <c r="H22" i="43"/>
  <c r="D101" i="43"/>
  <c r="M101" i="43"/>
  <c r="I101" i="43"/>
  <c r="E101" i="43"/>
  <c r="B113" i="43"/>
  <c r="G101" i="43"/>
  <c r="C101" i="43"/>
  <c r="J101" i="43"/>
  <c r="N104" i="46"/>
  <c r="L101" i="43"/>
  <c r="H101" i="43"/>
  <c r="G22" i="43"/>
  <c r="AJ11" i="43"/>
  <c r="AJ13" i="43" s="1"/>
  <c r="AH11" i="43"/>
  <c r="AF11" i="43"/>
  <c r="AF13" i="43" s="1"/>
  <c r="AD11" i="43"/>
  <c r="AB11" i="43"/>
  <c r="AB13" i="43" s="1"/>
  <c r="Z11" i="43"/>
  <c r="Z7" i="43"/>
  <c r="AI11" i="43"/>
  <c r="AI13" i="43" s="1"/>
  <c r="AG11" i="43"/>
  <c r="AG13" i="43" s="1"/>
  <c r="AE11" i="43"/>
  <c r="AE13" i="43" s="1"/>
  <c r="AC11" i="43"/>
  <c r="AC13" i="43" s="1"/>
  <c r="AA11" i="43"/>
  <c r="AA13" i="43" s="1"/>
  <c r="Y11" i="43"/>
  <c r="Y13" i="43" s="1"/>
  <c r="J22" i="43"/>
  <c r="D10" i="52"/>
  <c r="D70" i="39"/>
  <c r="E68" i="39"/>
  <c r="C30" i="69"/>
  <c r="C36" i="11"/>
  <c r="C28" i="15"/>
  <c r="C48" i="69"/>
  <c r="T14" i="43"/>
  <c r="V14"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0" i="71"/>
  <c r="Z10" i="71" s="1"/>
  <c r="Y9" i="71"/>
  <c r="Z9" i="71" s="1"/>
  <c r="AA10" i="71"/>
  <c r="AB3" i="71"/>
  <c r="X10" i="71"/>
  <c r="AB10" i="71"/>
  <c r="T15" i="43"/>
  <c r="V15" i="43" s="1"/>
  <c r="Y3" i="71"/>
  <c r="Z3" i="71" s="1"/>
  <c r="F10" i="71"/>
  <c r="F9" i="71" s="1"/>
  <c r="F8" i="71" s="1"/>
  <c r="F7" i="71" s="1"/>
  <c r="F6" i="71" s="1"/>
  <c r="F5" i="71" s="1"/>
  <c r="AF3" i="71"/>
  <c r="P22" i="43" s="1"/>
  <c r="T13" i="43"/>
  <c r="V13" i="43" s="1"/>
  <c r="C6" i="67"/>
  <c r="B10" i="70"/>
  <c r="Q71" i="15"/>
  <c r="B20" i="31"/>
  <c r="B21" i="31" s="1"/>
  <c r="I1" i="73"/>
  <c r="B39" i="1" s="1"/>
  <c r="F51" i="67"/>
  <c r="F65" i="67"/>
  <c r="B12" i="70"/>
  <c r="M7" i="15"/>
  <c r="F50" i="15"/>
  <c r="B7" i="70"/>
  <c r="B11" i="70"/>
  <c r="B8" i="70"/>
  <c r="F66" i="15"/>
  <c r="Q71" i="67"/>
  <c r="F64" i="15"/>
  <c r="F70" i="67"/>
  <c r="F71" i="67"/>
  <c r="F65" i="15"/>
  <c r="B9" i="70"/>
  <c r="B13" i="70"/>
  <c r="M7" i="67"/>
  <c r="F50" i="67"/>
  <c r="F63" i="67"/>
  <c r="C62" i="67" s="1"/>
  <c r="C34" i="67"/>
  <c r="F68" i="67"/>
  <c r="M26" i="15"/>
  <c r="M23" i="15"/>
  <c r="M9" i="67"/>
  <c r="F8" i="15"/>
  <c r="F26" i="67"/>
  <c r="L48" i="15"/>
  <c r="F43" i="15"/>
  <c r="C16" i="15"/>
  <c r="D7" i="73"/>
  <c r="M28" i="15"/>
  <c r="M27" i="15"/>
  <c r="F38" i="67"/>
  <c r="F36" i="67"/>
  <c r="M26" i="67"/>
  <c r="J15" i="15"/>
  <c r="C17" i="67"/>
  <c r="L47" i="15"/>
  <c r="L47" i="67"/>
  <c r="M21" i="67"/>
  <c r="F41" i="67"/>
  <c r="M24" i="15"/>
  <c r="F13" i="67"/>
  <c r="D6" i="73"/>
  <c r="C14" i="67"/>
  <c r="M9" i="15"/>
  <c r="D5" i="73"/>
  <c r="F40" i="15"/>
  <c r="M27" i="67"/>
  <c r="L48" i="67"/>
  <c r="F26" i="15"/>
  <c r="C36" i="68"/>
  <c r="C16" i="67"/>
  <c r="K1" i="73" l="1"/>
  <c r="C27" i="15"/>
  <c r="J57" i="67"/>
  <c r="J55" i="67" s="1"/>
  <c r="J58" i="67" s="1"/>
  <c r="Q50" i="67" s="1"/>
  <c r="I54" i="67"/>
  <c r="J53" i="67"/>
  <c r="Q52" i="67" s="1"/>
  <c r="L56" i="67"/>
  <c r="F64" i="67"/>
  <c r="F66" i="67"/>
  <c r="F68" i="15"/>
  <c r="F71" i="15"/>
  <c r="J57" i="15"/>
  <c r="J55" i="15" s="1"/>
  <c r="J58" i="15" s="1"/>
  <c r="Q50" i="15" s="1"/>
  <c r="J53" i="15"/>
  <c r="L56" i="15" s="1"/>
  <c r="I54" i="15"/>
  <c r="C27" i="67"/>
  <c r="F69" i="67"/>
  <c r="F51" i="15"/>
  <c r="C49" i="15" s="1"/>
  <c r="J20" i="67"/>
  <c r="L59" i="67"/>
  <c r="Q61" i="67" s="1"/>
  <c r="M59" i="67"/>
  <c r="N59" i="67"/>
  <c r="L58" i="67"/>
  <c r="Q60" i="67" s="1"/>
  <c r="N59" i="15"/>
  <c r="M59" i="15"/>
  <c r="L59" i="15"/>
  <c r="Q74" i="15" s="1"/>
  <c r="L58" i="15"/>
  <c r="Q73" i="15" s="1"/>
  <c r="S20" i="6"/>
  <c r="C35" i="43"/>
  <c r="E35" i="43" s="1"/>
  <c r="C36" i="43"/>
  <c r="E36" i="43" s="1"/>
  <c r="C39" i="43"/>
  <c r="C37" i="43"/>
  <c r="E37" i="43" s="1"/>
  <c r="C34" i="43"/>
  <c r="C33" i="43"/>
  <c r="C38" i="43"/>
  <c r="J6" i="15"/>
  <c r="J18" i="15" s="1"/>
  <c r="C76" i="71"/>
  <c r="D76" i="71" s="1"/>
  <c r="D77" i="71"/>
  <c r="C46" i="71"/>
  <c r="D45" i="71"/>
  <c r="D26" i="71"/>
  <c r="T26" i="71"/>
  <c r="N61" i="71"/>
  <c r="B60" i="71"/>
  <c r="C34" i="71"/>
  <c r="D33" i="71"/>
  <c r="U39" i="40"/>
  <c r="AB39" i="40"/>
  <c r="AB38" i="40"/>
  <c r="U38" i="40"/>
  <c r="AB34" i="35"/>
  <c r="U34" i="35"/>
  <c r="BL5" i="3"/>
  <c r="AZ16" i="3"/>
  <c r="AZ5" i="3" s="1"/>
  <c r="AA9" i="34"/>
  <c r="S9" i="34"/>
  <c r="E263" i="3"/>
  <c r="E245" i="3"/>
  <c r="E191" i="3"/>
  <c r="E254" i="3"/>
  <c r="E91" i="3"/>
  <c r="E221" i="3"/>
  <c r="E180" i="3"/>
  <c r="E20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3" i="3"/>
  <c r="E159" i="3"/>
  <c r="E135" i="3"/>
  <c r="E161" i="3"/>
  <c r="E77"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97" i="3"/>
  <c r="E327" i="3"/>
  <c r="E576" i="3"/>
  <c r="Z6" i="3"/>
  <c r="AG6"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80" i="3"/>
  <c r="E484" i="3"/>
  <c r="E467" i="3"/>
  <c r="E46" i="3"/>
  <c r="E160" i="3"/>
  <c r="E200" i="3"/>
  <c r="E249" i="3"/>
  <c r="E371" i="3"/>
  <c r="E492" i="3"/>
  <c r="E84" i="3"/>
  <c r="E33" i="3"/>
  <c r="E184" i="3"/>
  <c r="E355" i="3"/>
  <c r="E68" i="3"/>
  <c r="E81" i="3"/>
  <c r="E264" i="3"/>
  <c r="E309" i="3"/>
  <c r="E21" i="3"/>
  <c r="E301" i="3"/>
  <c r="E99" i="3"/>
  <c r="E290" i="3"/>
  <c r="E117" i="3"/>
  <c r="E149" i="3"/>
  <c r="E223" i="3"/>
  <c r="E238" i="3"/>
  <c r="E116" i="3"/>
  <c r="E173" i="3"/>
  <c r="E105" i="3"/>
  <c r="E379" i="3"/>
  <c r="E585" i="3"/>
  <c r="U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41" i="3"/>
  <c r="E425" i="3"/>
  <c r="E64" i="3"/>
  <c r="E103" i="3"/>
  <c r="E142" i="3"/>
  <c r="E267" i="3"/>
  <c r="E300" i="3"/>
  <c r="E310" i="3"/>
  <c r="E23" i="3"/>
  <c r="E67" i="3"/>
  <c r="E144" i="3"/>
  <c r="E233" i="3"/>
  <c r="E381" i="3"/>
  <c r="E63" i="3"/>
  <c r="E118" i="3"/>
  <c r="E283" i="3"/>
  <c r="E513" i="3"/>
  <c r="U9" i="34"/>
  <c r="AB9" i="34"/>
  <c r="E30" i="6"/>
  <c r="E31" i="6" s="1"/>
  <c r="K24" i="6"/>
  <c r="M24" i="6" s="1"/>
  <c r="I24" i="6" s="1"/>
  <c r="S24" i="6" s="1"/>
  <c r="K26" i="6"/>
  <c r="M26" i="6" s="1"/>
  <c r="I26" i="6" s="1"/>
  <c r="S26" i="6" s="1"/>
  <c r="K19" i="6"/>
  <c r="K14" i="1"/>
  <c r="J6" i="67"/>
  <c r="J18" i="67" s="1"/>
  <c r="T8" i="43"/>
  <c r="V8" i="43" s="1"/>
  <c r="T16" i="43"/>
  <c r="V16" i="43" s="1"/>
  <c r="T10" i="43"/>
  <c r="V10" i="43" s="1"/>
  <c r="T9" i="43"/>
  <c r="V9" i="43" s="1"/>
  <c r="Z13" i="43"/>
  <c r="AD13" i="43"/>
  <c r="AH13" i="43"/>
  <c r="K21" i="6"/>
  <c r="M21" i="6" s="1"/>
  <c r="I21" i="6" s="1"/>
  <c r="K25" i="6"/>
  <c r="M25" i="6" s="1"/>
  <c r="I25" i="6" s="1"/>
  <c r="E296" i="3"/>
  <c r="E262" i="3"/>
  <c r="E136" i="3"/>
  <c r="E236" i="3"/>
  <c r="E148" i="3"/>
  <c r="E269" i="3"/>
  <c r="E122" i="3"/>
  <c r="E89" i="3"/>
  <c r="E120" i="3"/>
  <c r="E4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B17" i="71"/>
  <c r="B16" i="71" s="1"/>
  <c r="B15" i="71" s="1"/>
  <c r="B14" i="71" s="1"/>
  <c r="S18" i="71"/>
  <c r="C17" i="71"/>
  <c r="T18" i="71"/>
  <c r="D18" i="71"/>
  <c r="U18" i="71" s="1"/>
  <c r="Q59" i="71"/>
  <c r="Q60" i="71"/>
  <c r="D30" i="71"/>
  <c r="T30" i="71"/>
  <c r="E13" i="71"/>
  <c r="E12" i="71" s="1"/>
  <c r="E11" i="71" s="1"/>
  <c r="E10" i="71" s="1"/>
  <c r="V14" i="71"/>
  <c r="C64" i="71"/>
  <c r="D64" i="71" s="1"/>
  <c r="D65" i="71"/>
  <c r="D57" i="71"/>
  <c r="C58" i="71"/>
  <c r="T22" i="71"/>
  <c r="D22" i="71"/>
  <c r="U22" i="71" s="1"/>
  <c r="C21" i="71"/>
  <c r="AC38" i="40"/>
  <c r="W38" i="40"/>
  <c r="AC36" i="35"/>
  <c r="W36" i="35"/>
  <c r="AA34" i="35"/>
  <c r="S34" i="35"/>
  <c r="AA27" i="39"/>
  <c r="S27" i="39"/>
  <c r="W9" i="34"/>
  <c r="AC9" i="34"/>
  <c r="E587" i="3"/>
  <c r="D1" i="66"/>
  <c r="F48" i="68"/>
  <c r="C48" i="68"/>
  <c r="C30" i="68"/>
  <c r="G36" i="43"/>
  <c r="I36" i="43" s="1"/>
  <c r="K27" i="6"/>
  <c r="AC6" i="3"/>
  <c r="H6" i="3"/>
  <c r="E6" i="3" s="1"/>
  <c r="J10" i="40"/>
  <c r="AC10" i="40" s="1"/>
  <c r="H10" i="39"/>
  <c r="AB10" i="39" s="1"/>
  <c r="F10" i="40"/>
  <c r="S10" i="40" s="1"/>
  <c r="J10" i="39"/>
  <c r="AC10" i="39" s="1"/>
  <c r="H10" i="40"/>
  <c r="AB10" i="40" s="1"/>
  <c r="S22" i="6"/>
  <c r="S23" i="6"/>
  <c r="S21" i="6"/>
  <c r="S25" i="6"/>
  <c r="F28" i="12"/>
  <c r="C29" i="12" s="1"/>
  <c r="D28" i="12" s="1"/>
  <c r="F27" i="69"/>
  <c r="F27" i="11"/>
  <c r="P8"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4" i="43"/>
  <c r="D107" i="43"/>
  <c r="D103" i="43"/>
  <c r="D106" i="43"/>
  <c r="D102" i="43"/>
  <c r="D22" i="43"/>
  <c r="F107" i="43"/>
  <c r="F106" i="43"/>
  <c r="F103" i="43"/>
  <c r="F109" i="43"/>
  <c r="F104" i="43"/>
  <c r="F102" i="43"/>
  <c r="F105" i="43"/>
  <c r="J7" i="37"/>
  <c r="H7" i="36"/>
  <c r="H7" i="34"/>
  <c r="F7" i="34"/>
  <c r="F68" i="39"/>
  <c r="E70" i="39"/>
  <c r="F59" i="67"/>
  <c r="G35" i="43"/>
  <c r="I35" i="43" s="1"/>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M28" i="43"/>
  <c r="N28" i="43"/>
  <c r="O28" i="43"/>
  <c r="P28" i="43"/>
  <c r="M11" i="67"/>
  <c r="J10" i="67" s="1"/>
  <c r="F11" i="15"/>
  <c r="M11" i="15"/>
  <c r="F11" i="67"/>
  <c r="Q52" i="15"/>
  <c r="G1" i="73"/>
  <c r="F27" i="68"/>
  <c r="E12" i="66" l="1"/>
  <c r="C29" i="66"/>
  <c r="B40" i="1"/>
  <c r="F22" i="69" s="1"/>
  <c r="F41" i="69" s="1"/>
  <c r="Q74" i="67"/>
  <c r="F1" i="67"/>
  <c r="Q73" i="67"/>
  <c r="Q61" i="15"/>
  <c r="Q60" i="15"/>
  <c r="F1" i="15"/>
  <c r="J10" i="15"/>
  <c r="J5" i="15" s="1"/>
  <c r="J26" i="15" s="1"/>
  <c r="J5" i="67"/>
  <c r="J24" i="67" s="1"/>
  <c r="D58" i="71"/>
  <c r="T58" i="71"/>
  <c r="C16" i="71"/>
  <c r="D17" i="71"/>
  <c r="B13" i="71"/>
  <c r="B12" i="71" s="1"/>
  <c r="B11" i="71" s="1"/>
  <c r="B10" i="71" s="1"/>
  <c r="S14" i="71"/>
  <c r="M19" i="6"/>
  <c r="S6" i="1"/>
  <c r="D34" i="71"/>
  <c r="T34" i="71"/>
  <c r="D46" i="71"/>
  <c r="T46" i="71"/>
  <c r="C20" i="71"/>
  <c r="D20" i="71" s="1"/>
  <c r="D21" i="71"/>
  <c r="E9" i="71"/>
  <c r="E8" i="71" s="1"/>
  <c r="E7" i="71" s="1"/>
  <c r="E6" i="71" s="1"/>
  <c r="V10" i="71"/>
  <c r="M14" i="1"/>
  <c r="K16" i="1"/>
  <c r="C34" i="69"/>
  <c r="AY6" i="3"/>
  <c r="E3" i="6"/>
  <c r="N60" i="71"/>
  <c r="N59" i="71"/>
  <c r="U10" i="40"/>
  <c r="W10" i="39"/>
  <c r="C29" i="11"/>
  <c r="D27" i="11" s="1"/>
  <c r="C47" i="11"/>
  <c r="D45" i="11" s="1"/>
  <c r="F45" i="69"/>
  <c r="C29" i="69"/>
  <c r="D27" i="69" s="1"/>
  <c r="C47" i="69"/>
  <c r="D45" i="69" s="1"/>
  <c r="F45" i="68"/>
  <c r="C47" i="68"/>
  <c r="D45" i="68" s="1"/>
  <c r="C29" i="68"/>
  <c r="D27" i="68"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15"/>
  <c r="C53" i="67"/>
  <c r="C48" i="67" s="1"/>
  <c r="C10" i="67"/>
  <c r="C5" i="67" s="1"/>
  <c r="C53" i="15"/>
  <c r="C48" i="15" s="1"/>
  <c r="C10" i="15"/>
  <c r="F25" i="12"/>
  <c r="AE6" i="1"/>
  <c r="F41" i="15" s="1"/>
  <c r="D10" i="68"/>
  <c r="C17" i="15"/>
  <c r="C33" i="66" l="1"/>
  <c r="C32" i="66"/>
  <c r="C34" i="66"/>
  <c r="F22" i="68"/>
  <c r="F24" i="67"/>
  <c r="C24" i="67" s="1"/>
  <c r="F24" i="15"/>
  <c r="C24" i="15" s="1"/>
  <c r="F22" i="11"/>
  <c r="C23" i="11" s="1"/>
  <c r="D19" i="68"/>
  <c r="C10" i="68"/>
  <c r="C8" i="68" s="1"/>
  <c r="D3" i="34"/>
  <c r="D3" i="33"/>
  <c r="D19" i="11"/>
  <c r="C19" i="11" s="1"/>
  <c r="C17" i="4"/>
  <c r="B4" i="52" s="1"/>
  <c r="B43" i="72" s="1"/>
  <c r="D37" i="11"/>
  <c r="C37" i="11" s="1"/>
  <c r="D14" i="12"/>
  <c r="M18" i="9"/>
  <c r="B118" i="9" s="1"/>
  <c r="B14" i="74" s="1"/>
  <c r="B1" i="74" s="1"/>
  <c r="C7" i="74" s="1"/>
  <c r="E6" i="6"/>
  <c r="D3" i="37"/>
  <c r="L18" i="9"/>
  <c r="D3" i="21"/>
  <c r="C35" i="69"/>
  <c r="C38" i="69"/>
  <c r="O14" i="1"/>
  <c r="M16" i="1"/>
  <c r="E5" i="71"/>
  <c r="V6" i="71"/>
  <c r="I19" i="6"/>
  <c r="M27" i="6"/>
  <c r="B9" i="71"/>
  <c r="B8" i="71" s="1"/>
  <c r="B7" i="71" s="1"/>
  <c r="B6" i="71" s="1"/>
  <c r="S10"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67" i="3"/>
  <c r="AY196" i="3"/>
  <c r="AY139" i="3"/>
  <c r="AY74" i="3"/>
  <c r="AY123" i="3"/>
  <c r="AY204" i="3"/>
  <c r="AY252" i="3"/>
  <c r="AY363" i="3"/>
  <c r="AY489" i="3"/>
  <c r="AY412" i="3"/>
  <c r="AY43" i="3"/>
  <c r="AY229" i="3"/>
  <c r="AY379"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4" i="3"/>
  <c r="AY497" i="3"/>
  <c r="AY116" i="3"/>
  <c r="AY326" i="3"/>
  <c r="AY436" i="3"/>
  <c r="AY557" i="3"/>
  <c r="AY539" i="3"/>
  <c r="AY100" i="3"/>
  <c r="AY77" i="3"/>
  <c r="AY45" i="3"/>
  <c r="AY60" i="3"/>
  <c r="AY44" i="3"/>
  <c r="AY33" i="3"/>
  <c r="AY190" i="3"/>
  <c r="AY201" i="3"/>
  <c r="AY170" i="3"/>
  <c r="AY154" i="3"/>
  <c r="AY165" i="3"/>
  <c r="AY149" i="3"/>
  <c r="AY118" i="3"/>
  <c r="AY125" i="3"/>
  <c r="AY283" i="3"/>
  <c r="AY278" i="3"/>
  <c r="AY247" i="3"/>
  <c r="AY262" i="3"/>
  <c r="AY230" i="3"/>
  <c r="AY214" i="3"/>
  <c r="AY392" i="3"/>
  <c r="AY381" i="3"/>
  <c r="AY357" i="3"/>
  <c r="AY360" i="3"/>
  <c r="BH6" i="3"/>
  <c r="AY109" i="3"/>
  <c r="AY73" i="3"/>
  <c r="AY56" i="3"/>
  <c r="AY24" i="3"/>
  <c r="AY197" i="3"/>
  <c r="AY177" i="3"/>
  <c r="AY114" i="3"/>
  <c r="AY295" i="3"/>
  <c r="AY259" i="3"/>
  <c r="AY242" i="3"/>
  <c r="AY388" i="3"/>
  <c r="AY353" i="3"/>
  <c r="AY333" i="3"/>
  <c r="AY317" i="3"/>
  <c r="AY332" i="3"/>
  <c r="AY316" i="3"/>
  <c r="AY475" i="3"/>
  <c r="AY488" i="3"/>
  <c r="AY457" i="3"/>
  <c r="AY446" i="3"/>
  <c r="AY414" i="3"/>
  <c r="AY398" i="3"/>
  <c r="AY411" i="3"/>
  <c r="BQ6" i="3"/>
  <c r="BM6" i="3"/>
  <c r="AY561" i="3"/>
  <c r="AY534" i="3"/>
  <c r="AY571" i="3"/>
  <c r="AY495" i="3"/>
  <c r="BG6" i="3"/>
  <c r="AY501" i="3"/>
  <c r="AY494" i="3"/>
  <c r="AY514" i="3"/>
  <c r="AY519" i="3"/>
  <c r="AY96" i="3"/>
  <c r="AY65" i="3"/>
  <c r="AY48" i="3"/>
  <c r="AY37" i="3"/>
  <c r="AY189" i="3"/>
  <c r="AY169" i="3"/>
  <c r="AY137" i="3"/>
  <c r="AY287" i="3"/>
  <c r="AY251" i="3"/>
  <c r="AY234" i="3"/>
  <c r="AY223" i="3"/>
  <c r="AY369" i="3"/>
  <c r="AY364" i="3"/>
  <c r="AY329" i="3"/>
  <c r="AY313" i="3"/>
  <c r="AY328" i="3"/>
  <c r="AY487" i="3"/>
  <c r="AY471" i="3"/>
  <c r="AY468" i="3"/>
  <c r="AY458" i="3"/>
  <c r="AY442" i="3"/>
  <c r="AY410" i="3"/>
  <c r="AY423" i="3"/>
  <c r="AY579" i="3"/>
  <c r="AY499" i="3"/>
  <c r="D3" i="6"/>
  <c r="AY565" i="3"/>
  <c r="BR6" i="3"/>
  <c r="AY531" i="3"/>
  <c r="BA6" i="3"/>
  <c r="AY94" i="3"/>
  <c r="AY78" i="3"/>
  <c r="AY35" i="3"/>
  <c r="AY187" i="3"/>
  <c r="AY167" i="3"/>
  <c r="AY127" i="3"/>
  <c r="AY285" i="3"/>
  <c r="AY249" i="3"/>
  <c r="AY232" i="3"/>
  <c r="AY378" i="3"/>
  <c r="AY362" i="3"/>
  <c r="AY346" i="3"/>
  <c r="AY314" i="3"/>
  <c r="AY466" i="3"/>
  <c r="AY424" i="3"/>
  <c r="AY437" i="3"/>
  <c r="AY558" i="3"/>
  <c r="AY517" i="3"/>
  <c r="AY512" i="3"/>
  <c r="BL6" i="3"/>
  <c r="AY91" i="3"/>
  <c r="AY86" i="3"/>
  <c r="AY70" i="3"/>
  <c r="AY38" i="3"/>
  <c r="AY184" i="3"/>
  <c r="AY179" i="3"/>
  <c r="AY159" i="3"/>
  <c r="AY119" i="3"/>
  <c r="AY273" i="3"/>
  <c r="AY241" i="3"/>
  <c r="AY224" i="3"/>
  <c r="AY391" i="3"/>
  <c r="AY354" i="3"/>
  <c r="AY338" i="3"/>
  <c r="AY306" i="3"/>
  <c r="AY459" i="3"/>
  <c r="AY448" i="3"/>
  <c r="AY429" i="3"/>
  <c r="BD6" i="3"/>
  <c r="BC6" i="3"/>
  <c r="AY504" i="3"/>
  <c r="AY498" i="3"/>
  <c r="AY103" i="3"/>
  <c r="AY50" i="3"/>
  <c r="AY160" i="3"/>
  <c r="AY289" i="3"/>
  <c r="AY183" i="3"/>
  <c r="AY261" i="3"/>
  <c r="AY209" i="3"/>
  <c r="AY319" i="3"/>
  <c r="AY455" i="3"/>
  <c r="AY212" i="3"/>
  <c r="AY343" i="3"/>
  <c r="AY478" i="3"/>
  <c r="AY417" i="3"/>
  <c r="AY573" i="3"/>
  <c r="AY540" i="3"/>
  <c r="AY105" i="3"/>
  <c r="AY61" i="3"/>
  <c r="AY76" i="3"/>
  <c r="AY28" i="3"/>
  <c r="AY206" i="3"/>
  <c r="AY185" i="3"/>
  <c r="AY138" i="3"/>
  <c r="AY133" i="3"/>
  <c r="AY299" i="3"/>
  <c r="AY294" i="3"/>
  <c r="AY263" i="3"/>
  <c r="AY231" i="3"/>
  <c r="AY246" i="3"/>
  <c r="AY219" i="3"/>
  <c r="AY397" i="3"/>
  <c r="AY374" i="3"/>
  <c r="AY554" i="3"/>
  <c r="BJ6" i="3"/>
  <c r="AY104" i="3"/>
  <c r="AY41" i="3"/>
  <c r="AY202" i="3"/>
  <c r="AY166" i="3"/>
  <c r="AY145" i="3"/>
  <c r="AY290" i="3"/>
  <c r="AY274" i="3"/>
  <c r="AY210" i="3"/>
  <c r="AY377" i="3"/>
  <c r="AY349" i="3"/>
  <c r="AY348" i="3"/>
  <c r="AY491" i="3"/>
  <c r="AY472" i="3"/>
  <c r="AY462" i="3"/>
  <c r="AY430" i="3"/>
  <c r="AY427" i="3"/>
  <c r="AY581" i="3"/>
  <c r="AY585" i="3"/>
  <c r="BF6" i="3"/>
  <c r="AY546" i="3"/>
  <c r="AY510" i="3"/>
  <c r="AY16" i="3"/>
  <c r="AY584" i="3"/>
  <c r="AY582" i="3"/>
  <c r="AY101" i="3"/>
  <c r="AY80" i="3"/>
  <c r="AY194" i="3"/>
  <c r="AY158" i="3"/>
  <c r="AY129" i="3"/>
  <c r="AY282" i="3"/>
  <c r="AY266" i="3"/>
  <c r="AY380" i="3"/>
  <c r="AY345" i="3"/>
  <c r="AY344" i="3"/>
  <c r="AY312" i="3"/>
  <c r="AY484" i="3"/>
  <c r="AY453" i="3"/>
  <c r="AY426" i="3"/>
  <c r="AY439" i="3"/>
  <c r="AY407" i="3"/>
  <c r="AY506" i="3"/>
  <c r="AY14" i="3"/>
  <c r="AY524" i="3"/>
  <c r="AY502" i="3"/>
  <c r="AY509" i="3"/>
  <c r="AY542" i="3"/>
  <c r="AY570" i="3"/>
  <c r="AY578" i="3"/>
  <c r="AY99" i="3"/>
  <c r="AY63" i="3"/>
  <c r="AY46" i="3"/>
  <c r="AY192" i="3"/>
  <c r="AY156" i="3"/>
  <c r="AY135" i="3"/>
  <c r="AY280" i="3"/>
  <c r="AY264" i="3"/>
  <c r="AY221" i="3"/>
  <c r="AY376" i="3"/>
  <c r="AY331" i="3"/>
  <c r="AY469" i="3"/>
  <c r="AY456" i="3"/>
  <c r="AY405" i="3"/>
  <c r="AY560" i="3"/>
  <c r="AY587" i="3"/>
  <c r="AY55" i="3"/>
  <c r="AY27" i="3"/>
  <c r="AY148" i="3"/>
  <c r="AY128" i="3"/>
  <c r="AY277" i="3"/>
  <c r="AY256" i="3"/>
  <c r="AY213" i="3"/>
  <c r="AY367" i="3"/>
  <c r="AY323" i="3"/>
  <c r="AY490" i="3"/>
  <c r="AY416" i="3"/>
  <c r="AY550"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R6" i="1"/>
  <c r="E6" i="70"/>
  <c r="E2" i="70" s="1"/>
  <c r="S16" i="1"/>
  <c r="AQ6" i="1"/>
  <c r="T6" i="1"/>
  <c r="T16" i="1" s="1"/>
  <c r="F69" i="15"/>
  <c r="J29" i="15"/>
  <c r="C30" i="43"/>
  <c r="E30" i="43" s="1"/>
  <c r="C27" i="43" s="1"/>
  <c r="E29" i="43"/>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4" i="11"/>
  <c r="C38" i="67"/>
  <c r="C66" i="67"/>
  <c r="C60" i="67"/>
  <c r="C34" i="68"/>
  <c r="C14" i="15"/>
  <c r="E6" i="76"/>
  <c r="B6" i="76"/>
  <c r="C23" i="67" l="1"/>
  <c r="C29" i="67" s="1"/>
  <c r="C36" i="67" s="1"/>
  <c r="C26" i="11"/>
  <c r="D22" i="11" s="1"/>
  <c r="E28" i="66"/>
  <c r="C18" i="15"/>
  <c r="C15" i="15"/>
  <c r="C35" i="68"/>
  <c r="C38" i="68"/>
  <c r="M19" i="9"/>
  <c r="C118" i="9" s="1"/>
  <c r="C14" i="74" s="1"/>
  <c r="B2" i="74" s="1"/>
  <c r="D7" i="74" s="1"/>
  <c r="D25" i="6"/>
  <c r="D24" i="6"/>
  <c r="D12" i="6"/>
  <c r="L19" i="9"/>
  <c r="D22" i="6"/>
  <c r="D11" i="6"/>
  <c r="D29" i="6"/>
  <c r="D28" i="6"/>
  <c r="D30" i="6" s="1"/>
  <c r="D9" i="6"/>
  <c r="D20" i="6"/>
  <c r="D15" i="6"/>
  <c r="D14" i="6"/>
  <c r="D8" i="6"/>
  <c r="D26" i="6"/>
  <c r="D10" i="6"/>
  <c r="H24" i="6"/>
  <c r="R24" i="6" s="1"/>
  <c r="E61" i="40"/>
  <c r="D13" i="6"/>
  <c r="D5" i="6"/>
  <c r="D21" i="6"/>
  <c r="D23" i="6"/>
  <c r="C18" i="4"/>
  <c r="D19" i="6"/>
  <c r="D6" i="6"/>
  <c r="H26" i="6"/>
  <c r="R26" i="6" s="1"/>
  <c r="H23" i="6"/>
  <c r="R23" i="6" s="1"/>
  <c r="H21" i="6"/>
  <c r="R21" i="6" s="1"/>
  <c r="H25" i="6"/>
  <c r="R25" i="6" s="1"/>
  <c r="H19" i="6"/>
  <c r="H20" i="6"/>
  <c r="R20" i="6" s="1"/>
  <c r="H22" i="6"/>
  <c r="R22" i="6" s="1"/>
  <c r="P14" i="1"/>
  <c r="P16" i="1" s="1"/>
  <c r="C11" i="12" s="1"/>
  <c r="O16" i="1"/>
  <c r="D10" i="11"/>
  <c r="C10" i="11" s="1"/>
  <c r="D20" i="12"/>
  <c r="C20" i="12" s="1"/>
  <c r="C18" i="12" s="1"/>
  <c r="D10" i="69"/>
  <c r="D17" i="12"/>
  <c r="C17" i="12" s="1"/>
  <c r="C14" i="12"/>
  <c r="D15" i="71"/>
  <c r="C14" i="71"/>
  <c r="B5" i="71"/>
  <c r="S6" i="71"/>
  <c r="I27" i="6"/>
  <c r="S19" i="6"/>
  <c r="S27" i="6" s="1"/>
  <c r="C34" i="11"/>
  <c r="L16" i="1"/>
  <c r="N16" i="1"/>
  <c r="C20" i="11"/>
  <c r="C25" i="11" s="1"/>
  <c r="C22" i="11" s="1"/>
  <c r="C28" i="11"/>
  <c r="C27" i="11" s="1"/>
  <c r="C19" i="68"/>
  <c r="C24" i="68" s="1"/>
  <c r="D37" i="68"/>
  <c r="C37" i="68" s="1"/>
  <c r="E2" i="7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3" i="67"/>
  <c r="Q49" i="67"/>
  <c r="J59" i="67" l="1"/>
  <c r="J60" i="67" s="1"/>
  <c r="Q48" i="67" s="1"/>
  <c r="C57" i="67"/>
  <c r="C61" i="67" s="1"/>
  <c r="C33" i="67"/>
  <c r="C31" i="67" s="1"/>
  <c r="J19" i="67"/>
  <c r="J17" i="67" s="1"/>
  <c r="J14" i="67"/>
  <c r="J13" i="67" s="1"/>
  <c r="J23" i="67" s="1"/>
  <c r="U6" i="1"/>
  <c r="L28" i="66"/>
  <c r="C19" i="15"/>
  <c r="C20" i="15" s="1"/>
  <c r="C26" i="15" s="1"/>
  <c r="C33" i="68"/>
  <c r="C39" i="68" s="1"/>
  <c r="C35" i="11"/>
  <c r="C38" i="11"/>
  <c r="H27" i="6"/>
  <c r="D27" i="6"/>
  <c r="D31" i="6" s="1"/>
  <c r="R19" i="6"/>
  <c r="D16" i="6"/>
  <c r="F50" i="11"/>
  <c r="F50" i="69"/>
  <c r="F50" i="68"/>
  <c r="C31" i="11"/>
  <c r="C13" i="71"/>
  <c r="T14" i="71"/>
  <c r="D14" i="71"/>
  <c r="U14" i="71" s="1"/>
  <c r="C10" i="69"/>
  <c r="C8" i="69" s="1"/>
  <c r="C5" i="69" s="1"/>
  <c r="D19" i="69"/>
  <c r="C15" i="12"/>
  <c r="C12" i="12"/>
  <c r="A7" i="51"/>
  <c r="B7" i="72" s="1"/>
  <c r="C4" i="52"/>
  <c r="B45" i="72" s="1"/>
  <c r="A10" i="51"/>
  <c r="B9" i="72" s="1"/>
  <c r="B3" i="76"/>
  <c r="I70" i="39"/>
  <c r="J68" i="39"/>
  <c r="I63" i="40"/>
  <c r="H65" i="40"/>
  <c r="I58" i="21"/>
  <c r="J58" i="21" s="1"/>
  <c r="K58" i="21" s="1"/>
  <c r="L58" i="21" s="1"/>
  <c r="M58" i="21" s="1"/>
  <c r="N58" i="21" s="1"/>
  <c r="O58" i="21" s="1"/>
  <c r="H7" i="21" s="1"/>
  <c r="F7" i="21"/>
  <c r="J48" i="35"/>
  <c r="C59" i="67"/>
  <c r="C64" i="67"/>
  <c r="L46" i="67"/>
  <c r="C56" i="67"/>
  <c r="C65" i="67" s="1"/>
  <c r="C75" i="67"/>
  <c r="Q70" i="67"/>
  <c r="C37" i="67"/>
  <c r="C30" i="67" s="1"/>
  <c r="C39" i="67" s="1"/>
  <c r="F6" i="15"/>
  <c r="L51" i="67"/>
  <c r="J22" i="67" l="1"/>
  <c r="J16" i="67" s="1"/>
  <c r="J25" i="67" s="1"/>
  <c r="C6" i="15"/>
  <c r="C33" i="11"/>
  <c r="C39" i="11" s="1"/>
  <c r="C42" i="68"/>
  <c r="C16" i="12"/>
  <c r="C21" i="12" s="1"/>
  <c r="C22" i="12" s="1"/>
  <c r="C23" i="69"/>
  <c r="I5" i="6"/>
  <c r="I6" i="6"/>
  <c r="C11" i="39" s="1"/>
  <c r="J7" i="21"/>
  <c r="C23" i="15"/>
  <c r="C29" i="15" s="1"/>
  <c r="C33" i="15" s="1"/>
  <c r="C19" i="69"/>
  <c r="D37" i="69"/>
  <c r="C37" i="69" s="1"/>
  <c r="C33" i="69" s="1"/>
  <c r="C12" i="71"/>
  <c r="D13" i="71"/>
  <c r="R6" i="1"/>
  <c r="R27" i="6"/>
  <c r="C46" i="68"/>
  <c r="C45" i="68" s="1"/>
  <c r="C43" i="68"/>
  <c r="C41" i="68" s="1"/>
  <c r="K68" i="39"/>
  <c r="J70" i="39"/>
  <c r="U7" i="21"/>
  <c r="AB7" i="21"/>
  <c r="T48" i="21" s="1"/>
  <c r="G48" i="21" s="1"/>
  <c r="S7" i="21"/>
  <c r="AA7" i="21"/>
  <c r="R48" i="21" s="1"/>
  <c r="J63" i="40"/>
  <c r="I65" i="40"/>
  <c r="K48" i="35"/>
  <c r="L48" i="35" s="1"/>
  <c r="M48" i="35" s="1"/>
  <c r="N48" i="35" s="1"/>
  <c r="O48" i="35" s="1"/>
  <c r="H7" i="35" s="1"/>
  <c r="AC7" i="21"/>
  <c r="V48" i="21" s="1"/>
  <c r="I48" i="21" s="1"/>
  <c r="W7" i="21"/>
  <c r="C80" i="67"/>
  <c r="C79" i="67" s="1"/>
  <c r="C58" i="67"/>
  <c r="C67" i="67" s="1"/>
  <c r="C68" i="67" s="1"/>
  <c r="Q69" i="67"/>
  <c r="Q68" i="67" s="1"/>
  <c r="C40" i="67"/>
  <c r="M21" i="15"/>
  <c r="F35" i="15"/>
  <c r="C32" i="15" l="1"/>
  <c r="C5" i="15"/>
  <c r="C38" i="15" s="1"/>
  <c r="C42" i="11"/>
  <c r="C27" i="12"/>
  <c r="C25" i="12" s="1"/>
  <c r="C30" i="12"/>
  <c r="C28" i="12" s="1"/>
  <c r="C49" i="68"/>
  <c r="C51" i="68" s="1"/>
  <c r="F63" i="15"/>
  <c r="C62" i="15" s="1"/>
  <c r="C34" i="15"/>
  <c r="J20" i="15"/>
  <c r="R16" i="1"/>
  <c r="C11" i="71"/>
  <c r="D12" i="71"/>
  <c r="C20" i="69"/>
  <c r="C25" i="69" s="1"/>
  <c r="C24" i="69"/>
  <c r="J11" i="39"/>
  <c r="H11" i="39"/>
  <c r="F11" i="39"/>
  <c r="C39" i="69"/>
  <c r="C43" i="69" s="1"/>
  <c r="C42" i="69"/>
  <c r="C46" i="69"/>
  <c r="C45" i="69" s="1"/>
  <c r="C57" i="15"/>
  <c r="Q49" i="15"/>
  <c r="J59" i="15"/>
  <c r="J60" i="15" s="1"/>
  <c r="Q48" i="15" s="1"/>
  <c r="J14" i="15"/>
  <c r="C36" i="15"/>
  <c r="C13" i="15"/>
  <c r="J19" i="15"/>
  <c r="C46" i="11"/>
  <c r="C45" i="11" s="1"/>
  <c r="C43" i="11"/>
  <c r="C41" i="11" s="1"/>
  <c r="J7" i="35"/>
  <c r="W7" i="35" s="1"/>
  <c r="K70" i="39"/>
  <c r="L68"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31" i="15" l="1"/>
  <c r="C49" i="11"/>
  <c r="C51" i="11" s="1"/>
  <c r="C52" i="11" s="1"/>
  <c r="B2" i="11" s="1"/>
  <c r="B3" i="11" s="1"/>
  <c r="C22" i="69"/>
  <c r="C28" i="69"/>
  <c r="C27" i="69" s="1"/>
  <c r="J17" i="15"/>
  <c r="C41" i="69"/>
  <c r="C49" i="69" s="1"/>
  <c r="C51" i="69" s="1"/>
  <c r="C32" i="12"/>
  <c r="B2" i="12" s="1"/>
  <c r="B3" i="12" s="1"/>
  <c r="L46" i="15"/>
  <c r="AC7" i="35"/>
  <c r="V38" i="35" s="1"/>
  <c r="I38" i="35" s="1"/>
  <c r="C56" i="15"/>
  <c r="C65" i="15" s="1"/>
  <c r="C37" i="15"/>
  <c r="C30" i="15" s="1"/>
  <c r="C39" i="15" s="1"/>
  <c r="Q70" i="15"/>
  <c r="C75" i="15"/>
  <c r="J22" i="15"/>
  <c r="J13" i="15"/>
  <c r="J23" i="15" s="1"/>
  <c r="AB11" i="39"/>
  <c r="U11" i="39"/>
  <c r="C61" i="15"/>
  <c r="C59" i="15" s="1"/>
  <c r="C64" i="15"/>
  <c r="AA11" i="39"/>
  <c r="S11" i="39"/>
  <c r="W11" i="39"/>
  <c r="AC11" i="39"/>
  <c r="C10" i="71"/>
  <c r="D11" i="7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J16" i="15" l="1"/>
  <c r="J25" i="15" s="1"/>
  <c r="C31" i="69"/>
  <c r="C52" i="69" s="1"/>
  <c r="B2" i="69" s="1"/>
  <c r="B3" i="69" s="1"/>
  <c r="C58" i="15"/>
  <c r="C67" i="15" s="1"/>
  <c r="C68" i="15" s="1"/>
  <c r="C71" i="15" s="1"/>
  <c r="C40" i="15"/>
  <c r="Q69" i="15"/>
  <c r="Q68" i="15" s="1"/>
  <c r="C80" i="15"/>
  <c r="C79" i="15" s="1"/>
  <c r="C56" i="11"/>
  <c r="C57" i="11" s="1"/>
  <c r="C9" i="71"/>
  <c r="T10" i="71"/>
  <c r="D10" i="71"/>
  <c r="U10" i="71" s="1"/>
  <c r="M70" i="39"/>
  <c r="N68" i="39"/>
  <c r="R39" i="35"/>
  <c r="E38" i="35"/>
  <c r="M63" i="40"/>
  <c r="L65" i="40"/>
  <c r="L51" i="15"/>
  <c r="C57" i="69" l="1"/>
  <c r="C56" i="69" s="1"/>
  <c r="Q67" i="15"/>
  <c r="D9" i="71"/>
  <c r="C8" i="71"/>
  <c r="Q56" i="15"/>
  <c r="Q62" i="15" s="1"/>
  <c r="C83" i="15"/>
  <c r="C82" i="15" s="1"/>
  <c r="Q65" i="15"/>
  <c r="Q75" i="15" s="1"/>
  <c r="Q47" i="15"/>
  <c r="Q53" i="15" s="1"/>
  <c r="C43" i="15"/>
  <c r="B2" i="15"/>
  <c r="C46" i="15"/>
  <c r="O68" i="39"/>
  <c r="O70" i="39" s="1"/>
  <c r="N70" i="39"/>
  <c r="F7" i="39"/>
  <c r="C39" i="35"/>
  <c r="B2" i="35" s="1"/>
  <c r="B3" i="35" s="1"/>
  <c r="C38" i="35"/>
  <c r="N63" i="40"/>
  <c r="M65" i="40"/>
  <c r="E43" i="35"/>
  <c r="F43" i="35" s="1"/>
  <c r="E42" i="35"/>
  <c r="F42" i="35" s="1"/>
  <c r="I43" i="35"/>
  <c r="J43" i="35" s="1"/>
  <c r="D19" i="9"/>
  <c r="AO6" i="1"/>
  <c r="B6" i="70" l="1"/>
  <c r="B2" i="70" s="1"/>
  <c r="B3" i="70" s="1"/>
  <c r="D102" i="9"/>
  <c r="D21" i="9"/>
  <c r="B3" i="15"/>
  <c r="D8" i="71"/>
  <c r="C7" i="71"/>
  <c r="AA7" i="39"/>
  <c r="R47" i="39" s="1"/>
  <c r="S7" i="39"/>
  <c r="J7" i="39"/>
  <c r="H7" i="39"/>
  <c r="O63" i="40"/>
  <c r="O65" i="40" s="1"/>
  <c r="N65" i="40"/>
  <c r="D20" i="9"/>
  <c r="D103" i="9" l="1"/>
  <c r="D7" i="71"/>
  <c r="C6" i="71"/>
  <c r="AB7" i="39"/>
  <c r="T47" i="39" s="1"/>
  <c r="G47" i="39" s="1"/>
  <c r="U7" i="39"/>
  <c r="AC7" i="39"/>
  <c r="V47" i="39" s="1"/>
  <c r="I47" i="39" s="1"/>
  <c r="W7" i="39"/>
  <c r="E47" i="39"/>
  <c r="J7" i="40"/>
  <c r="F7" i="40"/>
  <c r="H7" i="40"/>
  <c r="C5" i="71" l="1"/>
  <c r="T6" i="71"/>
  <c r="D6" i="71"/>
  <c r="U6" i="71" s="1"/>
  <c r="R48" i="39"/>
  <c r="C47" i="39" s="1"/>
  <c r="E51" i="39"/>
  <c r="F51" i="39" s="1"/>
  <c r="E52" i="39"/>
  <c r="F52" i="39" s="1"/>
  <c r="I52" i="39"/>
  <c r="J52" i="39" s="1"/>
  <c r="I51" i="39"/>
  <c r="J51" i="39" s="1"/>
  <c r="G52" i="39"/>
  <c r="H52" i="39" s="1"/>
  <c r="G51" i="39"/>
  <c r="H51" i="39" s="1"/>
  <c r="U7" i="40"/>
  <c r="AB7" i="40"/>
  <c r="T42" i="40" s="1"/>
  <c r="G42" i="40" s="1"/>
  <c r="AA7" i="40"/>
  <c r="R42" i="40" s="1"/>
  <c r="S7" i="40"/>
  <c r="AC7" i="40"/>
  <c r="V42" i="40" s="1"/>
  <c r="I42" i="40" s="1"/>
  <c r="W7" i="40"/>
  <c r="D5" i="71" l="1"/>
  <c r="M20" i="43"/>
  <c r="C48" i="39"/>
  <c r="B56" i="39" s="1"/>
  <c r="F56" i="39" s="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2" i="68" l="1"/>
  <c r="C28" i="68"/>
  <c r="C27" i="68" s="1"/>
  <c r="C31" i="68" l="1"/>
  <c r="C52" i="68" s="1"/>
  <c r="B2" i="68" s="1"/>
  <c r="C19" i="9"/>
  <c r="B3" i="68"/>
  <c r="C57" i="68" l="1"/>
  <c r="C21" i="9"/>
  <c r="C102" i="9"/>
  <c r="G19" i="9"/>
  <c r="G21" i="9" s="1"/>
  <c r="D22" i="9"/>
  <c r="C20" i="9"/>
  <c r="D35" i="9"/>
  <c r="C56" i="68" l="1"/>
  <c r="G20" i="9"/>
  <c r="C32" i="9" s="1"/>
  <c r="C35" i="9" s="1"/>
  <c r="C34" i="9" s="1"/>
  <c r="D118" i="9" s="1"/>
  <c r="D4" i="52" s="1"/>
  <c r="B47" i="72" s="1"/>
  <c r="C103" i="9"/>
  <c r="D34" i="9"/>
  <c r="H118" i="9" l="1"/>
  <c r="H119" i="9" s="1"/>
  <c r="H5" i="52" s="1"/>
  <c r="F118" i="9"/>
  <c r="G118" i="9" s="1"/>
  <c r="G4" i="52" s="1"/>
  <c r="B52" i="72" s="1"/>
  <c r="D119" i="9"/>
  <c r="D5" i="52" s="1"/>
  <c r="B49" i="72" s="1"/>
  <c r="H101" i="9" l="1"/>
  <c r="D5" i="53" s="1"/>
  <c r="C104" i="9"/>
  <c r="D14" i="74"/>
  <c r="F14" i="74" s="1"/>
  <c r="I118" i="9"/>
  <c r="C105" i="9" s="1"/>
  <c r="H4" i="52"/>
  <c r="F119" i="9"/>
  <c r="F5" i="52" s="1"/>
  <c r="B53" i="72" s="1"/>
  <c r="F4" i="52"/>
  <c r="B51" i="72" s="1"/>
  <c r="M48" i="9" l="1"/>
  <c r="D45" i="9"/>
  <c r="C64" i="9" s="1"/>
  <c r="C63" i="9" s="1"/>
  <c r="C67" i="9" s="1"/>
  <c r="B5" i="74"/>
  <c r="D5" i="74" s="1"/>
  <c r="H102" i="9"/>
  <c r="D7" i="53" s="1"/>
  <c r="B21" i="72" s="1"/>
  <c r="E118" i="9"/>
  <c r="E4" i="52" s="1"/>
  <c r="B48" i="72" s="1"/>
  <c r="I4" i="52"/>
  <c r="H107" i="9"/>
  <c r="H108" i="9" s="1"/>
  <c r="D15" i="53" s="1"/>
  <c r="B31" i="72" s="1"/>
  <c r="E14" i="74"/>
  <c r="C5" i="74"/>
  <c r="B20" i="72"/>
  <c r="D6" i="53"/>
  <c r="B22" i="72" s="1"/>
  <c r="D52" i="9"/>
  <c r="C85" i="9" l="1"/>
  <c r="C78" i="9"/>
  <c r="C73" i="9" s="1"/>
  <c r="C93" i="9"/>
  <c r="C86" i="9" s="1"/>
  <c r="D55" i="9"/>
  <c r="M53" i="9" s="1"/>
  <c r="D53" i="9"/>
  <c r="C72" i="9"/>
  <c r="C79" i="9" s="1"/>
  <c r="C80" i="9" s="1"/>
  <c r="E80" i="9" s="1"/>
  <c r="E81" i="9" s="1"/>
  <c r="D13" i="53"/>
  <c r="D14" i="53" s="1"/>
  <c r="B32" i="72" s="1"/>
  <c r="M49" i="9"/>
  <c r="L68" i="9" s="1"/>
  <c r="M68" i="9" s="1"/>
  <c r="D122" i="9"/>
  <c r="D8" i="52" s="1"/>
  <c r="D59" i="9"/>
  <c r="M55" i="9" s="1"/>
  <c r="C68" i="9"/>
  <c r="D54" i="9" s="1"/>
  <c r="C95" i="9" l="1"/>
  <c r="C96" i="9" s="1"/>
  <c r="E96" i="9" s="1"/>
  <c r="E97" i="9" s="1"/>
  <c r="D123" i="9"/>
  <c r="D9" i="52" s="1"/>
  <c r="B30" i="72"/>
  <c r="G14" i="74"/>
  <c r="B6" i="74" s="1"/>
  <c r="C6" i="74" s="1"/>
  <c r="L67" i="9"/>
  <c r="M67" i="9" s="1"/>
  <c r="L66" i="9"/>
  <c r="M66" i="9" s="1"/>
  <c r="C97" i="9"/>
  <c r="D58" i="9" s="1"/>
  <c r="D56" i="9" s="1"/>
  <c r="M54" i="9" s="1"/>
  <c r="N57" i="9" s="1"/>
  <c r="N58" i="9" s="1"/>
  <c r="L63" i="9"/>
  <c r="M63" i="9" s="1"/>
  <c r="L65" i="9"/>
  <c r="M65" i="9" s="1"/>
  <c r="L64" i="9"/>
  <c r="M64" i="9" s="1"/>
  <c r="C81" i="9"/>
  <c r="D6" i="74" l="1"/>
  <c r="P57" i="9"/>
  <c r="M69" i="9"/>
  <c r="N69" i="9" s="1"/>
  <c r="N59" i="9"/>
  <c r="N61" i="9" l="1"/>
  <c r="H112" i="9" s="1"/>
  <c r="D21" i="53" s="1"/>
  <c r="B39" i="72" s="1"/>
  <c r="N60" i="9"/>
  <c r="H111" i="9"/>
  <c r="D126" i="9" s="1"/>
  <c r="I14" i="74" s="1"/>
  <c r="B8" i="74" s="1"/>
  <c r="D127" i="9" l="1"/>
  <c r="D13" i="52" s="1"/>
  <c r="D12" i="52"/>
  <c r="D19" i="53"/>
  <c r="C8" i="74"/>
  <c r="D8" i="74"/>
  <c r="D20" i="53" l="1"/>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<sst xmlns="http://schemas.openxmlformats.org/spreadsheetml/2006/main" count="7734" uniqueCount="3222">
  <si>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</si>
  <si>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</si>
  <si>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</si>
  <si>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</si>
  <si>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</si>
  <si>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</si>
  <si>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</si>
  <si>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</si>
  <si>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</si>
  <si>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</si>
  <si>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</si>
  <si>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</si>
  <si>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</si>
  <si>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</si>
  <si>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</si>
  <si>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</si>
  <si>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</si>
  <si>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</si>
  <si>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</si>
  <si>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</si>
  <si>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</si>
  <si>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</si>
  <si>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</si>
  <si>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</si>
  <si>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</si>
  <si>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</si>
  <si>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</si>
  <si>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</si>
  <si>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</si>
  <si>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</si>
  <si>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</si>
  <si>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</si>
  <si>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</si>
  <si>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</si>
  <si>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</si>
  <si>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</si>
  <si>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</si>
  <si>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</si>
  <si>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</si>
  <si>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</si>
  <si>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</si>
  <si>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</si>
  <si>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</si>
  <si>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</si>
  <si>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</si>
  <si>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</si>
  <si>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</si>
  <si>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</si>
  <si>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</si>
  <si>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</si>
  <si>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</si>
  <si>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</si>
  <si>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</si>
  <si>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</si>
  <si>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</si>
  <si>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</si>
  <si>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</si>
  <si>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</si>
  <si>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</si>
  <si>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</si>
  <si>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</si>
  <si>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</si>
  <si>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</si>
  <si>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</si>
  <si>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</si>
  <si>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</si>
  <si>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</si>
  <si>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</si>
  <si>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</si>
  <si>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</si>
  <si>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</si>
  <si>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</si>
  <si>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</si>
  <si>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</si>
  <si>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</si>
  <si>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</si>
  <si>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</si>
  <si>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</si>
  <si>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</si>
  <si>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</si>
  <si>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</si>
  <si>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</si>
  <si>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</si>
  <si>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</si>
  <si>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</si>
  <si>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</si>
  <si>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</si>
  <si>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</si>
  <si>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</si>
  <si>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</si>
  <si>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</si>
  <si>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</si>
  <si>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</si>
  <si>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</si>
  <si>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</si>
  <si>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</si>
  <si>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</si>
  <si>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</si>
  <si>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</si>
  <si>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</si>
  <si>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</si>
  <si>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</si>
  <si>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</si>
  <si>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</si>
  <si>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</si>
  <si>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</si>
  <si>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</si>
  <si>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</si>
  <si>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</si>
  <si>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</si>
  <si>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</si>
  <si>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</si>
  <si>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</si>
  <si>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</si>
  <si>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</si>
  <si>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</si>
  <si>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</si>
  <si>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</si>
  <si>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</si>
  <si>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</si>
  <si>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</si>
  <si>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</si>
  <si>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</si>
  <si>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</si>
  <si>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</si>
  <si>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</si>
  <si>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</si>
  <si>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</si>
  <si>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</si>
  <si>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</si>
  <si>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</si>
  <si>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</si>
  <si>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</si>
  <si>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</si>
  <si>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</si>
  <si>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</si>
  <si>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</si>
  <si>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</si>
  <si>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</si>
  <si>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</si>
  <si>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</si>
  <si>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</si>
  <si>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</si>
  <si>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</si>
  <si>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</si>
  <si>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</si>
  <si>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</si>
  <si>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</si>
  <si>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</si>
  <si>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</si>
  <si>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</si>
  <si>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</si>
  <si>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</si>
  <si>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</si>
  <si>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</si>
  <si>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</si>
  <si>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</si>
  <si>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</si>
  <si>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</si>
  <si>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</si>
  <si>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</si>
  <si>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</si>
  <si>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</si>
  <si>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</si>
  <si>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</si>
  <si>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</si>
  <si>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</si>
  <si>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</si>
  <si>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</si>
  <si>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</si>
  <si>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</si>
  <si>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</si>
  <si>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</si>
  <si>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</si>
  <si>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</si>
  <si>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</si>
  <si>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</si>
  <si>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</si>
  <si>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</si>
  <si>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</si>
  <si>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</si>
  <si>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</si>
  <si>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</si>
  <si>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</si>
  <si>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</si>
  <si>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</si>
  <si>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</si>
  <si>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</si>
  <si>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</si>
  <si>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</si>
  <si>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</si>
  <si>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</si>
  <si>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</si>
  <si>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</si>
  <si>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</si>
  <si>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</si>
  <si>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</si>
  <si>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</si>
  <si>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</si>
  <si>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</si>
  <si>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</si>
  <si>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</si>
  <si>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</si>
  <si>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</si>
  <si>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</si>
  <si>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</si>
  <si>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</si>
  <si>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</si>
  <si>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</si>
  <si>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</si>
  <si>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</si>
  <si>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</si>
  <si>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</si>
  <si>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</si>
  <si>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</si>
  <si>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</si>
  <si>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</si>
  <si>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</si>
  <si>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</si>
  <si>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</si>
  <si>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</si>
  <si>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</si>
  <si>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</si>
  <si>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</si>
  <si>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</si>
  <si>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</si>
  <si>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</si>
  <si>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</si>
  <si>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</si>
  <si>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</si>
  <si>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</si>
  <si>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</si>
  <si>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</si>
  <si>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</si>
  <si>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</si>
  <si>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</si>
  <si>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</si>
  <si>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</si>
  <si>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</si>
  <si>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</si>
  <si>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</si>
  <si>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</si>
  <si>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</si>
  <si>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</si>
  <si>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</si>
  <si>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</si>
  <si>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</si>
  <si>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</si>
  <si>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</si>
  <si>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</si>
  <si>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</si>
  <si>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</si>
  <si>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</si>
  <si>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</si>
  <si>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</si>
  <si>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</si>
  <si>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</si>
  <si>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</si>
  <si>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</si>
  <si>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</si>
  <si>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</si>
  <si>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</si>
  <si>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</si>
  <si>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</si>
  <si>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</si>
  <si>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</si>
  <si>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</si>
  <si>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</si>
  <si>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</si>
  <si>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</si>
  <si>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</si>
  <si>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</si>
  <si>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</si>
  <si>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</si>
  <si>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</si>
  <si>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</si>
  <si>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</si>
  <si>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</si>
  <si>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</si>
  <si>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</si>
  <si>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</si>
  <si>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</si>
  <si>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</si>
  <si>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</si>
  <si>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</si>
  <si>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</si>
  <si>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</si>
  <si>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</si>
  <si>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</si>
  <si>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</si>
  <si>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</si>
  <si>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</si>
  <si>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</si>
  <si>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</si>
  <si>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</si>
  <si>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</si>
  <si>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</si>
  <si>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</si>
  <si>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</si>
  <si>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</si>
  <si>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</si>
  <si>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</si>
  <si>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</si>
  <si>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</si>
  <si>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</si>
  <si>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</si>
  <si>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</si>
  <si>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</si>
  <si>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</si>
  <si>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</si>
  <si>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</si>
  <si>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</si>
  <si>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</si>
  <si>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</si>
  <si>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</si>
  <si>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</si>
  <si>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</si>
  <si>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</si>
  <si>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</si>
  <si>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</si>
  <si>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</si>
  <si>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</si>
  <si>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</si>
  <si>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</si>
  <si>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</si>
  <si>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</si>
  <si>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</si>
  <si>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</si>
  <si>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</si>
  <si>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</si>
  <si>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</si>
  <si>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</si>
  <si>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</si>
  <si>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</si>
  <si>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</si>
  <si>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</si>
  <si>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</si>
  <si>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</si>
  <si>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</si>
  <si>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</si>
  <si>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</si>
  <si>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</si>
  <si>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</si>
  <si>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</si>
  <si>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</si>
  <si>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</si>
  <si>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</si>
  <si>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</si>
  <si>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</si>
  <si>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</si>
  <si>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</si>
  <si>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</si>
  <si>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</si>
  <si>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</si>
  <si>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</si>
  <si>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</si>
  <si>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</si>
  <si>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</si>
  <si>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</si>
  <si>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</si>
  <si>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</si>
  <si>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</si>
  <si>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</si>
  <si>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</si>
  <si>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</si>
  <si>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</si>
  <si>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</si>
  <si>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</si>
  <si>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</si>
  <si>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</si>
  <si>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</si>
  <si>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</si>
  <si>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</si>
  <si>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</si>
  <si>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</si>
  <si>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</si>
  <si>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</si>
  <si>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</si>
  <si>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</si>
  <si>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</si>
  <si>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</si>
  <si>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</si>
  <si>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</si>
  <si>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</si>
  <si>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</si>
  <si>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</si>
  <si>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</si>
  <si>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</si>
  <si>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</si>
  <si>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</si>
  <si>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</si>
  <si>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</si>
  <si>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</si>
  <si>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</si>
  <si>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</si>
  <si>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</si>
  <si>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</si>
  <si>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</si>
  <si>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</si>
  <si>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</si>
  <si>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</si>
  <si>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</si>
  <si>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</si>
  <si>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</si>
  <si>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</si>
  <si>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</si>
  <si>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</si>
  <si>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</si>
  <si>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</si>
  <si>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</si>
  <si>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</si>
  <si>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</si>
  <si>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</si>
  <si>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</si>
  <si>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</si>
  <si>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</si>
  <si>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</si>
  <si>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</si>
  <si>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</si>
  <si>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</si>
  <si>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</si>
  <si>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</si>
  <si>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</si>
  <si>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</si>
  <si>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</si>
  <si>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</si>
  <si>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</si>
  <si>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</si>
  <si>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</si>
  <si>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</si>
  <si>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</si>
  <si>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</si>
  <si>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</si>
  <si>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</si>
  <si>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</si>
  <si>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</si>
  <si>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</si>
  <si>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</si>
  <si>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</si>
  <si>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</si>
  <si>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</si>
  <si>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</si>
  <si>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</si>
  <si>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</si>
  <si>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</si>
  <si>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</si>
  <si>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</si>
  <si>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</si>
  <si>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</si>
  <si>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</si>
  <si>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</si>
  <si>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</si>
  <si>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</si>
  <si>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</si>
  <si>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</si>
  <si>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</si>
  <si>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</si>
  <si>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</si>
  <si>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</si>
  <si>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</si>
  <si>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</si>
  <si>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</si>
  <si>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</si>
  <si>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</si>
  <si>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</si>
  <si>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</si>
  <si>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</si>
  <si>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</si>
  <si>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</si>
  <si>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</si>
  <si>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</si>
  <si>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</si>
  <si>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</si>
  <si>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</si>
  <si>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</si>
  <si>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</si>
  <si>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</si>
  <si>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</si>
  <si>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</si>
  <si>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</si>
  <si>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</si>
  <si>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</si>
  <si>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</si>
  <si>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</si>
  <si>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</si>
  <si>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</si>
  <si>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</si>
  <si>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</si>
  <si>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</si>
  <si>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</si>
  <si>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</si>
  <si>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</si>
  <si>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</si>
  <si>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</si>
  <si>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</si>
  <si>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</si>
  <si>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</si>
  <si>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</si>
  <si>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</si>
  <si>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</si>
  <si>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</si>
  <si>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</si>
  <si>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</si>
  <si>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</si>
  <si>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</si>
  <si>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</si>
  <si>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</si>
  <si>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</si>
  <si>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</si>
  <si>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</si>
  <si>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</si>
  <si>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</si>
  <si>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</si>
  <si>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</si>
  <si>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</si>
  <si>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</si>
  <si>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</si>
  <si>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</si>
  <si>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</si>
  <si>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</si>
  <si>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</si>
  <si>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</si>
  <si>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</si>
  <si>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</si>
  <si>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</si>
  <si>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</si>
  <si>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</si>
  <si>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</si>
  <si>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</si>
  <si>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</si>
  <si>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</si>
  <si>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</si>
  <si>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</si>
  <si>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</si>
  <si>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</si>
  <si>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</si>
  <si>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</si>
  <si>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</si>
  <si>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</si>
  <si>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</si>
  <si>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</si>
  <si>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</si>
  <si>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</si>
  <si>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</si>
  <si>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</si>
  <si>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</si>
  <si>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</si>
  <si>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</si>
  <si>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</si>
  <si>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</si>
  <si>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</si>
  <si>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</si>
  <si>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</si>
  <si>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</si>
  <si>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</si>
  <si>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</si>
  <si>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</si>
  <si>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</si>
  <si>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</si>
  <si>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</si>
  <si>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</si>
  <si>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</si>
  <si>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</si>
  <si>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</si>
  <si>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</si>
  <si>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</si>
  <si>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</si>
  <si>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</si>
  <si>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</si>
  <si>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</si>
  <si>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</si>
  <si>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</si>
  <si>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</si>
  <si>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</si>
  <si>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</si>
  <si>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</si>
  <si>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</si>
  <si>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</si>
  <si>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</si>
  <si>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</si>
  <si>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</si>
  <si>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</si>
  <si>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</si>
  <si>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</si>
  <si>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</si>
  <si>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</si>
  <si>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</si>
  <si>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</si>
  <si>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</si>
  <si>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</si>
  <si>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</si>
  <si>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</si>
  <si>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</si>
  <si>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</si>
  <si>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</si>
  <si>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</si>
  <si>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</si>
  <si>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</si>
  <si>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</si>
  <si>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</si>
  <si>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</si>
  <si>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</si>
  <si>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</si>
  <si>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</si>
  <si>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</si>
  <si>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</si>
  <si>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</si>
  <si>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</si>
  <si>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</si>
  <si>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</si>
  <si>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</si>
  <si>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</si>
  <si>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</si>
  <si>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</si>
  <si>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</si>
  <si>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</si>
  <si>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</si>
  <si>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</si>
  <si>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</si>
  <si>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</si>
  <si>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</si>
  <si>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</si>
  <si>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</si>
  <si>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</si>
  <si>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</si>
  <si>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</si>
  <si>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</si>
  <si>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</si>
  <si>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</si>
  <si>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</si>
  <si>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</si>
  <si>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</si>
  <si>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</si>
  <si>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</si>
  <si>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</si>
  <si>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</si>
  <si>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</si>
  <si>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</si>
  <si>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</si>
  <si>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</si>
  <si>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</si>
  <si>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</si>
  <si>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</si>
  <si>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</si>
  <si>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</si>
  <si>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</si>
  <si>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</si>
  <si>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</si>
  <si>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</si>
  <si>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</si>
  <si>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</si>
  <si>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</si>
  <si>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</si>
  <si>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</si>
  <si>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</si>
  <si>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</si>
  <si>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</si>
  <si>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</si>
  <si>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</si>
  <si>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</si>
  <si>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</si>
  <si>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</si>
  <si>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</si>
  <si>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</si>
  <si>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</si>
  <si>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</si>
  <si>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</si>
  <si>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</si>
  <si>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</si>
  <si>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</si>
  <si>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</si>
  <si>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</si>
  <si>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</si>
  <si>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</si>
  <si>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</si>
  <si>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</si>
  <si>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</si>
  <si>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</si>
  <si>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</si>
  <si>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</si>
  <si>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</si>
  <si>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</si>
  <si>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</si>
  <si>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</si>
  <si>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</si>
  <si>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</si>
  <si>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</si>
  <si>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</si>
  <si>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</si>
  <si>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</si>
  <si>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</si>
  <si>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</si>
  <si>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</si>
  <si>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</si>
  <si>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</si>
  <si>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</si>
  <si>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</si>
  <si>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</si>
  <si>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</si>
  <si>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</si>
  <si>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</si>
  <si>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</si>
  <si>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</si>
  <si>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</si>
  <si>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</si>
  <si>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</si>
  <si>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</si>
  <si>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</si>
  <si>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</si>
  <si>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</si>
  <si>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</si>
  <si>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</si>
  <si>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</si>
  <si>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</si>
  <si>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</si>
  <si>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</si>
  <si>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</si>
  <si>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</si>
  <si>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</si>
  <si>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</si>
  <si>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</si>
  <si>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</si>
  <si>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</si>
  <si>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</si>
  <si>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</si>
  <si>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</si>
  <si>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</si>
  <si>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</si>
  <si>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</si>
  <si>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</si>
  <si>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</si>
  <si>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</si>
  <si>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</si>
  <si>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</si>
  <si>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</si>
  <si>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</si>
  <si>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</si>
  <si>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</si>
  <si>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</si>
  <si>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</si>
  <si>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</si>
  <si>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</si>
  <si>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</si>
  <si>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</si>
  <si>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</si>
  <si>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</si>
  <si>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</si>
  <si>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</si>
  <si>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</si>
  <si>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</si>
  <si>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</si>
  <si>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</si>
  <si>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</si>
  <si>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</si>
  <si>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</si>
  <si>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</si>
  <si>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</si>
  <si>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</si>
  <si>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</si>
  <si>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</si>
  <si>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</si>
  <si>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</si>
  <si>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</si>
  <si>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</si>
  <si>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</si>
  <si>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</si>
  <si>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</si>
  <si>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</si>
  <si>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</si>
  <si>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</si>
  <si>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</si>
  <si>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</si>
  <si>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</si>
  <si>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</si>
  <si>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</si>
  <si>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</si>
  <si>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</si>
  <si>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</si>
  <si>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</si>
  <si>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</si>
  <si>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</si>
  <si>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</si>
  <si>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</si>
  <si>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</si>
  <si>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</si>
  <si>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</si>
  <si>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</si>
  <si>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</si>
  <si>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</si>
  <si>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</si>
  <si>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</si>
  <si>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</si>
  <si>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</si>
  <si>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</si>
  <si>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</si>
  <si>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</si>
  <si>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</si>
  <si>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</si>
  <si>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</si>
  <si>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</si>
  <si>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</si>
  <si>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</si>
  <si>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</si>
  <si>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</si>
  <si>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</si>
  <si>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</si>
  <si>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</si>
  <si>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</si>
  <si>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</si>
  <si>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</si>
  <si>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</si>
  <si>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</si>
  <si>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</si>
  <si>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</si>
  <si>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</si>
  <si>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</si>
  <si>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</si>
  <si>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</si>
  <si>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</si>
  <si>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</si>
  <si>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</si>
  <si>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</si>
  <si>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</si>
  <si>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</si>
  <si>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</si>
  <si>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</si>
  <si>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</si>
  <si>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</si>
  <si>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</si>
  <si>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</si>
  <si>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</si>
  <si>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</si>
  <si>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</si>
  <si>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</si>
  <si>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</si>
  <si>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</si>
  <si>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</si>
  <si>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</si>
  <si>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</si>
  <si>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</si>
  <si>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</si>
  <si>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</si>
  <si>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</si>
  <si>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</si>
  <si>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</si>
  <si>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</si>
  <si>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</si>
  <si>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</si>
  <si>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</si>
  <si>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</si>
  <si>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</si>
  <si>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</si>
  <si>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</si>
  <si>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</si>
  <si>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</si>
  <si>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</si>
  <si>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</si>
  <si>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</si>
  <si>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</si>
  <si>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</si>
  <si>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</si>
  <si>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</si>
  <si>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</si>
  <si>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</si>
  <si>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</si>
  <si>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</si>
  <si>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</si>
  <si>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</si>
  <si>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</si>
  <si>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</si>
  <si>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</si>
  <si>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</si>
  <si>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</si>
  <si>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</si>
  <si>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</si>
  <si>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</si>
  <si>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</si>
  <si>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</si>
  <si>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</si>
  <si>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</si>
  <si>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</si>
  <si>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</si>
  <si>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</si>
  <si>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</si>
  <si>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</si>
  <si>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</si>
  <si>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</si>
  <si>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</si>
  <si>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</si>
  <si>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</si>
  <si>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</si>
  <si>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</si>
  <si>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</si>
  <si>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</si>
  <si>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</si>
  <si>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</si>
  <si>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</si>
  <si>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</si>
  <si>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</si>
  <si>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</si>
  <si>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</si>
  <si>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</si>
  <si>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</si>
  <si>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</si>
  <si>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</si>
  <si>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</si>
  <si>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</si>
  <si>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</si>
  <si>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</si>
  <si>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</si>
  <si>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</si>
  <si>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</si>
  <si>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</si>
  <si>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</si>
  <si>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</si>
  <si>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</si>
  <si>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</si>
  <si>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</si>
  <si>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</si>
  <si>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</si>
  <si>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</si>
  <si>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</si>
  <si>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</si>
  <si>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</si>
  <si>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</si>
  <si>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</si>
  <si>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</si>
  <si>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</si>
  <si>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</si>
  <si>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</si>
  <si>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</si>
  <si>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</si>
  <si>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</si>
  <si>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</si>
  <si>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</si>
  <si>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</si>
  <si>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</si>
  <si>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</si>
  <si>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</si>
  <si>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</si>
  <si>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</si>
  <si>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</si>
  <si>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</si>
  <si>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</si>
  <si>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</si>
  <si>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</si>
  <si>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</si>
  <si>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</si>
  <si>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</si>
  <si>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</si>
  <si>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</si>
  <si>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</si>
  <si>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</si>
  <si>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</si>
  <si>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</si>
  <si>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</si>
  <si>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</si>
  <si>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</si>
  <si>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</si>
  <si>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</si>
  <si>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</si>
  <si>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</si>
  <si>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</si>
  <si>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</si>
  <si>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</si>
  <si>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</si>
  <si>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</si>
  <si>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</si>
  <si>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</si>
  <si>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</si>
  <si>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</si>
  <si>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</si>
  <si>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</si>
  <si>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</si>
  <si>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</si>
  <si>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</si>
  <si>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</si>
  <si>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</si>
  <si>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</si>
  <si>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</si>
  <si>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</si>
  <si>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</si>
  <si>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</si>
  <si>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</si>
  <si>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</si>
  <si>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</si>
  <si>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</si>
  <si>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</si>
  <si>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</si>
  <si>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</si>
  <si>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</si>
  <si>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</si>
  <si>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</si>
  <si>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</si>
  <si>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</si>
  <si>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</si>
  <si>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</si>
  <si>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</si>
  <si>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</si>
  <si>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</si>
  <si>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</si>
  <si>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</si>
  <si>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</si>
  <si>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</si>
  <si>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</si>
  <si>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</si>
  <si>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</si>
  <si>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</si>
  <si>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</si>
  <si>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</si>
  <si>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</si>
  <si>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</si>
  <si>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</si>
  <si>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</si>
  <si>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</si>
  <si>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</si>
  <si>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</si>
  <si>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</si>
  <si>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</si>
  <si>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</si>
  <si>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</si>
  <si>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</si>
  <si>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</si>
  <si>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</si>
  <si>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</si>
  <si>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</si>
  <si>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</si>
  <si>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</si>
  <si>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</si>
  <si>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</si>
  <si>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</si>
  <si>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</si>
  <si>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</si>
  <si>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</si>
  <si>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</si>
  <si>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</si>
  <si>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</si>
  <si>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</si>
  <si>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</si>
  <si>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</si>
  <si>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</si>
  <si>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</si>
  <si>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</si>
  <si>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</si>
  <si>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</si>
  <si>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</si>
  <si>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</si>
  <si>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</si>
  <si>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</si>
  <si>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</si>
  <si>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</si>
  <si>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</si>
  <si>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</si>
  <si>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</si>
  <si>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</si>
  <si>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</si>
  <si>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</si>
  <si>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</si>
  <si>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</si>
  <si>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</si>
  <si>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</si>
  <si>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</si>
  <si>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</si>
  <si>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</si>
  <si>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</si>
  <si>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</si>
  <si>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</si>
  <si>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</si>
  <si>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</si>
  <si>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</si>
  <si>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</si>
  <si>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</si>
  <si>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</si>
  <si>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</si>
  <si>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</si>
  <si>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</si>
  <si>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</si>
  <si>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</si>
  <si>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</si>
  <si>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</si>
  <si>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</si>
  <si>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</si>
  <si>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</si>
  <si>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</si>
  <si>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</si>
  <si>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</si>
  <si>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</si>
  <si>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</si>
  <si>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</si>
  <si>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</si>
  <si>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</si>
  <si>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</si>
  <si>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</si>
  <si>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</si>
  <si>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</si>
  <si>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</si>
  <si>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</si>
  <si>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</si>
  <si>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</si>
  <si>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</si>
  <si>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</si>
  <si>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</si>
  <si>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</si>
  <si>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</si>
  <si>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</si>
  <si>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</si>
  <si>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</si>
  <si>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</si>
  <si>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</si>
  <si>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</si>
  <si>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</si>
  <si>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</si>
  <si>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</si>
  <si>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</si>
  <si>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</si>
  <si>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</si>
  <si>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</si>
  <si>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</si>
  <si>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</si>
  <si>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</si>
  <si>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</si>
  <si>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</si>
  <si>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</si>
  <si>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</si>
  <si>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</si>
  <si>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</si>
  <si>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</si>
  <si>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</si>
  <si>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</si>
  <si>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</si>
  <si>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</si>
  <si>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</si>
  <si>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</si>
  <si>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</si>
  <si>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</si>
  <si>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</si>
  <si>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</si>
  <si>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</si>
  <si>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</si>
  <si>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</si>
  <si>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</si>
  <si>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</si>
  <si>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</si>
  <si>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</si>
  <si>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</si>
  <si>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</si>
  <si>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</si>
  <si>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</si>
  <si>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</si>
  <si>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</si>
  <si>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</si>
  <si>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</si>
  <si>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</si>
  <si>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</si>
  <si>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</si>
  <si>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</si>
  <si>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</si>
  <si>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</si>
  <si>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</si>
  <si>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</si>
  <si>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</si>
  <si>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</si>
  <si>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</si>
  <si>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</si>
  <si>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</si>
  <si>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</si>
  <si>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</si>
  <si>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</si>
  <si>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</si>
  <si>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</si>
  <si>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</si>
  <si>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</si>
  <si>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</si>
  <si>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</si>
  <si>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</si>
  <si>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</si>
  <si>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</si>
  <si>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</si>
  <si>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</si>
  <si>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</si>
  <si>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</si>
  <si>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</si>
  <si>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</si>
  <si>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</si>
  <si>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</si>
  <si>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</si>
  <si>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</si>
  <si>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</si>
  <si>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</si>
  <si>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</si>
  <si>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</si>
  <si>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</si>
  <si>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</si>
  <si>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</si>
  <si>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</si>
  <si>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</si>
  <si>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</si>
  <si>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</si>
  <si>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</si>
  <si>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</si>
  <si>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</si>
  <si>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</si>
  <si>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</si>
  <si>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</si>
  <si>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</si>
  <si>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</si>
  <si>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</si>
  <si>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</si>
  <si>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</si>
  <si>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</si>
  <si>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</si>
  <si>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</si>
  <si>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</si>
  <si>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</si>
  <si>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</si>
  <si>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</si>
  <si>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</si>
  <si>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</si>
  <si>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</si>
  <si>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</si>
  <si>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</si>
  <si>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</si>
  <si>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</si>
  <si>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</si>
  <si>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</si>
  <si>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</si>
  <si>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</si>
  <si>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</si>
  <si>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</si>
  <si>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</si>
  <si>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</si>
  <si>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</si>
  <si>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</si>
  <si>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</si>
  <si>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</si>
  <si>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</si>
  <si>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</si>
  <si>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</si>
  <si>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</si>
  <si>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</si>
  <si>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</si>
  <si>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</si>
  <si>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</si>
  <si>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</si>
  <si>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</si>
  <si>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</si>
  <si>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</si>
  <si>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</si>
  <si>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</si>
  <si>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</si>
  <si>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</si>
  <si>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</si>
  <si>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</si>
  <si>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</si>
  <si>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</si>
  <si>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</si>
  <si>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</si>
  <si>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</si>
  <si>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</si>
  <si>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</si>
  <si>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</si>
  <si>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</si>
  <si>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</si>
  <si>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</si>
  <si>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</si>
  <si>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</si>
  <si>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</si>
  <si>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</si>
  <si>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</si>
  <si>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</si>
  <si>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</si>
  <si>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</si>
  <si>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</si>
  <si>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</si>
  <si>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</si>
  <si>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</si>
  <si>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</si>
  <si>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</si>
  <si>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</si>
  <si>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</si>
  <si>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</si>
  <si>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</si>
  <si>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</si>
  <si>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</si>
  <si>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</si>
  <si>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</si>
  <si>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</si>
  <si>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</si>
  <si>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</si>
  <si>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</si>
  <si>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</si>
  <si>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</si>
  <si>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</si>
  <si>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</si>
  <si>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</si>
  <si>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</si>
  <si>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</si>
  <si>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</si>
  <si>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</si>
  <si>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</si>
  <si>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</si>
  <si>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</si>
  <si>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</si>
  <si>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</si>
  <si>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</si>
  <si>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</si>
  <si>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</si>
  <si>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</si>
  <si>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</si>
  <si>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</si>
  <si>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</si>
  <si>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</si>
  <si>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</si>
  <si>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</si>
  <si>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</si>
  <si>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</si>
  <si>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</si>
  <si>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</si>
  <si>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</si>
  <si>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</si>
  <si>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</si>
  <si>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</si>
  <si>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</si>
  <si>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</si>
  <si>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</si>
  <si>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</si>
  <si>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</si>
  <si>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</si>
  <si>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</si>
  <si>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</si>
  <si>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</si>
  <si>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</si>
  <si>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</si>
  <si>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</si>
  <si>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</si>
  <si>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</si>
  <si>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</si>
  <si>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</si>
  <si>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</si>
  <si>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</si>
  <si>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</si>
  <si>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</si>
  <si>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</si>
  <si>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</si>
  <si>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</si>
  <si>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</si>
  <si>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</si>
  <si>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</si>
  <si>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</si>
  <si>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</si>
  <si>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</si>
  <si>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</si>
  <si>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</si>
  <si>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</si>
  <si>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</si>
  <si>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</si>
  <si>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</si>
  <si>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</si>
  <si>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</si>
  <si>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</si>
  <si>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</si>
  <si>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</si>
  <si>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</si>
  <si>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</si>
  <si>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</si>
  <si>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</si>
  <si>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</si>
  <si>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</si>
  <si>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</si>
  <si>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</si>
  <si>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</si>
  <si>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</si>
  <si>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</si>
  <si>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</si>
  <si>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</si>
  <si>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</si>
  <si>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</si>
  <si>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</si>
  <si>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</si>
  <si>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</si>
  <si>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</si>
  <si>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</si>
  <si>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</si>
  <si>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</si>
  <si>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</si>
  <si>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</si>
  <si>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</si>
  <si>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</si>
  <si>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</si>
  <si>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</si>
  <si>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</si>
  <si>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</si>
  <si>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</si>
  <si>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</si>
  <si>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</si>
  <si>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</si>
  <si>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</si>
  <si>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</si>
  <si>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</si>
  <si>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</si>
  <si>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</si>
  <si>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</si>
  <si>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</si>
  <si>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</si>
  <si>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</si>
  <si>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</si>
  <si>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</si>
  <si>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</si>
  <si>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</si>
  <si>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</si>
  <si>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</si>
  <si>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</si>
  <si>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</si>
  <si>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</si>
  <si>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</si>
  <si>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</si>
  <si>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</si>
  <si>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</si>
  <si>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</si>
  <si>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</si>
  <si>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</si>
  <si>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</si>
  <si>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</si>
  <si>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</si>
  <si>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</si>
  <si>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</si>
  <si>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</si>
  <si>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</si>
  <si>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</si>
  <si>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</si>
  <si>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</si>
  <si>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</si>
  <si>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</si>
  <si>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</si>
  <si>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</si>
  <si>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</si>
  <si>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</si>
  <si>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</si>
  <si>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</si>
  <si>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</si>
  <si>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</si>
  <si>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</si>
  <si>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</si>
  <si>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</si>
  <si>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</si>
  <si>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</si>
  <si>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</si>
  <si>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</si>
  <si>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</si>
  <si>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</si>
  <si>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</si>
  <si>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</si>
  <si>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</si>
  <si>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</si>
  <si>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</si>
  <si>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</si>
  <si>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</si>
  <si>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</si>
  <si>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</si>
  <si>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</si>
  <si>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</si>
  <si>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</si>
  <si>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</si>
  <si>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</si>
  <si>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</si>
  <si>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</si>
  <si>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</si>
  <si>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</si>
  <si>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</si>
  <si>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</si>
  <si>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</si>
  <si>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</si>
  <si>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</si>
  <si>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</si>
  <si>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</si>
  <si>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</si>
  <si>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</si>
  <si>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</si>
  <si>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</si>
  <si>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</si>
  <si>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</si>
  <si>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</si>
  <si>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</si>
  <si>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</si>
  <si>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</si>
  <si>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</si>
  <si>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</si>
  <si>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</si>
  <si>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</si>
  <si>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</si>
  <si>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</si>
  <si>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</si>
  <si>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</si>
  <si>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</si>
  <si>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</si>
  <si>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</si>
  <si>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</si>
  <si>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</si>
  <si>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</si>
  <si>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</si>
  <si>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</si>
  <si>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</si>
  <si>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</si>
  <si>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</si>
  <si>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</si>
  <si>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</si>
  <si>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</si>
  <si>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</si>
  <si>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</si>
  <si>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</si>
  <si>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</si>
  <si>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</si>
  <si>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</si>
  <si>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</si>
  <si>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</si>
  <si>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</si>
  <si>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</si>
  <si>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</si>
  <si>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</si>
  <si>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</si>
  <si>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</si>
  <si>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</si>
  <si>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</si>
  <si>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</si>
  <si>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</si>
  <si>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</si>
  <si>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</si>
  <si>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</si>
  <si>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</si>
  <si>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</si>
  <si>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</si>
  <si>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</si>
  <si>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</si>
  <si>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</si>
  <si>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</si>
  <si>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</si>
  <si>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</si>
  <si>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</si>
  <si>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</si>
  <si>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</si>
  <si>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</si>
  <si>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</si>
  <si>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</si>
  <si>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</si>
  <si>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</si>
  <si>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</si>
  <si>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</si>
  <si>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</si>
  <si>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</si>
  <si>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</si>
  <si>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</si>
  <si>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</si>
  <si>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</si>
  <si>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</si>
  <si>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</si>
  <si>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</si>
  <si>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</si>
  <si>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</si>
  <si>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</si>
  <si>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</si>
  <si>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</si>
  <si>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</si>
  <si>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</si>
  <si>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</si>
  <si>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</si>
  <si>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</si>
  <si>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</si>
  <si>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</si>
  <si>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</si>
  <si>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</si>
  <si>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</si>
  <si>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</si>
  <si>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</si>
  <si>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</si>
  <si>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</si>
  <si>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</si>
  <si>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</si>
  <si>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</si>
  <si>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</si>
  <si>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</si>
  <si>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</si>
  <si>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</si>
  <si>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</si>
  <si>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</si>
  <si>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</si>
  <si>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</si>
  <si>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</si>
  <si>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</si>
  <si>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</si>
  <si>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</si>
  <si>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</si>
  <si>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</si>
  <si>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</si>
  <si>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</si>
  <si>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</si>
  <si>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</si>
  <si>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</si>
  <si>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</si>
  <si>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</si>
  <si>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</si>
  <si>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</si>
  <si>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</si>
  <si>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</si>
  <si>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</si>
  <si>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</si>
  <si>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</si>
  <si>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</si>
  <si>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</si>
  <si>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</si>
  <si>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</si>
  <si>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</si>
  <si>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</si>
  <si>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</si>
  <si>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</si>
  <si>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</si>
  <si>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</si>
  <si>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</si>
  <si>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</si>
  <si>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</si>
  <si>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</si>
  <si>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</si>
  <si>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</si>
  <si>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</si>
  <si>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</si>
  <si>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</si>
  <si>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</si>
  <si>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</si>
  <si>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</si>
  <si>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</si>
  <si>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</si>
  <si>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</si>
  <si>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</si>
  <si>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</si>
  <si>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</si>
  <si>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</si>
  <si>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</si>
  <si>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</si>
  <si>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</si>
  <si>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</si>
  <si>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</si>
  <si>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</si>
  <si>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</si>
  <si>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</si>
  <si>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</si>
  <si>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</si>
  <si>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</si>
  <si>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</si>
  <si>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</si>
  <si>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</si>
  <si>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</si>
  <si>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</si>
  <si>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</si>
  <si>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</si>
  <si>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</si>
  <si>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</si>
  <si>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</si>
  <si>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</si>
  <si>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</si>
  <si>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</si>
  <si>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</si>
  <si>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</si>
  <si>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</si>
  <si>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</si>
  <si>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</si>
  <si>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</si>
  <si>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</si>
  <si>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</si>
  <si>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</si>
  <si>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</si>
  <si>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</si>
  <si>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</si>
  <si>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</si>
  <si>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</si>
  <si>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</si>
  <si>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</si>
  <si>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</si>
  <si>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</si>
  <si>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</si>
  <si>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</si>
  <si>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</si>
  <si>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</si>
  <si>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</si>
  <si>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</si>
  <si>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</si>
  <si>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</si>
  <si>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</si>
  <si>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</si>
  <si>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</si>
  <si>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</si>
  <si>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</si>
  <si>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</si>
  <si>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</si>
  <si>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</si>
  <si>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</si>
  <si>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</si>
  <si>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</si>
  <si>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</si>
  <si>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</si>
  <si>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</si>
  <si>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</si>
  <si>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</si>
  <si>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</si>
  <si>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</si>
  <si>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</si>
  <si>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</si>
  <si>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</si>
  <si>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</si>
  <si>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</si>
  <si>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</si>
  <si>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</si>
  <si>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</si>
  <si>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</si>
  <si>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</si>
  <si>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</si>
  <si>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</si>
  <si>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</si>
  <si>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</si>
  <si>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</si>
  <si>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</si>
  <si>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</si>
  <si>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</si>
  <si>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</si>
  <si>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</si>
  <si>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</si>
  <si>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</si>
  <si>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</si>
  <si>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</si>
  <si>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</si>
  <si>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</si>
  <si>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</si>
  <si>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</si>
  <si>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</si>
  <si>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</si>
  <si>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</si>
  <si>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</si>
  <si>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</si>
  <si>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</si>
  <si>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</si>
  <si>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</si>
  <si>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</si>
  <si>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</si>
  <si>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</si>
  <si>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</si>
  <si>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</si>
  <si>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</si>
  <si>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</si>
  <si>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</si>
  <si>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</si>
  <si>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</si>
  <si>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</si>
  <si>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</si>
  <si>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</si>
  <si>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</si>
  <si>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</si>
  <si>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</si>
  <si>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</si>
  <si>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</si>
  <si>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</si>
  <si>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</si>
  <si>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</si>
  <si>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</si>
  <si>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</si>
  <si>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</si>
  <si>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</si>
  <si>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</si>
  <si>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</si>
  <si>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</si>
  <si>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</si>
  <si>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</si>
  <si>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</si>
  <si>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</si>
  <si>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</si>
  <si>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</si>
  <si>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</si>
  <si>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</si>
  <si>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</si>
  <si>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</si>
  <si>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</si>
  <si>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</si>
  <si>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</si>
  <si>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</si>
  <si>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</si>
  <si>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</si>
  <si>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</si>
  <si>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</si>
  <si>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</si>
  <si>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</si>
  <si>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</si>
  <si>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</si>
  <si>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</si>
  <si>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</si>
  <si>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</si>
  <si>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</si>
  <si>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</si>
  <si>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</si>
  <si>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</si>
  <si>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</si>
  <si>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</si>
  <si>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</si>
  <si>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</si>
  <si>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</si>
  <si>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</si>
  <si>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</si>
  <si>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</si>
  <si>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</si>
  <si>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</si>
  <si>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</si>
  <si>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</si>
  <si>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</si>
  <si>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</si>
  <si>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</si>
  <si>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</si>
  <si>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</si>
  <si>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</si>
  <si>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</si>
  <si>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</si>
  <si>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</si>
  <si>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</si>
  <si>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</si>
  <si>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</si>
  <si>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</si>
  <si>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</si>
  <si>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</si>
  <si>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</si>
  <si>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</si>
  <si>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</si>
  <si>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</si>
  <si>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</si>
  <si>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</si>
  <si>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</si>
  <si>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</si>
  <si>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</si>
  <si>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</si>
  <si>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</si>
  <si>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</si>
  <si>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</si>
  <si>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</si>
  <si>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</si>
  <si>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</si>
  <si>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</si>
  <si>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</si>
  <si>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</si>
  <si>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</si>
  <si>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</si>
  <si>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</si>
  <si>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</si>
  <si>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</si>
  <si>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</si>
  <si>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</si>
  <si>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</si>
  <si>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</si>
  <si>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</si>
  <si>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</si>
  <si>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</si>
  <si>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</si>
  <si>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</si>
  <si>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</si>
  <si>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</si>
  <si>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</si>
  <si>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</si>
  <si>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</si>
  <si>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</si>
  <si>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</si>
  <si>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</si>
  <si>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</si>
  <si>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</si>
  <si>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</si>
  <si>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</si>
  <si>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</si>
  <si>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</si>
  <si>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</si>
  <si>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</si>
  <si>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</si>
  <si>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</si>
  <si>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</si>
  <si>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</si>
  <si>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</si>
  <si>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</si>
  <si>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</si>
  <si>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</si>
  <si>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</si>
  <si>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</si>
  <si>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</si>
  <si>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</si>
  <si>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</si>
  <si>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</si>
  <si>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</si>
  <si>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</si>
  <si>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</si>
  <si>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</si>
  <si>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</si>
  <si>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</si>
  <si>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</si>
  <si>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</si>
  <si>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</si>
  <si>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</si>
  <si>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</si>
  <si>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</si>
  <si>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</si>
  <si>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</si>
  <si>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</si>
  <si>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</si>
  <si>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</si>
  <si>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</si>
  <si>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</si>
  <si>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</si>
  <si>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</si>
  <si>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</si>
  <si>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</si>
  <si>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</si>
  <si>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</si>
  <si>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</si>
  <si>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</si>
  <si>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</si>
  <si>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</si>
  <si>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</si>
  <si>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</si>
  <si>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</si>
  <si>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</si>
  <si>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</si>
  <si>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</si>
  <si>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</si>
  <si>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</si>
  <si>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</si>
  <si>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</si>
  <si>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</si>
  <si>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</si>
  <si>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</si>
  <si>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</si>
  <si>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</si>
  <si>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</si>
  <si>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</si>
  <si>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</si>
  <si>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</si>
  <si>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</si>
  <si>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</si>
  <si>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</si>
  <si>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</si>
  <si>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</si>
  <si>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</si>
  <si>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</si>
  <si>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</si>
  <si>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</si>
  <si>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</si>
  <si>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</si>
  <si>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</si>
  <si>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</si>
  <si>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</si>
  <si>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</si>
  <si>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</si>
  <si>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</si>
  <si>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</si>
  <si>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</si>
  <si>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</si>
  <si>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</si>
  <si>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</si>
  <si>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</si>
  <si>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</si>
  <si>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</si>
  <si>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</si>
  <si>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</si>
  <si>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</si>
  <si>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</si>
  <si>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</si>
  <si>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</si>
  <si>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</si>
  <si>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</si>
  <si>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</si>
  <si>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</si>
  <si>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</si>
  <si>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</si>
  <si>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</si>
  <si>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</si>
  <si>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</si>
  <si>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</si>
  <si>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</si>
  <si>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</si>
  <si>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</si>
  <si>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</si>
  <si>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</si>
  <si>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</si>
  <si>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</si>
  <si>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</si>
  <si>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</si>
  <si>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</si>
  <si>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</si>
  <si>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</si>
  <si>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</si>
  <si>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</si>
  <si>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</si>
  <si>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</si>
  <si>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</si>
  <si>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</si>
  <si>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</si>
  <si>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</si>
  <si>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</si>
  <si>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</si>
  <si>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</si>
  <si>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</si>
  <si>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</si>
  <si>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</si>
  <si>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</si>
  <si>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</si>
  <si>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</si>
  <si>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</si>
  <si>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</si>
  <si>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</si>
  <si>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</si>
  <si>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</si>
  <si>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</si>
  <si>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</si>
  <si>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</si>
  <si>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</si>
  <si>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</si>
  <si>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</si>
  <si>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</si>
  <si>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</si>
  <si>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</si>
  <si>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</si>
  <si>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</si>
  <si>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</si>
  <si>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</si>
  <si>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</si>
  <si>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</si>
  <si>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</si>
  <si>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</si>
  <si>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</si>
  <si>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</si>
  <si>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</si>
  <si>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</si>
  <si>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</si>
  <si>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</si>
  <si>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</si>
  <si>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</si>
  <si>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</si>
  <si>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</si>
  <si>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</si>
  <si>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</si>
  <si>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</si>
  <si>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</si>
  <si>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</si>
  <si>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</si>
  <si>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</si>
  <si>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</si>
  <si>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</si>
  <si>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</si>
  <si>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</si>
  <si>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</si>
  <si>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</si>
  <si>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</si>
  <si>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</si>
  <si>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</si>
  <si>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</si>
  <si>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</si>
  <si>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</si>
  <si>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</si>
  <si>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</si>
  <si>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</si>
  <si>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</si>
  <si>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</si>
  <si>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</si>
  <si>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</si>
  <si>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</si>
  <si>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</si>
  <si>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</si>
  <si>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</si>
  <si>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</si>
  <si>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</si>
  <si>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</si>
  <si>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</si>
  <si>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</si>
  <si>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</si>
  <si>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</si>
  <si>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</si>
  <si>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</si>
  <si>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</si>
  <si>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</si>
  <si>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</si>
  <si>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</si>
  <si>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</si>
  <si>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</si>
  <si>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</si>
  <si>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</si>
  <si>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</si>
  <si>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</si>
  <si>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</si>
  <si>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</si>
  <si>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</si>
  <si>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</si>
  <si>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</si>
  <si>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</si>
  <si>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</si>
  <si>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</si>
  <si>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</si>
  <si>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</si>
  <si>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</si>
  <si>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</si>
  <si>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</si>
  <si>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</si>
  <si>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</si>
  <si>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</si>
  <si>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</si>
  <si>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</si>
  <si>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</si>
  <si>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</si>
  <si>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</si>
  <si>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</si>
  <si>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</si>
  <si>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</si>
  <si>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</si>
  <si>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</si>
  <si>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</si>
  <si>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</si>
  <si>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</si>
  <si>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</si>
  <si>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</si>
  <si>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</si>
  <si>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</si>
  <si>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</si>
  <si>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</si>
  <si>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</si>
  <si>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</si>
  <si>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</si>
  <si>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</si>
  <si>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</si>
  <si>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</si>
  <si>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</si>
  <si>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</si>
  <si>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</si>
  <si>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</si>
  <si>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</si>
  <si>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</si>
  <si>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</si>
  <si>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</si>
  <si>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</si>
  <si>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</si>
  <si>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</si>
  <si>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</si>
  <si>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</si>
  <si>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</si>
  <si>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</si>
  <si>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</si>
  <si>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</si>
  <si>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</si>
  <si>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</si>
  <si>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</si>
  <si>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</si>
  <si>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</si>
  <si>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</si>
  <si>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</si>
  <si>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</si>
  <si>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</si>
  <si>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</si>
  <si>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</si>
  <si>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</si>
  <si>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</si>
  <si>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</si>
  <si>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</si>
  <si>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</si>
  <si>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</si>
  <si>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</si>
  <si>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</si>
  <si>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</si>
  <si>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</si>
  <si>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</si>
  <si>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</si>
  <si>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</si>
  <si>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</si>
  <si>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</si>
  <si>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</si>
  <si>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</si>
  <si>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</si>
  <si>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</si>
  <si>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</si>
  <si>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</si>
  <si>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</si>
  <si>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</si>
  <si>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</si>
  <si>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</si>
  <si>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</si>
  <si>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</si>
  <si>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</si>
  <si>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</si>
  <si>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</si>
  <si>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</si>
  <si>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</si>
  <si>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</si>
  <si>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</si>
  <si>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</si>
  <si>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</si>
  <si>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</si>
  <si>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</si>
  <si>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</si>
  <si>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</si>
  <si>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</si>
  <si>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</si>
  <si>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</si>
  <si>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</si>
  <si>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</si>
  <si>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</si>
  <si>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</si>
  <si>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</si>
  <si>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</si>
  <si>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</si>
  <si>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</si>
  <si>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</si>
  <si>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</si>
  <si>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</si>
  <si>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</si>
  <si>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</si>
  <si>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</si>
  <si>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</si>
  <si>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</si>
  <si>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</si>
  <si>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</si>
  <si>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</si>
  <si>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</si>
  <si>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</si>
  <si>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</si>
  <si>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</si>
  <si>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</si>
  <si>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</si>
  <si>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</si>
  <si>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</si>
  <si>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</si>
  <si>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</si>
  <si>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</si>
  <si>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</si>
  <si>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</si>
  <si>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</si>
  <si>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</si>
  <si>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</si>
  <si>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</si>
  <si>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</si>
  <si>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</si>
  <si>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</si>
  <si>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</si>
  <si>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</si>
  <si>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</si>
  <si>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</si>
  <si>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</si>
  <si>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</si>
  <si>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</si>
  <si>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</si>
  <si>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</si>
  <si>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</si>
  <si>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</si>
  <si>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</si>
  <si>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</si>
  <si>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</si>
  <si>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</si>
  <si>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</si>
  <si>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</si>
  <si>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</si>
  <si>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</si>
  <si>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</si>
  <si>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</si>
  <si>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</si>
  <si>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</si>
  <si>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</si>
  <si>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</si>
  <si>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</si>
  <si>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</si>
  <si>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</si>
  <si>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</si>
  <si>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</si>
  <si>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</si>
  <si>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</si>
  <si>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</si>
  <si>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</si>
  <si>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</si>
  <si>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</si>
  <si>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</si>
  <si>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</si>
  <si>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</si>
  <si>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</si>
  <si>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</si>
  <si>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</si>
  <si>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</si>
  <si>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</si>
  <si>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</si>
  <si>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</si>
  <si>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</si>
  <si>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</si>
  <si>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</si>
  <si>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</si>
  <si>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</si>
  <si>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</si>
  <si>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</si>
  <si>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</si>
  <si>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</si>
  <si>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</si>
  <si>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</si>
  <si>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</si>
  <si>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</si>
  <si>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</si>
  <si>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</si>
  <si>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</si>
  <si>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</si>
  <si>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</si>
  <si>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</si>
  <si>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</si>
  <si>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</si>
  <si>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</si>
  <si>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</si>
  <si>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</si>
  <si>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</si>
  <si>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</si>
  <si>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</si>
  <si>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</si>
  <si>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</si>
  <si>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</si>
  <si>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</si>
  <si>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</si>
  <si>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</si>
  <si>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</si>
  <si>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</si>
  <si>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</si>
  <si>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</si>
  <si>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</si>
  <si>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</si>
  <si>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</si>
  <si>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</si>
  <si>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</si>
  <si>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</si>
  <si>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</si>
  <si>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</si>
  <si>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</si>
  <si>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</si>
  <si>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</si>
  <si>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</si>
  <si>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</si>
  <si>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</si>
  <si>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</si>
  <si>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</si>
  <si>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</si>
  <si>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</si>
  <si>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</si>
  <si>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</si>
  <si>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</si>
  <si>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</si>
  <si>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</si>
  <si>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</si>
  <si>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</si>
  <si>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</si>
  <si>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</si>
  <si>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</si>
  <si>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</si>
  <si>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</si>
  <si>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</si>
  <si>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</si>
  <si>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</si>
  <si>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</si>
  <si>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</si>
  <si>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</si>
  <si>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</si>
  <si>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</si>
  <si>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</si>
  <si>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</si>
  <si>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</si>
  <si>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</si>
  <si>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</si>
  <si>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</si>
  <si>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</si>
  <si>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</si>
  <si>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</si>
  <si>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</si>
  <si>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</si>
  <si>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</si>
  <si>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</si>
  <si>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</si>
  <si>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</si>
  <si>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</si>
  <si>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</si>
  <si>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</si>
  <si>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</si>
  <si>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</si>
  <si>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</si>
  <si>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</si>
  <si>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</si>
  <si>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</si>
  <si>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</si>
  <si>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</si>
  <si>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</si>
  <si>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</si>
  <si>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</si>
  <si>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</si>
  <si>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</si>
  <si>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</si>
  <si>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</si>
  <si>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</si>
  <si>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</si>
  <si>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</si>
  <si>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</si>
  <si>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</si>
  <si>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</si>
  <si>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</si>
  <si>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</si>
  <si>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</si>
  <si>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</si>
  <si>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</si>
  <si>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</si>
  <si>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</si>
  <si>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</si>
  <si>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</si>
  <si>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</si>
  <si>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</si>
  <si>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</si>
  <si>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</si>
  <si>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</si>
  <si>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</si>
  <si>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</si>
  <si>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</si>
  <si>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</si>
  <si>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</si>
  <si>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</si>
  <si>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</si>
  <si>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</si>
  <si>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</si>
  <si>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</si>
  <si>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</si>
  <si>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</si>
  <si>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</si>
  <si>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</si>
  <si>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</si>
  <si>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</si>
  <si>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</si>
  <si>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</si>
  <si>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</si>
  <si>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</si>
  <si>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</si>
  <si>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</si>
  <si>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</si>
  <si>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</si>
  <si>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</si>
  <si>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</si>
  <si>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</si>
  <si>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</si>
  <si>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</si>
  <si>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</si>
  <si>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</si>
  <si>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</si>
  <si>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</si>
  <si>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</si>
  <si>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</si>
  <si>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</si>
  <si>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</si>
  <si>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</si>
  <si>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</si>
  <si>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</si>
  <si>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</si>
  <si>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</si>
  <si>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</si>
  <si>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</si>
  <si>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</si>
  <si>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</si>
  <si>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</si>
  <si>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</si>
  <si>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</si>
  <si>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</si>
  <si>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</si>
  <si>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</si>
  <si>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</si>
  <si>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</si>
  <si>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</si>
  <si>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</si>
  <si>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</si>
  <si>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</si>
  <si>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</si>
  <si>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</si>
  <si>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</si>
  <si>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</si>
  <si>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</si>
  <si>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</si>
  <si>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</si>
  <si>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</si>
  <si>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</si>
  <si>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</si>
  <si>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</si>
  <si>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</si>
  <si>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</si>
  <si>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</si>
  <si>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</si>
  <si>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</si>
  <si>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</si>
  <si>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</si>
  <si>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</si>
  <si>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</si>
  <si>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</si>
  <si>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</si>
  <si>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</si>
  <si>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</si>
  <si>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</si>
  <si>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</si>
  <si>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</si>
  <si>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</si>
  <si>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</si>
  <si>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</si>
  <si>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</si>
  <si>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</si>
  <si>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</si>
  <si>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</si>
  <si>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</si>
  <si>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</si>
  <si>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</si>
  <si>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</si>
  <si>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</si>
  <si>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</si>
  <si>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</si>
  <si>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</si>
  <si>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</si>
  <si>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</si>
  <si>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</si>
  <si>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</si>
  <si>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</si>
  <si>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</si>
  <si>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</si>
  <si>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</si>
  <si>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</si>
  <si>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</si>
  <si>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</si>
  <si>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</si>
  <si>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</si>
  <si>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</si>
  <si>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</si>
  <si>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</si>
  <si>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</si>
  <si>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</si>
  <si>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</si>
  <si>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</si>
  <si>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</si>
  <si>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</si>
  <si>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</si>
  <si>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</si>
  <si>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</si>
  <si>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</si>
  <si>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</si>
  <si>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</si>
  <si>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</si>
  <si>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</si>
  <si>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</si>
  <si>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</si>
  <si>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</si>
  <si>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</si>
  <si>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</si>
  <si>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</si>
  <si>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</si>
  <si>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</si>
  <si>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</si>
  <si>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</si>
  <si>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</si>
  <si>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</si>
  <si>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</si>
  <si>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</si>
  <si>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</si>
  <si>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</si>
  <si>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</si>
  <si>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</si>
  <si>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</si>
  <si>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</si>
  <si>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</si>
  <si>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</si>
  <si>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</si>
  <si>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</si>
  <si>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</si>
  <si>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</si>
  <si>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</si>
  <si>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</si>
  <si>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</si>
  <si>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</si>
  <si>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</si>
  <si>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</si>
  <si>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</si>
  <si>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</si>
  <si>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</si>
  <si>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</si>
  <si>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</si>
  <si>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</si>
  <si>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</si>
  <si>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</si>
  <si>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</si>
  <si>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</si>
  <si>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</si>
  <si>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</si>
  <si>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</si>
  <si>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</si>
  <si>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</si>
  <si>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</si>
  <si>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</si>
  <si>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</si>
  <si>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</si>
  <si>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</si>
  <si>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</si>
  <si>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</si>
  <si>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</si>
  <si>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</si>
  <si>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</si>
  <si>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</si>
  <si>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</si>
  <si>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</si>
  <si>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</si>
  <si>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</si>
  <si>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</si>
  <si>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</si>
  <si>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</si>
  <si>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</si>
  <si>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</si>
  <si>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</si>
  <si>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</si>
  <si>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</si>
  <si>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</si>
  <si>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</si>
  <si>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</si>
  <si>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</si>
  <si>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</si>
  <si>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</si>
  <si>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</si>
  <si>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</si>
  <si>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</si>
  <si>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</si>
  <si>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</si>
  <si>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</si>
  <si>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</si>
  <si>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</si>
  <si>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</si>
  <si>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</si>
  <si>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</si>
  <si>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</si>
  <si>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</si>
  <si>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</si>
  <si>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</si>
  <si>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</si>
  <si>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</si>
  <si>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</si>
  <si>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</si>
  <si>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</si>
  <si>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</si>
  <si>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</si>
  <si>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</si>
  <si>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</si>
  <si>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</si>
  <si>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</si>
  <si>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</si>
  <si>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</si>
  <si>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</si>
  <si>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</si>
  <si>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</si>
  <si>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</si>
  <si>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</si>
  <si>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</si>
  <si>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</si>
  <si>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</si>
  <si>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</si>
  <si>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</si>
  <si>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</si>
  <si>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</si>
  <si>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</si>
  <si>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</si>
  <si>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</si>
  <si>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</si>
  <si>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</si>
  <si>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</si>
  <si>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</si>
  <si>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</si>
  <si>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</si>
  <si>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</si>
  <si>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</si>
  <si>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</si>
  <si>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</si>
  <si>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</si>
  <si>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</si>
  <si>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</si>
  <si>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</si>
  <si>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</si>
  <si>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</si>
  <si>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</si>
  <si>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</si>
  <si>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</si>
  <si>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</si>
  <si>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</si>
  <si>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</si>
  <si>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</si>
  <si>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</si>
  <si>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</si>
  <si>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</si>
  <si>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</si>
  <si>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</si>
  <si>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</si>
  <si>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</si>
  <si>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</si>
  <si>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</si>
  <si>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</si>
  <si>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</si>
  <si>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</si>
  <si>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</si>
  <si>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</si>
  <si>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</si>
  <si>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</si>
  <si>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</si>
  <si>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</si>
  <si>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</si>
  <si>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</si>
  <si>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</si>
  <si>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</si>
  <si>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</si>
  <si>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</si>
  <si>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</si>
  <si>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</si>
  <si>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</si>
  <si>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</si>
  <si>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</si>
  <si>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</si>
  <si>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</si>
  <si>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</si>
  <si>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</si>
  <si>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</si>
  <si>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</si>
  <si>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</si>
  <si>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</si>
  <si>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</si>
  <si>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</si>
  <si>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</si>
  <si>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</si>
  <si>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</si>
  <si>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</si>
  <si>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</si>
  <si>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</si>
  <si>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</si>
  <si>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</si>
  <si>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</si>
  <si>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</si>
  <si>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</si>
  <si>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</si>
  <si>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</si>
  <si>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</si>
  <si>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</si>
  <si>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</si>
  <si>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</si>
  <si>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</si>
  <si>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</si>
  <si>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</si>
  <si>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</si>
  <si>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</si>
  <si>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</si>
  <si>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</si>
  <si>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</si>
  <si>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</si>
  <si>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</si>
  <si>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</si>
  <si>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</si>
  <si>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</si>
  <si>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</si>
  <si>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</si>
  <si>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</si>
  <si>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</si>
  <si>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</si>
  <si>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</si>
  <si>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</si>
  <si>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</si>
  <si>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</si>
  <si>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</si>
  <si>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</si>
  <si>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</si>
  <si>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</si>
  <si>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</si>
  <si>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</si>
  <si>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</si>
  <si>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</si>
  <si>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</si>
  <si>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</si>
  <si>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</si>
  <si>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</si>
  <si>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</si>
  <si>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</si>
  <si>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</si>
  <si>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</si>
  <si>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</si>
  <si>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</si>
  <si>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</si>
  <si>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</si>
  <si>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</si>
  <si>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</si>
  <si>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</si>
  <si>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</si>
  <si>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</si>
  <si>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</si>
  <si>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</si>
  <si>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</si>
  <si>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</si>
  <si>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</si>
  <si>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</si>
  <si>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</si>
  <si>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</si>
  <si>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</si>
  <si>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</si>
  <si>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</si>
  <si>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</si>
  <si>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</si>
  <si>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</si>
  <si>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</si>
  <si>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</si>
  <si>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</si>
  <si>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</si>
  <si>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</si>
  <si>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</si>
  <si>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</si>
  <si>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</si>
  <si>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</si>
  <si>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</si>
  <si>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</si>
  <si>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</si>
  <si>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</si>
  <si>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</si>
  <si>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</si>
  <si>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</si>
  <si>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</si>
  <si>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</si>
  <si>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</si>
  <si>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</si>
  <si>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</si>
  <si>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</si>
  <si>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</si>
  <si>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</si>
  <si>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</si>
  <si>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</si>
  <si>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</si>
  <si>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</si>
  <si>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</si>
  <si>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</si>
  <si>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</si>
  <si>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</si>
  <si>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</si>
  <si>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</si>
  <si>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</si>
  <si>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</si>
  <si>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</si>
  <si>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</si>
  <si>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</si>
  <si>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</si>
  <si>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</si>
  <si>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</si>
  <si>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</si>
  <si>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</si>
  <si>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</si>
  <si>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</si>
  <si>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</si>
  <si>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</si>
  <si>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</si>
  <si>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</si>
  <si>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</si>
  <si>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</si>
  <si>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</si>
  <si>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</si>
  <si>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</si>
  <si>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</si>
  <si>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</si>
  <si>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</si>
  <si>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</si>
  <si>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</si>
  <si>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</si>
  <si>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</si>
  <si>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</si>
  <si>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</si>
  <si>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</si>
  <si>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</si>
  <si>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</si>
  <si>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</si>
  <si>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</si>
  <si>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</si>
  <si>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</si>
  <si>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</si>
  <si>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</si>
  <si>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</si>
  <si>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</si>
  <si>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</si>
  <si>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</si>
  <si>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</si>
  <si>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</si>
  <si>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</si>
  <si>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</si>
  <si>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</si>
  <si>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</si>
  <si>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</si>
  <si>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</si>
  <si>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</si>
  <si>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</si>
  <si>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</si>
  <si>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</si>
  <si>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</si>
  <si>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</si>
  <si>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</si>
  <si>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</si>
  <si>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</si>
  <si>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</si>
  <si>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</si>
  <si>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</si>
  <si>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</si>
  <si>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</si>
  <si>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</si>
  <si>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</si>
  <si>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</si>
  <si>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</si>
  <si>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</si>
  <si>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</si>
  <si>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</si>
  <si>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</si>
  <si>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</si>
  <si>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</si>
  <si>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</si>
  <si>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</si>
  <si>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</si>
  <si>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</si>
  <si>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</si>
  <si>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</si>
  <si>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</si>
  <si>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</si>
  <si>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</si>
  <si>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</si>
  <si>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</si>
  <si>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</si>
  <si>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</si>
  <si>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</si>
  <si>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</si>
  <si>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</si>
  <si>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</si>
  <si>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</si>
  <si>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</si>
  <si>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</si>
  <si>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</si>
  <si>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</si>
  <si>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</si>
  <si>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</si>
  <si>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</si>
  <si>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</si>
  <si>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</si>
  <si>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</si>
  <si>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</si>
  <si>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</si>
  <si>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</si>
  <si>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</si>
  <si>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</si>
  <si>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</si>
  <si>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</si>
  <si>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</si>
  <si>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</si>
  <si>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</si>
  <si>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</si>
  <si>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</si>
  <si>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</si>
  <si>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</si>
  <si>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</si>
  <si>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</si>
  <si>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</si>
  <si>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</si>
  <si>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</si>
  <si>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</si>
  <si>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</si>
  <si>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</si>
  <si>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</si>
  <si>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</si>
  <si>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</si>
  <si>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</si>
  <si>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</si>
  <si>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</si>
  <si>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</si>
  <si>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</si>
  <si>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</si>
  <si>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</si>
  <si>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</si>
  <si>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</si>
  <si>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</si>
  <si>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</si>
  <si>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</si>
  <si>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</si>
  <si>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</si>
  <si>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</si>
  <si>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</si>
  <si>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</si>
  <si>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</si>
  <si>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</si>
  <si>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</si>
  <si>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</si>
  <si>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</si>
  <si>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</si>
  <si>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</si>
  <si>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</si>
  <si>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</si>
  <si>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</si>
  <si>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</si>
  <si>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</si>
  <si>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</si>
  <si>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</si>
  <si>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</si>
  <si>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</si>
  <si>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</si>
  <si>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</si>
  <si>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</si>
  <si>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</si>
  <si>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</si>
  <si>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</si>
  <si>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</si>
  <si>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</si>
  <si>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</si>
  <si>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</si>
  <si>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</si>
  <si>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</si>
  <si>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</si>
  <si>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</si>
  <si>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</si>
  <si>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</si>
  <si>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</si>
  <si>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</si>
  <si>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</si>
  <si>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</si>
  <si>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</si>
  <si>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</si>
  <si>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</si>
  <si>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</si>
  <si>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</si>
  <si>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</si>
  <si>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</si>
  <si>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</si>
  <si>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</si>
  <si>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</si>
  <si>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</si>
  <si>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</si>
  <si>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</si>
  <si>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</si>
  <si>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</si>
  <si>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</si>
  <si>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</si>
  <si>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</si>
  <si>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</si>
  <si>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</si>
  <si>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</si>
  <si>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</si>
  <si>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</si>
  <si>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</si>
  <si>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</si>
  <si>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</si>
  <si>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</si>
  <si>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</si>
  <si>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</si>
  <si>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</si>
  <si>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</si>
  <si>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</si>
  <si>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</si>
  <si>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</si>
  <si>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</si>
  <si>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</si>
  <si>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</si>
  <si>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</si>
  <si>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</si>
  <si>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</si>
  <si>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</si>
  <si>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</si>
  <si>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</si>
  <si>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</si>
  <si>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</si>
  <si>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其他：</t>
  </si>
  <si>
    <t>企业</t>
  </si>
  <si>
    <t>出让</t>
  </si>
  <si>
    <t>地上</t>
  </si>
  <si>
    <t>是</t>
  </si>
  <si>
    <t>不动产单元号</t>
    <phoneticPr fontId="140" type="noConversion"/>
  </si>
  <si>
    <t>房屋代码</t>
    <phoneticPr fontId="140" type="noConversion"/>
  </si>
  <si>
    <t>坐落</t>
    <phoneticPr fontId="140" type="noConversion"/>
  </si>
  <si>
    <t>万达文化旅游城1</t>
  </si>
  <si>
    <t>万达文化旅游城1</t>
    <phoneticPr fontId="140" type="noConversion"/>
  </si>
  <si>
    <t>幢号</t>
    <phoneticPr fontId="140" type="noConversion"/>
  </si>
  <si>
    <t>所在楼层</t>
    <phoneticPr fontId="140" type="noConversion"/>
  </si>
  <si>
    <t>总楼层</t>
    <phoneticPr fontId="140" type="noConversion"/>
  </si>
  <si>
    <t>面积</t>
    <phoneticPr fontId="140" type="noConversion"/>
  </si>
  <si>
    <t>结构</t>
    <phoneticPr fontId="140" type="noConversion"/>
  </si>
  <si>
    <t>用途</t>
    <phoneticPr fontId="140" type="noConversion"/>
  </si>
  <si>
    <t>钢混</t>
    <phoneticPr fontId="140" type="noConversion"/>
  </si>
  <si>
    <t>商业服务</t>
    <phoneticPr fontId="140" type="noConversion"/>
  </si>
  <si>
    <t>其它</t>
    <phoneticPr fontId="140" type="noConversion"/>
  </si>
  <si>
    <t>1-2</t>
    <phoneticPr fontId="140" type="noConversion"/>
  </si>
  <si>
    <t>序号</t>
    <phoneticPr fontId="140" type="noConversion"/>
  </si>
  <si>
    <t>320211008007GB00504F00310001</t>
    <phoneticPr fontId="140" type="noConversion"/>
  </si>
  <si>
    <t>32021101000753012010100004</t>
    <phoneticPr fontId="140" type="noConversion"/>
  </si>
  <si>
    <t>320211008007GB00504F00310002</t>
  </si>
  <si>
    <t>32021101000753012010100012</t>
    <phoneticPr fontId="140" type="noConversion"/>
  </si>
  <si>
    <t>320211008007GB00504F00240001</t>
    <phoneticPr fontId="140" type="noConversion"/>
  </si>
  <si>
    <t>32021101000753021008100007</t>
    <phoneticPr fontId="140" type="noConversion"/>
  </si>
  <si>
    <t>合计</t>
    <phoneticPr fontId="140" type="noConversion"/>
  </si>
  <si>
    <t>地上</t>
    <phoneticPr fontId="140" type="noConversion"/>
  </si>
  <si>
    <t>地下</t>
  </si>
  <si>
    <t>地下</t>
    <phoneticPr fontId="140" type="noConversion"/>
  </si>
  <si>
    <t>酒店</t>
    <phoneticPr fontId="7" type="noConversion"/>
  </si>
  <si>
    <t>利息：取LPR加浮动点数</t>
  </si>
  <si>
    <t>成新度</t>
  </si>
  <si>
    <t>收益法</t>
  </si>
  <si>
    <t>豪华河景单卧别墅</t>
    <phoneticPr fontId="3" type="noConversion"/>
  </si>
  <si>
    <t>豪华湖景单卧别墅</t>
    <phoneticPr fontId="3" type="noConversion"/>
  </si>
  <si>
    <t>豪华湖景双卧别墅</t>
    <phoneticPr fontId="3" type="noConversion"/>
  </si>
  <si>
    <t>豪华庭院双卧别墅</t>
    <phoneticPr fontId="3" type="noConversion"/>
  </si>
  <si>
    <t>豪华湖景三卧别墅</t>
    <phoneticPr fontId="3" type="noConversion"/>
  </si>
  <si>
    <t>贵宾楼大床房</t>
    <phoneticPr fontId="3" type="noConversion"/>
  </si>
  <si>
    <t>贵宾楼双床房</t>
    <phoneticPr fontId="3" type="noConversion"/>
  </si>
  <si>
    <t>夫人套房</t>
    <phoneticPr fontId="140" type="noConversion"/>
  </si>
  <si>
    <t>总统套房</t>
    <phoneticPr fontId="140" type="noConversion"/>
  </si>
  <si>
    <t>未包含在土地购买价格中</t>
  </si>
  <si>
    <t>全部缴纳</t>
  </si>
  <si>
    <t>已包含在土地取得成本中</t>
  </si>
  <si>
    <t>土地款</t>
    <phoneticPr fontId="140" type="noConversion"/>
  </si>
  <si>
    <t>土地面积</t>
    <phoneticPr fontId="140" type="noConversion"/>
  </si>
  <si>
    <t>酒店</t>
  </si>
  <si>
    <t>自定义</t>
  </si>
  <si>
    <t>钢混</t>
  </si>
  <si>
    <t>非生产用房</t>
  </si>
  <si>
    <t>否</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</si>
  <si>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</si>
  <si>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</si>
  <si>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</si>
  <si>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</si>
  <si>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</si>
  <si>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</si>
  <si>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</si>
  <si>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</si>
  <si>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</si>
  <si>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</si>
  <si>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</si>
  <si>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</si>
  <si>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</si>
  <si>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</si>
  <si>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</si>
  <si>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</si>
  <si>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</si>
  <si>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经开区观山路与贡湖大道交叉口东北侧</t>
  </si>
  <si>
    <t>无锡市</t>
  </si>
  <si>
    <t>商业/办公用地</t>
  </si>
  <si>
    <t>≤1.5</t>
  </si>
  <si>
    <t>挂牌</t>
  </si>
  <si>
    <t>商业用地</t>
  </si>
  <si>
    <t>2020-10-13</t>
  </si>
  <si>
    <t>无锡新都房产开发有限公司</t>
  </si>
  <si>
    <t>5星</t>
  </si>
  <si>
    <t>经开区吴都路与清舒道交叉口西南侧</t>
  </si>
  <si>
    <t>≤1.1-1.2</t>
  </si>
  <si>
    <t>2020-03-31</t>
  </si>
  <si>
    <t>无锡市太湖新城发展集团有限公司</t>
  </si>
  <si>
    <t>滨湖区胡埭工业园洋溪河西侧</t>
  </si>
  <si>
    <t>≤0.9-1.0</t>
  </si>
  <si>
    <t>商业用地(汽车4S店用地)</t>
  </si>
  <si>
    <t>2019-12-18</t>
  </si>
  <si>
    <t>无锡和旗汽车销售服务有限公司</t>
  </si>
  <si>
    <t>2星</t>
  </si>
  <si>
    <t>滨湖区胡埭工业园洋溪河与钱胡路交叉口西北侧</t>
  </si>
  <si>
    <t>宝爱捷(中国)汽车投资有限公司</t>
  </si>
  <si>
    <t>3星</t>
  </si>
  <si>
    <t>经开区贡湖大道与梁东璐交叉口东南侧</t>
  </si>
  <si>
    <t>≤0.55</t>
  </si>
  <si>
    <t>加油加气站用地</t>
  </si>
  <si>
    <t>无锡通达实业有限公司</t>
  </si>
  <si>
    <t>滨湖区科教产业园中邦蠡湖商务园东侧</t>
  </si>
  <si>
    <t>≤3.7</t>
  </si>
  <si>
    <t>商业用地、商务用地</t>
  </si>
  <si>
    <t>2019-09-04</t>
  </si>
  <si>
    <t>无锡元秦文化科技产业发展有限公司</t>
  </si>
  <si>
    <t>≤3.5</t>
  </si>
  <si>
    <t>无锡山水励合影视管理有限公司</t>
  </si>
  <si>
    <t>滨湖区具区路和塘绛路交叉口东南侧</t>
  </si>
  <si>
    <t>≤2.79</t>
  </si>
  <si>
    <t>商业用地、娱乐康体用地</t>
  </si>
  <si>
    <t>2019-07-17</t>
  </si>
  <si>
    <t>无锡融创城投资有限公司</t>
  </si>
  <si>
    <t>4星</t>
  </si>
  <si>
    <t>滨湖区清源路与万顺道交叉口西北侧</t>
  </si>
  <si>
    <t>其他商服用地</t>
  </si>
  <si>
    <t>2018-10-09</t>
  </si>
  <si>
    <t>江苏华莱坞投资发展有限公司</t>
  </si>
  <si>
    <t>滨湖区立信大道与周新路交叉口东南侧</t>
  </si>
  <si>
    <t>≤0.7</t>
  </si>
  <si>
    <t>2018-07-31</t>
  </si>
  <si>
    <t>无锡周新建设投资发展有限公司</t>
  </si>
  <si>
    <t>滨湖区金城西路南侧、湖滨饭店东侧</t>
  </si>
  <si>
    <t>≤1.4</t>
  </si>
  <si>
    <t>2018-05-22</t>
  </si>
  <si>
    <t>无锡市蠡湖资产投资公司</t>
  </si>
  <si>
    <t>XDG-2017-52号地块</t>
  </si>
  <si>
    <t>容积率≤0.80</t>
  </si>
  <si>
    <t>2018-04-26</t>
  </si>
  <si>
    <t>无锡粤宝汽车销售服务有限公司</t>
  </si>
  <si>
    <t>XDG-2017-36号地块</t>
  </si>
  <si>
    <t>容积率≤1.50</t>
  </si>
  <si>
    <t>2018-03-06</t>
  </si>
  <si>
    <t>江苏贝勒置业有限公司</t>
  </si>
  <si>
    <t>正常</t>
  </si>
  <si>
    <t>商业</t>
    <phoneticPr fontId="31" type="noConversion"/>
  </si>
  <si>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</si>
  <si>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</si>
  <si>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</si>
  <si>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</si>
  <si>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</si>
  <si>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</si>
  <si>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</si>
  <si>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</si>
  <si>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</si>
  <si>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</si>
  <si>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</si>
  <si>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</si>
  <si>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</si>
  <si>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高速路</t>
    <phoneticPr fontId="31" type="noConversion"/>
  </si>
  <si>
    <t>主干道</t>
  </si>
  <si>
    <t>主干道</t>
    <phoneticPr fontId="31" type="noConversion"/>
  </si>
  <si>
    <t>次干道</t>
  </si>
  <si>
    <t>次干道</t>
    <phoneticPr fontId="31" type="noConversion"/>
  </si>
  <si>
    <t>支路</t>
    <phoneticPr fontId="31" type="noConversion"/>
  </si>
  <si>
    <t>不临路</t>
    <phoneticPr fontId="31" type="noConversion"/>
  </si>
  <si>
    <t>六通</t>
  </si>
  <si>
    <t>多面临街</t>
  </si>
  <si>
    <t>双面临街</t>
  </si>
  <si>
    <t>快速路</t>
    <phoneticPr fontId="31" type="noConversion"/>
  </si>
  <si>
    <t>出让地面价</t>
    <phoneticPr fontId="140" type="noConversion"/>
  </si>
  <si>
    <t>出让楼面价</t>
    <phoneticPr fontId="140" type="noConversion"/>
  </si>
  <si>
    <t>成本法</t>
  </si>
  <si>
    <t>单面临街</t>
  </si>
  <si>
    <t>总价</t>
  </si>
  <si>
    <t>成本比率</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</si>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</sst>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 fillId="0" borderId="1" xfId="0" applyFont="1" applyFill="1" applyBorder="1" applyAlignment="1">
      <alignment horizontal="center" vertical="center"/>
    </xf>
    <xf numFmtId="0" fontId="254" fillId="0" borderId="0" xfId="0" applyFont="1" applyAlignment="1">
      <alignment horizontal="left" vertical="center"/>
    </xf>
    <xf numFmtId="49" fontId="254"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xf>
    <xf numFmtId="0" fontId="55" fillId="9" borderId="0" xfId="17"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15" borderId="0" xfId="17" applyFill="1" applyAlignment="1">
      <alignment horizontal="left"/>
    </xf>
    <xf numFmtId="176" fontId="46" fillId="20" borderId="24" xfId="1" applyNumberFormat="1" applyFont="1" applyFill="1" applyBorder="1" applyAlignment="1" applyProtection="1">
      <alignment horizontal="center" vertical="center"/>
      <protection locked="0"/>
    </xf>
    <xf numFmtId="177"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9" fontId="19" fillId="20" borderId="1" xfId="0" applyNumberFormat="1" applyFont="1" applyFill="1" applyBorder="1" applyAlignment="1">
      <alignment horizontal="center" vertical="center"/>
    </xf>
    <xf numFmtId="0" fontId="19" fillId="20" borderId="1" xfId="0" applyFont="1" applyFill="1" applyBorder="1" applyAlignment="1"/>
    <xf numFmtId="0" fontId="46" fillId="20" borderId="24"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14</xdr:row>
      <xdr:rowOff>133350</xdr:rowOff>
    </xdr:from>
    <xdr:to>
      <xdr:col>9</xdr:col>
      <xdr:colOff>265665</xdr:colOff>
      <xdr:row>54</xdr:row>
      <xdr:rowOff>27779</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466725" y="2400300"/>
          <a:ext cx="8285715" cy="6371429"/>
        </a:xfrm>
        <a:prstGeom prst="rect">
          <a:avLst/>
        </a:prstGeom>
      </xdr:spPr>
    </xdr:pic>
    <xdr:clientData/>
  </xdr:twoCellAnchor>
  <xdr:twoCellAnchor editAs="oneCell">
    <xdr:from>
      <xdr:col>0</xdr:col>
      <xdr:colOff>333375</xdr:colOff>
      <xdr:row>56</xdr:row>
      <xdr:rowOff>76200</xdr:rowOff>
    </xdr:from>
    <xdr:to>
      <xdr:col>8</xdr:col>
      <xdr:colOff>37128</xdr:colOff>
      <xdr:row>106</xdr:row>
      <xdr:rowOff>132332</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333375" y="9144000"/>
          <a:ext cx="7780953" cy="8152382"/>
        </a:xfrm>
        <a:prstGeom prst="rect">
          <a:avLst/>
        </a:prstGeom>
      </xdr:spPr>
    </xdr:pic>
    <xdr:clientData/>
  </xdr:twoCellAnchor>
  <xdr:twoCellAnchor editAs="oneCell">
    <xdr:from>
      <xdr:col>9</xdr:col>
      <xdr:colOff>0</xdr:colOff>
      <xdr:row>62</xdr:row>
      <xdr:rowOff>0</xdr:rowOff>
    </xdr:from>
    <xdr:to>
      <xdr:col>15</xdr:col>
      <xdr:colOff>1494719</xdr:colOff>
      <xdr:row>88</xdr:row>
      <xdr:rowOff>113760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8486775" y="10039350"/>
          <a:ext cx="5647619" cy="4323810"/>
        </a:xfrm>
        <a:prstGeom prst="rect">
          <a:avLst/>
        </a:prstGeom>
      </xdr:spPr>
    </xdr:pic>
    <xdr:clientData/>
  </xdr:twoCellAnchor>
  <xdr:twoCellAnchor>
    <xdr:from>
      <xdr:col>2</xdr:col>
      <xdr:colOff>104775</xdr:colOff>
      <xdr:row>51</xdr:row>
      <xdr:rowOff>47625</xdr:rowOff>
    </xdr:from>
    <xdr:to>
      <xdr:col>3</xdr:col>
      <xdr:colOff>314325</xdr:colOff>
      <xdr:row>52</xdr:row>
      <xdr:rowOff>123825</xdr:rowOff>
    </xdr:to>
    <xdr:sp macro="" textlink="">
      <xdr:nvSpPr>
        <xdr:cNvPr id="5" name="TextBox 4">
          <a:extLst>
            <a:ext uri="{FF2B5EF4-FFF2-40B4-BE49-F238E27FC236}">
              <a16:creationId xmlns:a16="http://schemas.microsoft.com/office/drawing/2014/main" xmlns="" id="{00000000-0008-0000-1700-000005000000}"/>
            </a:ext>
          </a:extLst>
        </xdr:cNvPr>
        <xdr:cNvSpPr txBox="1"/>
      </xdr:nvSpPr>
      <xdr:spPr>
        <a:xfrm>
          <a:off x="2800350" y="8305800"/>
          <a:ext cx="11049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2019-2.79-1077</a:t>
          </a:r>
          <a:endParaRPr lang="zh-CN" altLang="en-US" sz="1100"/>
        </a:p>
      </xdr:txBody>
    </xdr:sp>
    <xdr:clientData/>
  </xdr:twoCellAnchor>
  <xdr:twoCellAnchor>
    <xdr:from>
      <xdr:col>3</xdr:col>
      <xdr:colOff>581025</xdr:colOff>
      <xdr:row>42</xdr:row>
      <xdr:rowOff>76200</xdr:rowOff>
    </xdr:from>
    <xdr:to>
      <xdr:col>5</xdr:col>
      <xdr:colOff>114300</xdr:colOff>
      <xdr:row>44</xdr:row>
      <xdr:rowOff>19050</xdr:rowOff>
    </xdr:to>
    <xdr:sp macro="" textlink="">
      <xdr:nvSpPr>
        <xdr:cNvPr id="6" name="TextBox 5">
          <a:extLst>
            <a:ext uri="{FF2B5EF4-FFF2-40B4-BE49-F238E27FC236}">
              <a16:creationId xmlns:a16="http://schemas.microsoft.com/office/drawing/2014/main" xmlns="" id="{00000000-0008-0000-1700-000006000000}"/>
            </a:ext>
          </a:extLst>
        </xdr:cNvPr>
        <xdr:cNvSpPr txBox="1"/>
      </xdr:nvSpPr>
      <xdr:spPr>
        <a:xfrm>
          <a:off x="4171950" y="6877050"/>
          <a:ext cx="11715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2018-1.5-1436</a:t>
          </a:r>
          <a:endParaRPr lang="zh-CN" altLang="en-US" sz="1100"/>
        </a:p>
      </xdr:txBody>
    </xdr:sp>
    <xdr:clientData/>
  </xdr:twoCellAnchor>
  <xdr:twoCellAnchor>
    <xdr:from>
      <xdr:col>0</xdr:col>
      <xdr:colOff>2200275</xdr:colOff>
      <xdr:row>40</xdr:row>
      <xdr:rowOff>0</xdr:rowOff>
    </xdr:from>
    <xdr:to>
      <xdr:col>2</xdr:col>
      <xdr:colOff>847725</xdr:colOff>
      <xdr:row>41</xdr:row>
      <xdr:rowOff>85725</xdr:rowOff>
    </xdr:to>
    <xdr:sp macro="" textlink="">
      <xdr:nvSpPr>
        <xdr:cNvPr id="7" name="TextBox 6">
          <a:extLst>
            <a:ext uri="{FF2B5EF4-FFF2-40B4-BE49-F238E27FC236}">
              <a16:creationId xmlns:a16="http://schemas.microsoft.com/office/drawing/2014/main" xmlns="" id="{00000000-0008-0000-1700-000007000000}"/>
            </a:ext>
          </a:extLst>
        </xdr:cNvPr>
        <xdr:cNvSpPr txBox="1"/>
      </xdr:nvSpPr>
      <xdr:spPr>
        <a:xfrm>
          <a:off x="2200275" y="6477000"/>
          <a:ext cx="13430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2019-3.5-3.7-1350</a:t>
          </a:r>
          <a:endParaRPr lang="zh-CN" altLang="en-US" sz="1100"/>
        </a:p>
      </xdr:txBody>
    </xdr:sp>
    <xdr:clientData/>
  </xdr:twoCellAnchor>
  <xdr:twoCellAnchor>
    <xdr:from>
      <xdr:col>7</xdr:col>
      <xdr:colOff>66675</xdr:colOff>
      <xdr:row>34</xdr:row>
      <xdr:rowOff>76200</xdr:rowOff>
    </xdr:from>
    <xdr:to>
      <xdr:col>7</xdr:col>
      <xdr:colOff>1362075</xdr:colOff>
      <xdr:row>36</xdr:row>
      <xdr:rowOff>19050</xdr:rowOff>
    </xdr:to>
    <xdr:sp macro="" textlink="">
      <xdr:nvSpPr>
        <xdr:cNvPr id="8" name="TextBox 7">
          <a:extLst>
            <a:ext uri="{FF2B5EF4-FFF2-40B4-BE49-F238E27FC236}">
              <a16:creationId xmlns:a16="http://schemas.microsoft.com/office/drawing/2014/main" xmlns="" id="{00000000-0008-0000-1700-000008000000}"/>
            </a:ext>
          </a:extLst>
        </xdr:cNvPr>
        <xdr:cNvSpPr txBox="1"/>
      </xdr:nvSpPr>
      <xdr:spPr>
        <a:xfrm>
          <a:off x="6657975" y="5581650"/>
          <a:ext cx="12954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2020-1.1-1.2-3130</a:t>
          </a:r>
          <a:endParaRPr lang="zh-CN" altLang="en-US" sz="1100"/>
        </a:p>
      </xdr:txBody>
    </xdr:sp>
    <xdr:clientData/>
  </xdr:twoCellAnchor>
  <xdr:twoCellAnchor>
    <xdr:from>
      <xdr:col>7</xdr:col>
      <xdr:colOff>257176</xdr:colOff>
      <xdr:row>28</xdr:row>
      <xdr:rowOff>19050</xdr:rowOff>
    </xdr:from>
    <xdr:to>
      <xdr:col>7</xdr:col>
      <xdr:colOff>1400176</xdr:colOff>
      <xdr:row>29</xdr:row>
      <xdr:rowOff>152400</xdr:rowOff>
    </xdr:to>
    <xdr:sp macro="" textlink="">
      <xdr:nvSpPr>
        <xdr:cNvPr id="9" name="TextBox 8">
          <a:extLst>
            <a:ext uri="{FF2B5EF4-FFF2-40B4-BE49-F238E27FC236}">
              <a16:creationId xmlns:a16="http://schemas.microsoft.com/office/drawing/2014/main" xmlns="" id="{00000000-0008-0000-1700-000009000000}"/>
            </a:ext>
          </a:extLst>
        </xdr:cNvPr>
        <xdr:cNvSpPr txBox="1"/>
      </xdr:nvSpPr>
      <xdr:spPr>
        <a:xfrm>
          <a:off x="6848476" y="45529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2020-1.5-3157</a:t>
          </a:r>
          <a:endParaRPr lang="zh-CN" altLang="en-US" sz="1100"/>
        </a:p>
      </xdr:txBody>
    </xdr:sp>
    <xdr:clientData/>
  </xdr:twoCellAnchor>
  <xdr:twoCellAnchor>
    <xdr:from>
      <xdr:col>5</xdr:col>
      <xdr:colOff>571500</xdr:colOff>
      <xdr:row>18</xdr:row>
      <xdr:rowOff>123825</xdr:rowOff>
    </xdr:from>
    <xdr:to>
      <xdr:col>7</xdr:col>
      <xdr:colOff>495300</xdr:colOff>
      <xdr:row>20</xdr:row>
      <xdr:rowOff>57150</xdr:rowOff>
    </xdr:to>
    <xdr:sp macro="" textlink="">
      <xdr:nvSpPr>
        <xdr:cNvPr id="10" name="TextBox 9">
          <a:extLst>
            <a:ext uri="{FF2B5EF4-FFF2-40B4-BE49-F238E27FC236}">
              <a16:creationId xmlns:a16="http://schemas.microsoft.com/office/drawing/2014/main" xmlns="" id="{00000000-0008-0000-1700-00000A000000}"/>
            </a:ext>
          </a:extLst>
        </xdr:cNvPr>
        <xdr:cNvSpPr txBox="1"/>
      </xdr:nvSpPr>
      <xdr:spPr>
        <a:xfrm>
          <a:off x="5800725" y="3038475"/>
          <a:ext cx="12858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加油站</a:t>
          </a:r>
          <a:r>
            <a:rPr lang="en-US" altLang="zh-CN" sz="1100"/>
            <a:t>7961</a:t>
          </a:r>
          <a:r>
            <a:rPr lang="zh-CN" altLang="en-US" sz="1100"/>
            <a:t>单价</a:t>
          </a:r>
        </a:p>
      </xdr:txBody>
    </xdr:sp>
    <xdr:clientData/>
  </xdr:twoCellAnchor>
  <xdr:twoCellAnchor>
    <xdr:from>
      <xdr:col>5</xdr:col>
      <xdr:colOff>438151</xdr:colOff>
      <xdr:row>22</xdr:row>
      <xdr:rowOff>0</xdr:rowOff>
    </xdr:from>
    <xdr:to>
      <xdr:col>7</xdr:col>
      <xdr:colOff>142876</xdr:colOff>
      <xdr:row>23</xdr:row>
      <xdr:rowOff>76200</xdr:rowOff>
    </xdr:to>
    <xdr:sp macro="" textlink="">
      <xdr:nvSpPr>
        <xdr:cNvPr id="11" name="TextBox 10">
          <a:extLst>
            <a:ext uri="{FF2B5EF4-FFF2-40B4-BE49-F238E27FC236}">
              <a16:creationId xmlns:a16="http://schemas.microsoft.com/office/drawing/2014/main" xmlns="" id="{00000000-0008-0000-1700-00000B000000}"/>
            </a:ext>
          </a:extLst>
        </xdr:cNvPr>
        <xdr:cNvSpPr txBox="1"/>
      </xdr:nvSpPr>
      <xdr:spPr>
        <a:xfrm>
          <a:off x="5667376" y="3562350"/>
          <a:ext cx="1066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2018-0.7-5536</a:t>
          </a:r>
          <a:endParaRPr lang="zh-CN" altLang="en-US" sz="1100"/>
        </a:p>
      </xdr:txBody>
    </xdr:sp>
    <xdr:clientData/>
  </xdr:twoCellAnchor>
  <xdr:twoCellAnchor editAs="oneCell">
    <xdr:from>
      <xdr:col>0</xdr:col>
      <xdr:colOff>180975</xdr:colOff>
      <xdr:row>108</xdr:row>
      <xdr:rowOff>123825</xdr:rowOff>
    </xdr:from>
    <xdr:to>
      <xdr:col>7</xdr:col>
      <xdr:colOff>1151580</xdr:colOff>
      <xdr:row>158</xdr:row>
      <xdr:rowOff>75195</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4"/>
        <a:stretch>
          <a:fillRect/>
        </a:stretch>
      </xdr:blipFill>
      <xdr:spPr>
        <a:xfrm>
          <a:off x="180975" y="17611725"/>
          <a:ext cx="7561905" cy="8047620"/>
        </a:xfrm>
        <a:prstGeom prst="rect">
          <a:avLst/>
        </a:prstGeom>
      </xdr:spPr>
    </xdr:pic>
    <xdr:clientData/>
  </xdr:twoCellAnchor>
  <xdr:twoCellAnchor editAs="oneCell">
    <xdr:from>
      <xdr:col>9</xdr:col>
      <xdr:colOff>0</xdr:colOff>
      <xdr:row>113</xdr:row>
      <xdr:rowOff>0</xdr:rowOff>
    </xdr:from>
    <xdr:to>
      <xdr:col>15</xdr:col>
      <xdr:colOff>1418529</xdr:colOff>
      <xdr:row>138</xdr:row>
      <xdr:rowOff>47113</xdr:rowOff>
    </xdr:to>
    <xdr:pic>
      <xdr:nvPicPr>
        <xdr:cNvPr id="13" name="图片 12">
          <a:extLst>
            <a:ext uri="{FF2B5EF4-FFF2-40B4-BE49-F238E27FC236}">
              <a16:creationId xmlns:a16="http://schemas.microsoft.com/office/drawing/2014/main" xmlns="" id="{00000000-0008-0000-1700-00000D000000}"/>
            </a:ext>
          </a:extLst>
        </xdr:cNvPr>
        <xdr:cNvPicPr>
          <a:picLocks noChangeAspect="1"/>
        </xdr:cNvPicPr>
      </xdr:nvPicPr>
      <xdr:blipFill>
        <a:blip xmlns:r="http://schemas.openxmlformats.org/officeDocument/2006/relationships" r:embed="rId5"/>
        <a:stretch>
          <a:fillRect/>
        </a:stretch>
      </xdr:blipFill>
      <xdr:spPr>
        <a:xfrm>
          <a:off x="8486775" y="18297525"/>
          <a:ext cx="5571429" cy="4095238"/>
        </a:xfrm>
        <a:prstGeom prst="rect">
          <a:avLst/>
        </a:prstGeom>
      </xdr:spPr>
    </xdr:pic>
    <xdr:clientData/>
  </xdr:twoCellAnchor>
  <xdr:twoCellAnchor editAs="oneCell">
    <xdr:from>
      <xdr:col>0</xdr:col>
      <xdr:colOff>161925</xdr:colOff>
      <xdr:row>160</xdr:row>
      <xdr:rowOff>85725</xdr:rowOff>
    </xdr:from>
    <xdr:to>
      <xdr:col>7</xdr:col>
      <xdr:colOff>1313483</xdr:colOff>
      <xdr:row>208</xdr:row>
      <xdr:rowOff>122849</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6"/>
        <a:stretch>
          <a:fillRect/>
        </a:stretch>
      </xdr:blipFill>
      <xdr:spPr>
        <a:xfrm>
          <a:off x="161925" y="25993725"/>
          <a:ext cx="7742858" cy="7809524"/>
        </a:xfrm>
        <a:prstGeom prst="rect">
          <a:avLst/>
        </a:prstGeom>
      </xdr:spPr>
    </xdr:pic>
    <xdr:clientData/>
  </xdr:twoCellAnchor>
  <xdr:twoCellAnchor editAs="oneCell">
    <xdr:from>
      <xdr:col>9</xdr:col>
      <xdr:colOff>0</xdr:colOff>
      <xdr:row>167</xdr:row>
      <xdr:rowOff>0</xdr:rowOff>
    </xdr:from>
    <xdr:to>
      <xdr:col>15</xdr:col>
      <xdr:colOff>1951862</xdr:colOff>
      <xdr:row>193</xdr:row>
      <xdr:rowOff>142331</xdr:rowOff>
    </xdr:to>
    <xdr:pic>
      <xdr:nvPicPr>
        <xdr:cNvPr id="15" name="图片 14">
          <a:extLst>
            <a:ext uri="{FF2B5EF4-FFF2-40B4-BE49-F238E27FC236}">
              <a16:creationId xmlns:a16="http://schemas.microsoft.com/office/drawing/2014/main" xmlns="" id="{00000000-0008-0000-1700-00000F000000}"/>
            </a:ext>
          </a:extLst>
        </xdr:cNvPr>
        <xdr:cNvPicPr>
          <a:picLocks noChangeAspect="1"/>
        </xdr:cNvPicPr>
      </xdr:nvPicPr>
      <xdr:blipFill>
        <a:blip xmlns:r="http://schemas.openxmlformats.org/officeDocument/2006/relationships" r:embed="rId7"/>
        <a:stretch>
          <a:fillRect/>
        </a:stretch>
      </xdr:blipFill>
      <xdr:spPr>
        <a:xfrm>
          <a:off x="8486775" y="27041475"/>
          <a:ext cx="6104762" cy="4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34</xdr:row>
      <xdr:rowOff>47625</xdr:rowOff>
    </xdr:from>
    <xdr:to>
      <xdr:col>16</xdr:col>
      <xdr:colOff>112929</xdr:colOff>
      <xdr:row>65</xdr:row>
      <xdr:rowOff>142199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114300" y="5876925"/>
          <a:ext cx="10971429" cy="5409524"/>
        </a:xfrm>
        <a:prstGeom prst="rect">
          <a:avLst/>
        </a:prstGeom>
      </xdr:spPr>
    </xdr:pic>
    <xdr:clientData/>
  </xdr:twoCellAnchor>
  <xdr:twoCellAnchor editAs="oneCell">
    <xdr:from>
      <xdr:col>0</xdr:col>
      <xdr:colOff>114300</xdr:colOff>
      <xdr:row>0</xdr:row>
      <xdr:rowOff>57150</xdr:rowOff>
    </xdr:from>
    <xdr:to>
      <xdr:col>16</xdr:col>
      <xdr:colOff>351025</xdr:colOff>
      <xdr:row>33</xdr:row>
      <xdr:rowOff>151681</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114300" y="57150"/>
          <a:ext cx="11209525" cy="5752381"/>
        </a:xfrm>
        <a:prstGeom prst="rect">
          <a:avLst/>
        </a:prstGeom>
      </xdr:spPr>
    </xdr:pic>
    <xdr:clientData/>
  </xdr:twoCellAnchor>
  <xdr:twoCellAnchor editAs="oneCell">
    <xdr:from>
      <xdr:col>0</xdr:col>
      <xdr:colOff>19050</xdr:colOff>
      <xdr:row>66</xdr:row>
      <xdr:rowOff>95250</xdr:rowOff>
    </xdr:from>
    <xdr:to>
      <xdr:col>16</xdr:col>
      <xdr:colOff>341489</xdr:colOff>
      <xdr:row>99</xdr:row>
      <xdr:rowOff>18353</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19050" y="11410950"/>
          <a:ext cx="11295239" cy="5580953"/>
        </a:xfrm>
        <a:prstGeom prst="rect">
          <a:avLst/>
        </a:prstGeom>
      </xdr:spPr>
    </xdr:pic>
    <xdr:clientData/>
  </xdr:twoCellAnchor>
  <xdr:twoCellAnchor editAs="oneCell">
    <xdr:from>
      <xdr:col>1</xdr:col>
      <xdr:colOff>28575</xdr:colOff>
      <xdr:row>100</xdr:row>
      <xdr:rowOff>142875</xdr:rowOff>
    </xdr:from>
    <xdr:to>
      <xdr:col>12</xdr:col>
      <xdr:colOff>84776</xdr:colOff>
      <xdr:row>126</xdr:row>
      <xdr:rowOff>18509</xdr:rowOff>
    </xdr:to>
    <xdr:pic>
      <xdr:nvPicPr>
        <xdr:cNvPr id="5" name="图片 4"/>
        <xdr:cNvPicPr>
          <a:picLocks noChangeAspect="1"/>
        </xdr:cNvPicPr>
      </xdr:nvPicPr>
      <xdr:blipFill>
        <a:blip xmlns:r="http://schemas.openxmlformats.org/officeDocument/2006/relationships" r:embed="rId4"/>
        <a:stretch>
          <a:fillRect/>
        </a:stretch>
      </xdr:blipFill>
      <xdr:spPr>
        <a:xfrm>
          <a:off x="714375" y="17287875"/>
          <a:ext cx="7600001"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1179</v>
      </c>
      <c r="B1" s="1356" t="s">
        <v>1258</v>
      </c>
    </row>
    <row r="2" spans="1:2" s="1361" customFormat="1" ht="15" thickTop="1">
      <c r="A2" s="1359" t="s">
        <v>1180</v>
      </c>
      <c r="B2" s="1360" t="str">
        <f>'预评函-封皮'!B37:I37</f>
        <v>房地产抵押价值预评估</v>
      </c>
    </row>
    <row r="3" spans="1:2" s="1364" customFormat="1">
      <c r="A3" s="1362" t="s">
        <v>1181</v>
      </c>
      <c r="B3" s="1363">
        <f>'预评函-封皮'!B40</f>
        <v>0</v>
      </c>
    </row>
    <row r="4" spans="1:2" s="1364" customFormat="1">
      <c r="A4" s="1362" t="s">
        <v>1182</v>
      </c>
      <c r="B4" s="1363" t="str">
        <f>'预评函-封皮'!B46</f>
        <v>（注册号：0)、（注册号：0)</v>
      </c>
    </row>
    <row r="5" spans="1:2" s="1358" customFormat="1" ht="15" thickBot="1">
      <c r="A5" s="1365" t="s">
        <v>1183</v>
      </c>
      <c r="B5" s="1366" t="str">
        <f>'预评函-封皮'!B49</f>
        <v>康正预评字号</v>
      </c>
    </row>
    <row r="6" spans="1:2" s="1361" customFormat="1" ht="15" thickTop="1">
      <c r="A6" s="1359" t="s">
        <v>1184</v>
      </c>
      <c r="B6" s="1360" t="str">
        <f>'预评函-1'!A4</f>
        <v>受贵公司委托，我公司对房地产抵押价值进行了预评估。</v>
      </c>
    </row>
    <row r="7" spans="1:2" s="1364" customFormat="1">
      <c r="A7" s="1362" t="s">
        <v>1224</v>
      </c>
      <c r="B7" s="1363" t="str">
        <f>'预评函-1'!A7</f>
        <v>估价对象为房地产，为所有。根据《国有土地使用证》[]，估价对象（分摊）出让国有建设用地使用权面积为155390.2平方米，建筑面积为38981.68平方米。</v>
      </c>
    </row>
    <row r="8" spans="1:2" s="1364" customFormat="1">
      <c r="A8" s="1362" t="s">
        <v>1225</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1226</v>
      </c>
      <c r="B9" s="1363" t="str">
        <f>'预评函-1'!A10</f>
        <v>估价对象为房地产,属开发建设的，该项目尚在开发建设中。根据《国有土地使用证》[]，估价对象（分摊）出让国有建设用地使用权面积为155390.2平方米，规划建筑面积为38981.68平方米。</v>
      </c>
    </row>
    <row r="10" spans="1:2" s="1364" customFormat="1">
      <c r="A10" s="1362" t="s">
        <v>1227</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1185</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1186</v>
      </c>
      <c r="B12" s="1363" t="str">
        <f>'预评函-1'!A15</f>
        <v>2021年5月6日</v>
      </c>
    </row>
    <row r="13" spans="1:2" s="1364" customFormat="1">
      <c r="A13" s="1362" t="s">
        <v>1187</v>
      </c>
      <c r="B13" s="1363" t="str">
        <f>'预评函-1'!A18</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4" spans="1:2" s="1364" customFormat="1">
      <c r="A14" s="1362" t="s">
        <v>1188</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1189</v>
      </c>
      <c r="B15" s="1363" t="str">
        <f>'预评函-1'!A20</f>
        <v>本次估价的“房地产抵押价值”是指估价对象在价值时点的“房地产价值”扣减估价师于价值时点所知悉的法定优先受偿款后的余额。</v>
      </c>
    </row>
    <row r="16" spans="1:2" s="1364" customFormat="1">
      <c r="A16" s="1362" t="s">
        <v>1190</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1191</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1192</v>
      </c>
      <c r="B18" s="1366" t="str">
        <f>'预评函-1'!A24</f>
        <v>本次评估采用的主估价方法为成本法和收益法。</v>
      </c>
    </row>
    <row r="19" spans="1:2" s="1361" customFormat="1" ht="15" thickTop="1">
      <c r="A19" s="1359" t="s">
        <v>1193</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1194</v>
      </c>
      <c r="B20" s="1363">
        <f ca="1">'预评函-2'!D5</f>
        <v>54591</v>
      </c>
    </row>
    <row r="21" spans="1:2" s="1364" customFormat="1">
      <c r="A21" s="1362" t="s">
        <v>1195</v>
      </c>
      <c r="B21" s="1363">
        <f ca="1">'预评函-2'!D7</f>
        <v>14004</v>
      </c>
    </row>
    <row r="22" spans="1:2" s="1364" customFormat="1">
      <c r="A22" s="1362" t="s">
        <v>1196</v>
      </c>
      <c r="B22" s="1363" t="str">
        <f ca="1">'预评函-2'!D6</f>
        <v>伍亿肆仟伍佰玖拾壹万元整</v>
      </c>
    </row>
    <row r="23" spans="1:2" s="1364" customFormat="1">
      <c r="A23" s="1362" t="s">
        <v>1247</v>
      </c>
      <c r="B23" s="1363" t="str">
        <f>'预评函-2'!B8</f>
        <v>2.估价师知悉的法定优先受偿款</v>
      </c>
    </row>
    <row r="24" spans="1:2" s="1364" customFormat="1">
      <c r="A24" s="1362" t="s">
        <v>1253</v>
      </c>
      <c r="B24" s="1363">
        <f>'预评函-2'!D8</f>
        <v>0</v>
      </c>
    </row>
    <row r="25" spans="1:2" s="1364" customFormat="1">
      <c r="A25" s="1362" t="s">
        <v>1197</v>
      </c>
      <c r="B25" s="1363" t="str">
        <f>'预评函-2'!D9</f>
        <v>零元整</v>
      </c>
    </row>
    <row r="26" spans="1:2" s="1364" customFormat="1">
      <c r="A26" s="1362" t="s">
        <v>1198</v>
      </c>
      <c r="B26" s="1363">
        <f>'预评函-2'!D10</f>
        <v>0</v>
      </c>
    </row>
    <row r="27" spans="1:2" s="1364" customFormat="1">
      <c r="A27" s="1362" t="s">
        <v>1199</v>
      </c>
      <c r="B27" s="1363">
        <f>'预评函-2'!D11</f>
        <v>0</v>
      </c>
    </row>
    <row r="28" spans="1:2" s="1364" customFormat="1">
      <c r="A28" s="1362" t="s">
        <v>1200</v>
      </c>
      <c r="B28" s="1363">
        <f>'预评函-2'!D12</f>
        <v>0</v>
      </c>
    </row>
    <row r="29" spans="1:2" s="1364" customFormat="1">
      <c r="A29" s="1362" t="s">
        <v>1251</v>
      </c>
      <c r="B29" s="1363" t="str">
        <f>'预评函-2'!B13</f>
        <v>3.房地产抵押价值</v>
      </c>
    </row>
    <row r="30" spans="1:2" s="1364" customFormat="1">
      <c r="A30" s="1362" t="s">
        <v>1252</v>
      </c>
      <c r="B30" s="1363">
        <f ca="1">'预评函-2'!D13</f>
        <v>54591</v>
      </c>
    </row>
    <row r="31" spans="1:2" s="1364" customFormat="1">
      <c r="A31" s="1362" t="s">
        <v>1234</v>
      </c>
      <c r="B31" s="1363">
        <f ca="1">'预评函-2'!D15</f>
        <v>14004</v>
      </c>
    </row>
    <row r="32" spans="1:2" s="1364" customFormat="1">
      <c r="A32" s="1362" t="s">
        <v>1201</v>
      </c>
      <c r="B32" s="1363" t="str">
        <f ca="1">'预评函-2'!D14</f>
        <v>伍亿肆仟伍佰玖拾壹万元整</v>
      </c>
    </row>
    <row r="33" spans="1:2" s="1364" customFormat="1">
      <c r="A33" s="1362" t="s">
        <v>1236</v>
      </c>
      <c r="B33" s="1363" t="str">
        <f>'预评函-2'!B16</f>
        <v>——</v>
      </c>
    </row>
    <row r="34" spans="1:2" s="1364" customFormat="1">
      <c r="A34" s="1362" t="s">
        <v>1254</v>
      </c>
      <c r="B34" s="1363" t="str">
        <f>'预评函-2'!D16</f>
        <v>——</v>
      </c>
    </row>
    <row r="35" spans="1:2" s="1364" customFormat="1">
      <c r="A35" s="1362" t="s">
        <v>1235</v>
      </c>
      <c r="B35" s="1363" t="str">
        <f>'预评函-2'!D18</f>
        <v>——</v>
      </c>
    </row>
    <row r="36" spans="1:2" s="1364" customFormat="1">
      <c r="A36" s="1362" t="s">
        <v>1202</v>
      </c>
      <c r="B36" s="1363" t="e">
        <f>'预评函-2'!D17</f>
        <v>#VALUE!</v>
      </c>
    </row>
    <row r="37" spans="1:2" s="1364" customFormat="1">
      <c r="A37" s="1362" t="s">
        <v>1237</v>
      </c>
      <c r="B37" s="1363" t="str">
        <f>'预评函-2'!B19</f>
        <v>4.抵押净值</v>
      </c>
    </row>
    <row r="38" spans="1:2" s="1364" customFormat="1">
      <c r="A38" s="1362" t="s">
        <v>1255</v>
      </c>
      <c r="B38" s="1363">
        <f ca="1">'预评函-2'!D19</f>
        <v>23146</v>
      </c>
    </row>
    <row r="39" spans="1:2" s="1364" customFormat="1">
      <c r="A39" s="1362" t="s">
        <v>1203</v>
      </c>
      <c r="B39" s="1363">
        <f ca="1">'预评函-2'!D21</f>
        <v>5938</v>
      </c>
    </row>
    <row r="40" spans="1:2" s="1364" customFormat="1">
      <c r="A40" s="1362" t="s">
        <v>1204</v>
      </c>
      <c r="B40" s="1363" t="str">
        <f ca="1">'预评函-2'!D20</f>
        <v>贰亿叁仟壹佰肆拾陆万元整</v>
      </c>
    </row>
    <row r="41" spans="1:2" s="1364" customFormat="1">
      <c r="A41" s="1362" t="s">
        <v>1250</v>
      </c>
      <c r="B41" s="1363" t="str">
        <f>'预评函-3'!A4</f>
        <v>房地产</v>
      </c>
    </row>
    <row r="42" spans="1:2" s="1364" customFormat="1">
      <c r="A42" s="1362" t="s">
        <v>1248</v>
      </c>
      <c r="B42" s="1363" t="str">
        <f>'预评函-3'!B2</f>
        <v>建筑面积</v>
      </c>
    </row>
    <row r="43" spans="1:2" s="1364" customFormat="1">
      <c r="A43" s="1362" t="s">
        <v>1249</v>
      </c>
      <c r="B43" s="1363">
        <f>'预评函-3'!B4</f>
        <v>38981.680000000008</v>
      </c>
    </row>
    <row r="44" spans="1:2" s="1364" customFormat="1">
      <c r="A44" s="1362" t="s">
        <v>1233</v>
      </c>
      <c r="B44" s="1363" t="str">
        <f>'预评函-3'!C2</f>
        <v>(分摊)土地面积</v>
      </c>
    </row>
    <row r="45" spans="1:2" s="1364" customFormat="1">
      <c r="A45" s="1362" t="s">
        <v>1205</v>
      </c>
      <c r="B45" s="1363">
        <f>'预评函-3'!C4</f>
        <v>155390.20000000001</v>
      </c>
    </row>
    <row r="46" spans="1:2" s="1364" customFormat="1">
      <c r="A46" s="1362" t="s">
        <v>1231</v>
      </c>
      <c r="B46" s="1363" t="str">
        <f>'预评函-3'!D2</f>
        <v>出让国有建设用地使用权价值</v>
      </c>
    </row>
    <row r="47" spans="1:2" s="1364" customFormat="1">
      <c r="A47" s="1362" t="s">
        <v>1206</v>
      </c>
      <c r="B47" s="1363">
        <f ca="1">'预评函-3'!D4</f>
        <v>17251</v>
      </c>
    </row>
    <row r="48" spans="1:2" s="1364" customFormat="1">
      <c r="A48" s="1362" t="s">
        <v>1207</v>
      </c>
      <c r="B48" s="1363">
        <f ca="1">'预评函-3'!E4</f>
        <v>4425</v>
      </c>
    </row>
    <row r="49" spans="1:2" s="1364" customFormat="1">
      <c r="A49" s="1362" t="s">
        <v>1208</v>
      </c>
      <c r="B49" s="1363" t="str">
        <f ca="1">'预评函-3'!D5</f>
        <v>壹亿柒仟贰佰伍拾壹万元整</v>
      </c>
    </row>
    <row r="50" spans="1:2" s="1364" customFormat="1">
      <c r="A50" s="1362" t="s">
        <v>1232</v>
      </c>
      <c r="B50" s="1363" t="str">
        <f>'预评函-3'!F2</f>
        <v>在建建筑物价值</v>
      </c>
    </row>
    <row r="51" spans="1:2" s="1364" customFormat="1">
      <c r="A51" s="1362" t="s">
        <v>1209</v>
      </c>
      <c r="B51" s="1363">
        <f ca="1">'预评函-3'!F4</f>
        <v>37340</v>
      </c>
    </row>
    <row r="52" spans="1:2" s="1364" customFormat="1">
      <c r="A52" s="1362" t="s">
        <v>1210</v>
      </c>
      <c r="B52" s="1363">
        <f ca="1">'预评函-3'!G4</f>
        <v>9579</v>
      </c>
    </row>
    <row r="53" spans="1:2" s="1364" customFormat="1">
      <c r="A53" s="1362" t="s">
        <v>1238</v>
      </c>
      <c r="B53" s="1363" t="str">
        <f ca="1">'预评函-3'!F5</f>
        <v>叁亿柒仟叁佰肆拾万元整</v>
      </c>
    </row>
    <row r="54" spans="1:2" s="1364" customFormat="1">
      <c r="A54" s="1362" t="s">
        <v>1256</v>
      </c>
      <c r="B54" s="1363" t="str">
        <f>'预评函-3'!A8</f>
        <v>房地产抵押价值</v>
      </c>
    </row>
    <row r="55" spans="1:2" s="1364" customFormat="1">
      <c r="A55" s="1362" t="s">
        <v>1239</v>
      </c>
      <c r="B55" s="1363" t="str">
        <f>'预评函-3'!A10</f>
        <v/>
      </c>
    </row>
    <row r="56" spans="1:2" s="1364" customFormat="1">
      <c r="A56" s="1362" t="s">
        <v>1240</v>
      </c>
      <c r="B56" s="1363" t="str">
        <f>'预评函-3'!A12</f>
        <v>抵押净值</v>
      </c>
    </row>
    <row r="57" spans="1:2" s="1358" customFormat="1" ht="15" thickBot="1">
      <c r="A57" s="1365" t="s">
        <v>1257</v>
      </c>
      <c r="B57" s="1366" t="str">
        <f>'预评函-3'!A6</f>
        <v>估价师知悉的法定优先受偿款</v>
      </c>
    </row>
    <row r="58" spans="1:2" s="1361" customFormat="1" ht="15" thickTop="1">
      <c r="A58" s="1359" t="s">
        <v>1211</v>
      </c>
      <c r="B58" s="1360" t="str">
        <f>'预评函-4'!A12</f>
        <v>2.本《评估意见函》仅供金融机构进行内部审核使用，不做其他目的之用。</v>
      </c>
    </row>
    <row r="59" spans="1:2" s="1364" customFormat="1">
      <c r="A59" s="1362" t="s">
        <v>1212</v>
      </c>
      <c r="B59" s="1363" t="str">
        <f>'预评函-4'!A13</f>
        <v>3.抵押双方在办理抵押登记手续时，应使用本公司出具的正式《房地产评估报告》，特提醒报告使用者注意。</v>
      </c>
    </row>
    <row r="60" spans="1:2" s="1364" customFormat="1">
      <c r="A60" s="1362" t="s">
        <v>1213</v>
      </c>
      <c r="B60" s="1363" t="str">
        <f>'预评函-4'!A14</f>
        <v>4.本次评估估价师所知悉的法定优先受偿款情况说明如下：</v>
      </c>
    </row>
    <row r="61" spans="1:2" s="1364" customFormat="1">
      <c r="A61" s="1362" t="s">
        <v>1214</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1215</v>
      </c>
      <c r="B62" s="1363" t="str">
        <f>'预评函-4'!A16</f>
        <v>（2）根据《工程款支付情况说明》，截至价值时点，估价对象不存在应付未付工程款项。（只要没有施工方盖章的，均“设定”进行表述）</v>
      </c>
    </row>
    <row r="63" spans="1:2" s="1364" customFormat="1">
      <c r="A63" s="1362" t="s">
        <v>1216</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1228</v>
      </c>
      <c r="B64" s="1363" t="str">
        <f>'预评函-4'!A18</f>
        <v>故，本次评估不存在估价师知悉的法定优先受偿款</v>
      </c>
    </row>
    <row r="65" spans="1:2" s="1364" customFormat="1">
      <c r="A65" s="1362" t="s">
        <v>1217</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1218</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1229</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1230</v>
      </c>
      <c r="B68" s="1363" t="str">
        <f>'预评函-4'!A22</f>
        <v>8.其他需特殊说明事项：无（注意调整序号）</v>
      </c>
    </row>
    <row r="69" spans="1:2" s="1358" customFormat="1" ht="15" thickBot="1">
      <c r="A69" s="1365" t="s">
        <v>1219</v>
      </c>
      <c r="B69" s="1367">
        <f>'预评函-4'!C31</f>
        <v>42551</v>
      </c>
    </row>
    <row r="70" spans="1:2" ht="15" thickTop="1">
      <c r="A70" s="1368" t="s">
        <v>1220</v>
      </c>
      <c r="B70" s="1369">
        <f>'预评函-4'!A4</f>
        <v>0</v>
      </c>
    </row>
    <row r="71" spans="1:2">
      <c r="A71" s="1362" t="s">
        <v>1221</v>
      </c>
      <c r="B71" s="1363">
        <f>'预评函-4'!B4</f>
        <v>0</v>
      </c>
    </row>
    <row r="72" spans="1:2">
      <c r="A72" s="1362" t="s">
        <v>1222</v>
      </c>
      <c r="B72" s="1371">
        <f>'预评函-4'!A5</f>
        <v>0</v>
      </c>
    </row>
    <row r="73" spans="1:2" s="1358" customFormat="1" ht="15" thickBot="1">
      <c r="A73" s="1365" t="s">
        <v>1223</v>
      </c>
      <c r="B73" s="1366">
        <f>'预评函-4'!B5</f>
        <v>0</v>
      </c>
    </row>
    <row r="74" spans="1:2" ht="15" thickTop="1">
      <c r="A74" s="1355" t="s">
        <v>1259</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1648</v>
      </c>
      <c r="C1" s="1725" t="s">
        <v>759</v>
      </c>
      <c r="D1" s="1726" t="s">
        <v>1649</v>
      </c>
      <c r="E1" s="1726" t="s">
        <v>1650</v>
      </c>
      <c r="F1" s="1726" t="s">
        <v>1651</v>
      </c>
      <c r="G1" s="1726" t="s">
        <v>1652</v>
      </c>
      <c r="H1" s="1726" t="s">
        <v>1653</v>
      </c>
      <c r="I1" s="1726" t="s">
        <v>1654</v>
      </c>
      <c r="J1" s="1726" t="s">
        <v>1655</v>
      </c>
      <c r="K1" s="1726" t="s">
        <v>1656</v>
      </c>
      <c r="L1" s="1726" t="s">
        <v>1657</v>
      </c>
      <c r="M1" s="1726" t="s">
        <v>1658</v>
      </c>
      <c r="N1" s="1726" t="s">
        <v>1659</v>
      </c>
      <c r="O1" s="1726" t="s">
        <v>1660</v>
      </c>
      <c r="P1" s="1727" t="s">
        <v>753</v>
      </c>
      <c r="Q1" s="1727" t="s">
        <v>1105</v>
      </c>
      <c r="R1" s="1726" t="s">
        <v>1099</v>
      </c>
      <c r="S1" s="1726" t="s">
        <v>1661</v>
      </c>
      <c r="T1" s="1728" t="s">
        <v>1662</v>
      </c>
      <c r="U1" s="1726" t="s">
        <v>1663</v>
      </c>
      <c r="V1" s="1726" t="s">
        <v>1664</v>
      </c>
      <c r="W1" s="1726" t="s">
        <v>755</v>
      </c>
    </row>
    <row r="2" spans="1:23">
      <c r="A2" s="1730" t="s">
        <v>22</v>
      </c>
      <c r="B2" s="1730" t="s">
        <v>1665</v>
      </c>
      <c r="C2" s="1731" t="s">
        <v>760</v>
      </c>
      <c r="D2" s="1732" t="s">
        <v>1666</v>
      </c>
      <c r="E2" s="1732" t="s">
        <v>1667</v>
      </c>
      <c r="F2" s="1732" t="s">
        <v>1668</v>
      </c>
      <c r="G2" s="1732">
        <v>40</v>
      </c>
      <c r="H2" s="1732" t="s">
        <v>1668</v>
      </c>
      <c r="I2" s="1732" t="s">
        <v>1669</v>
      </c>
      <c r="J2" s="1732" t="s">
        <v>1670</v>
      </c>
      <c r="K2" s="1732" t="s">
        <v>1671</v>
      </c>
      <c r="L2" s="1732" t="s">
        <v>1671</v>
      </c>
      <c r="M2" s="1732" t="s">
        <v>1671</v>
      </c>
      <c r="N2" s="1732" t="s">
        <v>1671</v>
      </c>
      <c r="O2" s="1732" t="s">
        <v>1671</v>
      </c>
      <c r="P2" s="1732" t="s">
        <v>1671</v>
      </c>
      <c r="Q2" s="1732" t="s">
        <v>1671</v>
      </c>
      <c r="R2" s="1732" t="s">
        <v>1101</v>
      </c>
      <c r="S2" s="1732" t="s">
        <v>1671</v>
      </c>
      <c r="T2" s="1732" t="s">
        <v>1672</v>
      </c>
      <c r="U2" s="1732" t="s">
        <v>1671</v>
      </c>
      <c r="V2" s="1732" t="s">
        <v>1673</v>
      </c>
      <c r="W2" s="1732" t="s">
        <v>1671</v>
      </c>
    </row>
    <row r="3" spans="1:23">
      <c r="A3" s="1730" t="s">
        <v>1674</v>
      </c>
      <c r="B3" s="1733" t="s">
        <v>1106</v>
      </c>
      <c r="C3" s="1734" t="s">
        <v>761</v>
      </c>
      <c r="D3" s="1732" t="s">
        <v>1675</v>
      </c>
      <c r="E3" s="1732" t="s">
        <v>16</v>
      </c>
      <c r="F3" s="1732" t="s">
        <v>1676</v>
      </c>
      <c r="G3" s="1732">
        <v>50</v>
      </c>
      <c r="H3" s="1732" t="s">
        <v>1676</v>
      </c>
      <c r="I3" s="1732" t="s">
        <v>1677</v>
      </c>
      <c r="J3" s="1732" t="s">
        <v>1678</v>
      </c>
      <c r="K3" s="1732" t="s">
        <v>1679</v>
      </c>
      <c r="L3" s="1732" t="s">
        <v>1679</v>
      </c>
      <c r="M3" s="1732" t="s">
        <v>1679</v>
      </c>
      <c r="N3" s="1732" t="s">
        <v>1679</v>
      </c>
      <c r="O3" s="1732" t="s">
        <v>1679</v>
      </c>
      <c r="P3" s="1732" t="s">
        <v>1679</v>
      </c>
      <c r="Q3" s="1732" t="s">
        <v>1679</v>
      </c>
      <c r="R3" s="1732" t="s">
        <v>1100</v>
      </c>
      <c r="S3" s="1732" t="s">
        <v>1679</v>
      </c>
      <c r="T3" s="1732" t="s">
        <v>1680</v>
      </c>
      <c r="U3" s="1732" t="s">
        <v>1679</v>
      </c>
      <c r="V3" s="1732" t="s">
        <v>1681</v>
      </c>
      <c r="W3" s="1732" t="s">
        <v>1679</v>
      </c>
    </row>
    <row r="4" spans="1:23">
      <c r="A4" s="1730" t="s">
        <v>1682</v>
      </c>
      <c r="B4" s="1730" t="s">
        <v>1683</v>
      </c>
      <c r="C4" s="1731" t="s">
        <v>762</v>
      </c>
      <c r="D4" s="1732" t="s">
        <v>836</v>
      </c>
      <c r="E4" s="1732" t="s">
        <v>1684</v>
      </c>
      <c r="F4" s="1732" t="s">
        <v>1685</v>
      </c>
      <c r="G4" s="1732">
        <v>70</v>
      </c>
      <c r="H4" s="1732" t="s">
        <v>1685</v>
      </c>
      <c r="I4" s="1732" t="s">
        <v>1686</v>
      </c>
      <c r="K4" s="1732" t="s">
        <v>1687</v>
      </c>
      <c r="L4" s="1732" t="s">
        <v>1687</v>
      </c>
      <c r="M4" s="1732" t="s">
        <v>1687</v>
      </c>
      <c r="N4" s="1732" t="s">
        <v>1687</v>
      </c>
      <c r="O4" s="1732" t="s">
        <v>1687</v>
      </c>
      <c r="P4" s="1732" t="s">
        <v>1687</v>
      </c>
      <c r="Q4" s="1732" t="s">
        <v>1687</v>
      </c>
      <c r="R4" s="1732" t="s">
        <v>1102</v>
      </c>
      <c r="S4" s="1732" t="s">
        <v>1687</v>
      </c>
      <c r="T4" s="1732" t="s">
        <v>1688</v>
      </c>
      <c r="U4" s="1732" t="s">
        <v>1687</v>
      </c>
      <c r="W4" s="1732" t="s">
        <v>1687</v>
      </c>
    </row>
    <row r="5" spans="1:23">
      <c r="A5" s="1730" t="s">
        <v>1689</v>
      </c>
      <c r="B5" s="1730" t="s">
        <v>1690</v>
      </c>
      <c r="C5" s="1731" t="s">
        <v>763</v>
      </c>
      <c r="F5" s="1732" t="s">
        <v>1691</v>
      </c>
      <c r="H5" s="1732" t="s">
        <v>1692</v>
      </c>
      <c r="I5" s="1732" t="s">
        <v>1693</v>
      </c>
      <c r="K5" s="1732" t="s">
        <v>1694</v>
      </c>
      <c r="L5" s="1732" t="s">
        <v>1694</v>
      </c>
      <c r="M5" s="1732" t="s">
        <v>1694</v>
      </c>
      <c r="N5" s="1732" t="s">
        <v>1694</v>
      </c>
      <c r="O5" s="1732" t="s">
        <v>1694</v>
      </c>
      <c r="P5" s="1732" t="s">
        <v>1694</v>
      </c>
      <c r="Q5" s="1732" t="s">
        <v>1694</v>
      </c>
      <c r="R5" s="1732" t="s">
        <v>1103</v>
      </c>
      <c r="S5" s="1732" t="s">
        <v>1694</v>
      </c>
      <c r="T5" s="1732" t="s">
        <v>1695</v>
      </c>
      <c r="U5" s="1732" t="s">
        <v>1694</v>
      </c>
      <c r="W5" s="1732" t="s">
        <v>1694</v>
      </c>
    </row>
    <row r="6" spans="1:23">
      <c r="A6" s="1730" t="s">
        <v>1696</v>
      </c>
      <c r="B6" s="1733" t="s">
        <v>1107</v>
      </c>
      <c r="C6" s="1736" t="s">
        <v>30</v>
      </c>
      <c r="F6" s="1732" t="s">
        <v>1692</v>
      </c>
      <c r="H6" s="1732" t="s">
        <v>1697</v>
      </c>
      <c r="I6" s="1732" t="s">
        <v>1698</v>
      </c>
      <c r="K6" s="1732" t="s">
        <v>1699</v>
      </c>
      <c r="L6" s="1732" t="s">
        <v>1699</v>
      </c>
      <c r="M6" s="1732" t="s">
        <v>1699</v>
      </c>
      <c r="N6" s="1732" t="s">
        <v>1699</v>
      </c>
      <c r="O6" s="1732" t="s">
        <v>1699</v>
      </c>
      <c r="P6" s="1732" t="s">
        <v>1699</v>
      </c>
      <c r="Q6" s="1732" t="s">
        <v>1699</v>
      </c>
      <c r="R6" s="1732" t="s">
        <v>1104</v>
      </c>
      <c r="S6" s="1732" t="s">
        <v>1699</v>
      </c>
      <c r="T6" s="1732"/>
      <c r="U6" s="1732" t="s">
        <v>1699</v>
      </c>
      <c r="W6" s="1732" t="s">
        <v>1699</v>
      </c>
    </row>
    <row r="7" spans="1:23">
      <c r="A7" s="1730" t="s">
        <v>1700</v>
      </c>
      <c r="B7" s="1733" t="s">
        <v>1108</v>
      </c>
      <c r="C7" s="1731" t="s">
        <v>31</v>
      </c>
      <c r="F7" s="1732" t="s">
        <v>1701</v>
      </c>
      <c r="H7" s="1732" t="s">
        <v>1702</v>
      </c>
      <c r="I7" s="1732" t="s">
        <v>1703</v>
      </c>
    </row>
    <row r="8" spans="1:23">
      <c r="A8" s="1730" t="s">
        <v>1704</v>
      </c>
      <c r="B8" s="1730" t="s">
        <v>1705</v>
      </c>
      <c r="C8" s="1731" t="s">
        <v>764</v>
      </c>
      <c r="F8" s="1732" t="s">
        <v>1706</v>
      </c>
      <c r="H8" s="1732"/>
      <c r="I8" s="1732" t="s">
        <v>1707</v>
      </c>
    </row>
    <row r="9" spans="1:23">
      <c r="A9" s="1730" t="s">
        <v>1708</v>
      </c>
      <c r="B9" s="1730" t="s">
        <v>1709</v>
      </c>
      <c r="C9" s="1731" t="s">
        <v>765</v>
      </c>
      <c r="F9" s="1732" t="s">
        <v>1710</v>
      </c>
      <c r="H9" s="1732"/>
    </row>
    <row r="10" spans="1:23">
      <c r="A10" s="1730" t="s">
        <v>1711</v>
      </c>
      <c r="B10" s="1730" t="s">
        <v>1712</v>
      </c>
      <c r="C10" s="1731" t="s">
        <v>766</v>
      </c>
      <c r="F10" s="1732" t="s">
        <v>16</v>
      </c>
    </row>
    <row r="11" spans="1:23">
      <c r="A11" s="1730" t="s">
        <v>1713</v>
      </c>
      <c r="B11" s="1730" t="s">
        <v>1714</v>
      </c>
      <c r="C11" s="1731" t="s">
        <v>767</v>
      </c>
    </row>
    <row r="12" spans="1:23">
      <c r="A12" s="1730" t="s">
        <v>1715</v>
      </c>
      <c r="B12" s="1730" t="s">
        <v>1716</v>
      </c>
      <c r="C12" s="1731" t="s">
        <v>768</v>
      </c>
    </row>
    <row r="13" spans="1:23">
      <c r="A13" s="1730" t="s">
        <v>1717</v>
      </c>
      <c r="B13" s="1730" t="s">
        <v>1718</v>
      </c>
      <c r="C13" s="1731" t="s">
        <v>769</v>
      </c>
    </row>
    <row r="14" spans="1:23">
      <c r="A14" s="1730" t="s">
        <v>1719</v>
      </c>
      <c r="B14" s="1730" t="s">
        <v>1720</v>
      </c>
      <c r="C14" s="1732" t="s">
        <v>16</v>
      </c>
    </row>
    <row r="15" spans="1:23">
      <c r="A15" s="1730" t="s">
        <v>1721</v>
      </c>
      <c r="B15" s="1730" t="s">
        <v>1722</v>
      </c>
      <c r="C15" s="1731"/>
    </row>
    <row r="16" spans="1:23">
      <c r="A16" s="1730" t="s">
        <v>1723</v>
      </c>
      <c r="B16" s="1730" t="s">
        <v>756</v>
      </c>
      <c r="C16" s="1731"/>
    </row>
    <row r="17" spans="1:3">
      <c r="A17" s="1730" t="s">
        <v>1724</v>
      </c>
      <c r="B17" s="1730" t="s">
        <v>3033</v>
      </c>
      <c r="C17" s="1731"/>
    </row>
    <row r="18" spans="1:3">
      <c r="A18" s="1730" t="s">
        <v>1725</v>
      </c>
      <c r="B18" s="1730" t="s">
        <v>757</v>
      </c>
      <c r="C18" s="1731"/>
    </row>
    <row r="19" spans="1:3">
      <c r="A19" s="1730" t="s">
        <v>1726</v>
      </c>
      <c r="B19" s="1730" t="s">
        <v>757</v>
      </c>
      <c r="C19" s="1731"/>
    </row>
    <row r="20" spans="1:3">
      <c r="A20" s="1730" t="s">
        <v>1727</v>
      </c>
      <c r="B20" s="1730" t="s">
        <v>757</v>
      </c>
      <c r="C20" s="1731"/>
    </row>
    <row r="21" spans="1:3">
      <c r="A21" s="1730" t="s">
        <v>1728</v>
      </c>
      <c r="B21" s="1730" t="s">
        <v>757</v>
      </c>
      <c r="C21" s="1731"/>
    </row>
    <row r="22" spans="1:3">
      <c r="A22" s="1730" t="s">
        <v>1729</v>
      </c>
      <c r="B22" s="1730" t="s">
        <v>757</v>
      </c>
      <c r="C22" s="1731"/>
    </row>
    <row r="23" spans="1:3">
      <c r="A23" s="1730" t="s">
        <v>1730</v>
      </c>
      <c r="B23" s="1730" t="s">
        <v>757</v>
      </c>
      <c r="C23" s="1731"/>
    </row>
    <row r="24" spans="1:3">
      <c r="A24" s="1730" t="s">
        <v>1731</v>
      </c>
      <c r="B24" s="1730" t="s">
        <v>757</v>
      </c>
      <c r="C24" s="1731"/>
    </row>
    <row r="25" spans="1:3">
      <c r="A25" s="1730" t="s">
        <v>1732</v>
      </c>
      <c r="B25" s="1730" t="s">
        <v>757</v>
      </c>
      <c r="C25" s="1731"/>
    </row>
    <row r="26" spans="1:3">
      <c r="A26" s="1730" t="s">
        <v>1733</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1244</v>
      </c>
    </row>
    <row r="52" spans="1:4">
      <c r="A52" s="1737" t="s">
        <v>826</v>
      </c>
      <c r="B52" s="1737" t="s">
        <v>827</v>
      </c>
      <c r="C52" s="1735" t="s">
        <v>828</v>
      </c>
      <c r="D52" s="1735" t="s">
        <v>829</v>
      </c>
    </row>
    <row r="53" spans="1:4">
      <c r="A53" s="311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8" t="s">
        <v>832</v>
      </c>
      <c r="C54" s="1735" t="s">
        <v>1241</v>
      </c>
    </row>
    <row r="55" spans="1:4">
      <c r="A55" s="3116"/>
      <c r="B55" s="1738" t="s">
        <v>833</v>
      </c>
      <c r="C55" s="1735" t="s">
        <v>1242</v>
      </c>
    </row>
    <row r="56" spans="1:4">
      <c r="A56" s="3116"/>
      <c r="B56" s="1738" t="s">
        <v>834</v>
      </c>
      <c r="C56" s="1735" t="s">
        <v>1246</v>
      </c>
    </row>
    <row r="57" spans="1:4">
      <c r="A57" s="3116"/>
      <c r="B57" s="1738" t="s">
        <v>835</v>
      </c>
      <c r="C57" s="1735" t="s">
        <v>1243</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2908</v>
      </c>
      <c r="B1" s="3125" t="str">
        <f>IF(B10="北京市","北京市",C10)&amp;F10&amp;IF(结果表!G1="在建","出让国有建设用地使用权及在建建筑物",IF(结果表!G1="土地","出让国有建设用地使用权",))&amp;B9&amp;"预评估"</f>
        <v>房地产抵押价值预评估</v>
      </c>
      <c r="C1" s="3126"/>
      <c r="D1" s="3126"/>
      <c r="E1" s="3126"/>
      <c r="F1" s="3126"/>
      <c r="G1" s="3126"/>
      <c r="H1" s="3126"/>
      <c r="I1" s="3127"/>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2909</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2910</v>
      </c>
      <c r="B3" s="2595"/>
      <c r="C3" s="2596" t="s">
        <v>2911</v>
      </c>
      <c r="D3" s="2595">
        <v>44322</v>
      </c>
      <c r="E3" s="2888"/>
      <c r="F3" s="2888"/>
      <c r="G3" s="2888"/>
      <c r="H3" s="2888"/>
      <c r="I3" s="2888"/>
      <c r="J3" s="2695"/>
      <c r="K3" s="2590"/>
      <c r="L3" s="2591"/>
      <c r="M3" s="2591"/>
      <c r="N3" s="2592"/>
      <c r="O3" s="1760"/>
      <c r="P3" s="2592"/>
      <c r="Q3" s="2592"/>
      <c r="R3" s="2592"/>
      <c r="S3" s="1867"/>
      <c r="T3" s="1929"/>
      <c r="U3" s="1929"/>
      <c r="V3" s="1929"/>
      <c r="W3" s="1929"/>
      <c r="X3" s="1929"/>
      <c r="Y3" s="1929"/>
      <c r="Z3" s="1929"/>
      <c r="AA3" s="1929"/>
      <c r="AB3" s="1929"/>
    </row>
    <row r="4" spans="1:28" ht="13.5" thickBot="1">
      <c r="A4" s="1250" t="s">
        <v>2912</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29"/>
      <c r="U4" s="1929"/>
      <c r="V4" s="1929"/>
      <c r="W4" s="1929"/>
      <c r="X4" s="1929"/>
      <c r="Y4" s="1929"/>
      <c r="Z4" s="1929"/>
      <c r="AA4" s="1929"/>
      <c r="AB4" s="1929"/>
    </row>
    <row r="5" spans="1:28" ht="13.5" thickTop="1">
      <c r="A5" s="2601" t="s">
        <v>2913</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2914</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2915</v>
      </c>
      <c r="B7" s="2609"/>
      <c r="C7" s="2607"/>
      <c r="D7" s="2608"/>
      <c r="E7" s="2887"/>
      <c r="F7" s="2889"/>
      <c r="G7" s="2889"/>
      <c r="H7" s="2889"/>
      <c r="I7" s="2889"/>
      <c r="J7" s="2663"/>
      <c r="K7" s="2840"/>
      <c r="L7" s="2837"/>
      <c r="M7" s="2837"/>
      <c r="N7" s="2663"/>
      <c r="O7" s="2674"/>
      <c r="P7" s="2663"/>
      <c r="Q7" s="2663"/>
      <c r="R7" s="2663"/>
    </row>
    <row r="8" spans="1:28">
      <c r="A8" s="2610" t="s">
        <v>2916</v>
      </c>
      <c r="B8" s="2611" t="s">
        <v>3057</v>
      </c>
      <c r="C8" s="2612"/>
      <c r="D8" s="3128" t="s">
        <v>2917</v>
      </c>
      <c r="E8" s="2613" t="s">
        <v>3058</v>
      </c>
      <c r="F8" s="2614"/>
      <c r="G8" s="2888"/>
      <c r="H8" s="2888"/>
      <c r="I8" s="2888"/>
      <c r="J8" s="2663"/>
      <c r="K8" s="2838"/>
      <c r="L8" s="2837"/>
      <c r="M8" s="2837"/>
      <c r="N8" s="2663"/>
      <c r="O8" s="2674"/>
      <c r="P8" s="2663"/>
      <c r="Q8" s="2663"/>
      <c r="R8" s="2663"/>
    </row>
    <row r="9" spans="1:28" ht="13.5" thickBot="1">
      <c r="A9" s="2615" t="s">
        <v>2918</v>
      </c>
      <c r="B9" s="2616" t="s">
        <v>3058</v>
      </c>
      <c r="C9" s="2617"/>
      <c r="D9" s="3129"/>
      <c r="E9" s="2616" t="s">
        <v>1245</v>
      </c>
      <c r="F9" s="2618"/>
      <c r="G9" s="2890"/>
      <c r="H9" s="2890"/>
      <c r="I9" s="2890"/>
      <c r="J9" s="2663"/>
      <c r="K9" s="2840"/>
      <c r="L9" s="2837"/>
      <c r="M9" s="2837"/>
      <c r="N9" s="2663"/>
      <c r="O9" s="2674"/>
      <c r="P9" s="2663"/>
      <c r="Q9" s="2663"/>
      <c r="R9" s="2663"/>
    </row>
    <row r="10" spans="1:28" ht="13.5" thickTop="1">
      <c r="A10" s="2619" t="s">
        <v>2919</v>
      </c>
      <c r="B10" s="2620" t="s">
        <v>3059</v>
      </c>
      <c r="C10" s="2621"/>
      <c r="D10" s="2604"/>
      <c r="E10" s="2622" t="s">
        <v>2920</v>
      </c>
      <c r="F10" s="2891"/>
      <c r="G10" s="2892"/>
      <c r="H10" s="2893"/>
      <c r="I10" s="2894"/>
      <c r="J10" s="2663"/>
      <c r="K10" s="2840"/>
      <c r="L10" s="2837"/>
      <c r="M10" s="2837"/>
      <c r="N10" s="2663"/>
      <c r="O10" s="2674"/>
      <c r="P10" s="2663"/>
      <c r="Q10" s="2663"/>
      <c r="R10" s="2663"/>
    </row>
    <row r="11" spans="1:28">
      <c r="A11" s="2623" t="s">
        <v>2921</v>
      </c>
      <c r="B11" s="2624" t="s">
        <v>3060</v>
      </c>
      <c r="C11" s="2625"/>
      <c r="D11" s="2626"/>
      <c r="E11" s="2592"/>
      <c r="F11" s="2592"/>
      <c r="G11" s="2592"/>
      <c r="H11" s="2592"/>
      <c r="I11" s="2592"/>
      <c r="J11" s="2663"/>
      <c r="K11" s="2840"/>
      <c r="L11" s="2837"/>
      <c r="M11" s="2837"/>
      <c r="N11" s="2663"/>
      <c r="O11" s="2674"/>
      <c r="P11" s="2663"/>
      <c r="Q11" s="2663"/>
      <c r="R11" s="2663"/>
    </row>
    <row r="12" spans="1:28">
      <c r="A12" s="2627" t="s">
        <v>2922</v>
      </c>
      <c r="B12" s="2624" t="s">
        <v>3061</v>
      </c>
      <c r="C12" s="329" t="s">
        <v>2923</v>
      </c>
      <c r="D12" s="2628" t="s">
        <v>2924</v>
      </c>
      <c r="E12" s="2628" t="s">
        <v>2925</v>
      </c>
      <c r="F12" s="2628" t="s">
        <v>2926</v>
      </c>
      <c r="G12" s="2628" t="s">
        <v>2927</v>
      </c>
      <c r="H12" s="2628" t="s">
        <v>2928</v>
      </c>
      <c r="I12" s="2628" t="s">
        <v>2929</v>
      </c>
      <c r="J12" s="2663"/>
      <c r="K12" s="2840"/>
      <c r="L12" s="2837"/>
      <c r="M12" s="2837"/>
      <c r="N12" s="2663"/>
      <c r="O12" s="2674"/>
      <c r="P12" s="2663"/>
      <c r="Q12" s="2663"/>
      <c r="R12" s="2663"/>
    </row>
    <row r="13" spans="1:28">
      <c r="A13" s="1241"/>
      <c r="B13" s="2629"/>
      <c r="C13" s="2630" t="s">
        <v>2930</v>
      </c>
      <c r="D13" s="965"/>
      <c r="E13" s="965">
        <v>56800</v>
      </c>
      <c r="F13" s="965"/>
      <c r="G13" s="965"/>
      <c r="H13" s="965"/>
      <c r="I13" s="965"/>
      <c r="J13" s="2663"/>
      <c r="K13" s="2840"/>
      <c r="L13" s="2837"/>
      <c r="M13" s="2837"/>
      <c r="N13" s="2663"/>
      <c r="O13" s="2674"/>
      <c r="P13" s="2663"/>
      <c r="Q13" s="2663"/>
      <c r="R13" s="2663"/>
    </row>
    <row r="14" spans="1:28">
      <c r="A14" s="1241"/>
      <c r="B14" s="2629"/>
      <c r="C14" s="2630" t="s">
        <v>2931</v>
      </c>
      <c r="D14" s="2631"/>
      <c r="E14" s="2631">
        <v>40</v>
      </c>
      <c r="F14" s="2631"/>
      <c r="G14" s="2631"/>
      <c r="H14" s="2631"/>
      <c r="I14" s="2631"/>
      <c r="J14" s="2663"/>
      <c r="K14" s="2841"/>
      <c r="L14" s="2837"/>
      <c r="M14" s="2837"/>
      <c r="N14" s="2663"/>
      <c r="O14" s="2674"/>
      <c r="P14" s="2663"/>
      <c r="Q14" s="2663"/>
      <c r="R14" s="2663"/>
    </row>
    <row r="15" spans="1:28">
      <c r="A15" s="326"/>
      <c r="B15" s="2632"/>
      <c r="C15" s="2633" t="s">
        <v>2932</v>
      </c>
      <c r="D15" s="2634" t="str">
        <f>IF(B12="出让",IF(D13="","",ROUNDDOWN(MIN((D13-$D$3)/365,D14),2)),D14)</f>
        <v/>
      </c>
      <c r="E15" s="2634">
        <f>IF(B12="出让",IF(E13="","",ROUNDDOWN(MIN((E13-$D$3)/365,E14),2)),E14)</f>
        <v>34.18</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2933</v>
      </c>
      <c r="B16" s="3135"/>
      <c r="C16" s="3136"/>
      <c r="D16" s="3137"/>
      <c r="E16" s="2637" t="s">
        <v>2934</v>
      </c>
      <c r="F16" s="3138"/>
      <c r="G16" s="3139"/>
      <c r="H16" s="3139"/>
      <c r="I16" s="3140"/>
      <c r="J16" s="2663"/>
      <c r="K16" s="2842"/>
      <c r="L16" s="2675"/>
      <c r="M16" s="2675"/>
      <c r="N16" s="2733"/>
      <c r="O16" s="2675"/>
      <c r="P16" s="2733"/>
      <c r="Q16" s="2663"/>
      <c r="R16" s="2663"/>
    </row>
    <row r="17" spans="1:28">
      <c r="A17" s="319" t="s">
        <v>2935</v>
      </c>
      <c r="B17" s="308" t="s">
        <v>2936</v>
      </c>
      <c r="C17" s="11">
        <f>'数据-汇总表'!E3</f>
        <v>38981.680000000008</v>
      </c>
      <c r="D17" s="2543" t="s">
        <v>2937</v>
      </c>
      <c r="E17" s="3141" t="s">
        <v>2938</v>
      </c>
      <c r="F17" s="3142"/>
      <c r="G17" s="3142"/>
      <c r="H17" s="3142"/>
      <c r="I17" s="3143"/>
      <c r="J17" s="2663"/>
      <c r="K17" s="2843"/>
      <c r="L17" s="2675"/>
      <c r="M17" s="2675"/>
      <c r="N17" s="2733"/>
      <c r="O17" s="2675"/>
      <c r="P17" s="2733"/>
      <c r="Q17" s="2663"/>
      <c r="R17" s="2663"/>
      <c r="S17" s="2663"/>
      <c r="T17" s="2663"/>
      <c r="U17" s="2663"/>
      <c r="V17" s="2663"/>
    </row>
    <row r="18" spans="1:28" ht="24.75" thickBot="1">
      <c r="A18" s="2638" t="s">
        <v>2939</v>
      </c>
      <c r="B18" s="1250" t="s">
        <v>2940</v>
      </c>
      <c r="C18" s="2639">
        <f>'数据-汇总表'!D3</f>
        <v>155390.20000000001</v>
      </c>
      <c r="D18" s="1252" t="s">
        <v>2941</v>
      </c>
      <c r="E18" s="3144" t="s">
        <v>2942</v>
      </c>
      <c r="F18" s="3145"/>
      <c r="G18" s="3145"/>
      <c r="H18" s="3145"/>
      <c r="I18" s="3146"/>
      <c r="J18" s="2663"/>
      <c r="K18" s="2843"/>
      <c r="L18" s="2675"/>
      <c r="M18" s="2675"/>
      <c r="N18" s="2733"/>
      <c r="O18" s="2675"/>
      <c r="P18" s="2733"/>
      <c r="Q18" s="2663"/>
      <c r="R18" s="2663"/>
      <c r="S18" s="2663"/>
      <c r="T18" s="2663"/>
      <c r="U18" s="2663"/>
      <c r="V18" s="2663"/>
    </row>
    <row r="19" spans="1:28" ht="37.5" thickTop="1" thickBot="1">
      <c r="A19" s="333" t="s">
        <v>1734</v>
      </c>
      <c r="B19" s="313" t="s">
        <v>2943</v>
      </c>
      <c r="C19" s="1747"/>
      <c r="D19" s="1748" t="s">
        <v>2944</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2945</v>
      </c>
      <c r="B20" s="3131" t="s">
        <v>2946</v>
      </c>
      <c r="C20" s="3132"/>
      <c r="D20" s="3133" t="s">
        <v>2947</v>
      </c>
      <c r="E20" s="3134"/>
      <c r="F20" s="2872" t="s">
        <v>1735</v>
      </c>
      <c r="G20" s="2889"/>
      <c r="H20" s="2889"/>
      <c r="I20" s="2889"/>
      <c r="J20" s="2663"/>
      <c r="K20" s="3130"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2949</v>
      </c>
      <c r="C21" s="2859" t="s">
        <v>1736</v>
      </c>
      <c r="D21" s="1752" t="s">
        <v>2950</v>
      </c>
      <c r="E21" s="2860" t="s">
        <v>1736</v>
      </c>
      <c r="F21" s="2873"/>
      <c r="G21" s="2889"/>
      <c r="H21" s="2889"/>
      <c r="I21" s="2889"/>
      <c r="J21" s="2663"/>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2951</v>
      </c>
      <c r="C22" s="2859" t="s">
        <v>1737</v>
      </c>
      <c r="D22" s="2888"/>
      <c r="E22" s="2888"/>
      <c r="F22" s="2888"/>
      <c r="G22" s="2889"/>
      <c r="H22" s="2889"/>
      <c r="I22" s="2889"/>
      <c r="J22" s="2663"/>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2952</v>
      </c>
      <c r="B23" s="2726" t="s">
        <v>2953</v>
      </c>
      <c r="C23" s="2863"/>
      <c r="D23" s="2864" t="s">
        <v>2953</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1738</v>
      </c>
      <c r="C24" s="2866"/>
      <c r="D24" s="2862" t="s">
        <v>1738</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1739</v>
      </c>
      <c r="C25" s="2866"/>
      <c r="D25" s="2862" t="s">
        <v>1739</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1740</v>
      </c>
      <c r="C26" s="2870"/>
      <c r="D26" s="2868" t="s">
        <v>1740</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18" t="s">
        <v>2954</v>
      </c>
      <c r="B27" s="326" t="s">
        <v>2955</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18"/>
      <c r="B28" s="308" t="s">
        <v>2956</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18"/>
      <c r="B29" s="308" t="s">
        <v>2957</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19"/>
      <c r="B30" s="308" t="s">
        <v>2958</v>
      </c>
      <c r="C30" s="3120"/>
      <c r="D30" s="3121"/>
      <c r="E30" s="2889"/>
      <c r="F30" s="2889"/>
      <c r="G30" s="2889"/>
      <c r="H30" s="2889"/>
      <c r="I30" s="2889"/>
      <c r="J30" s="2663"/>
      <c r="K30" s="2840"/>
      <c r="L30" s="2837"/>
      <c r="M30" s="2837"/>
      <c r="N30" s="2663"/>
      <c r="O30" s="2674"/>
      <c r="P30" s="2663"/>
      <c r="Q30" s="2663"/>
      <c r="R30" s="2663"/>
      <c r="S30" s="2663"/>
      <c r="T30" s="2663"/>
      <c r="U30" s="2663"/>
      <c r="V30" s="2663"/>
    </row>
    <row r="31" spans="1:28">
      <c r="A31" s="3122" t="s">
        <v>2959</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23"/>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23"/>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2960</v>
      </c>
      <c r="B34" s="2212"/>
      <c r="C34" s="2212"/>
      <c r="D34" s="2212"/>
      <c r="E34" s="2212"/>
      <c r="F34" s="2212"/>
      <c r="G34" s="2212"/>
      <c r="H34" s="2212"/>
      <c r="I34" s="2889"/>
      <c r="J34" s="2663"/>
      <c r="K34" s="2651">
        <f>COUNTIF(B34:H34,"——")</f>
        <v>0</v>
      </c>
      <c r="L34" s="329" t="s">
        <v>2961</v>
      </c>
      <c r="M34" s="329" t="s">
        <v>2962</v>
      </c>
      <c r="N34" s="329" t="s">
        <v>2963</v>
      </c>
      <c r="O34" s="329" t="s">
        <v>2964</v>
      </c>
      <c r="P34" s="329" t="s">
        <v>2965</v>
      </c>
      <c r="Q34" s="329" t="s">
        <v>2966</v>
      </c>
      <c r="R34" s="329" t="s">
        <v>2967</v>
      </c>
      <c r="S34" s="3117" t="s">
        <v>2968</v>
      </c>
      <c r="T34" s="2652" t="str">
        <f>NUMBERSTRING(7-K34,1)&amp;"通"</f>
        <v>七通</v>
      </c>
      <c r="U34" s="2663"/>
      <c r="V34" s="2663"/>
    </row>
    <row r="35" spans="1:30">
      <c r="A35" s="2653"/>
      <c r="B35" s="3124" t="s">
        <v>2969</v>
      </c>
      <c r="C35" s="3124"/>
      <c r="D35" s="3124"/>
      <c r="E35" s="3124"/>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3"/>
      <c r="V35" s="2663"/>
    </row>
    <row r="36" spans="1:30">
      <c r="A36" s="2654"/>
      <c r="B36" s="673" t="s">
        <v>2925</v>
      </c>
      <c r="C36" s="673" t="s">
        <v>2926</v>
      </c>
      <c r="D36" s="673" t="s">
        <v>2924</v>
      </c>
      <c r="E36" s="673" t="s">
        <v>2929</v>
      </c>
      <c r="F36" s="2895"/>
      <c r="G36" s="2889"/>
      <c r="H36" s="2889"/>
      <c r="I36" s="2889"/>
      <c r="J36" s="2663"/>
      <c r="K36" s="2840"/>
      <c r="L36" s="2837"/>
      <c r="M36" s="2837"/>
      <c r="N36" s="2663"/>
      <c r="O36" s="2674"/>
      <c r="P36" s="2663"/>
      <c r="Q36" s="2663"/>
      <c r="R36" s="2663"/>
      <c r="S36" s="2663"/>
      <c r="T36" s="2663"/>
      <c r="U36" s="2663"/>
      <c r="V36" s="2663"/>
    </row>
    <row r="37" spans="1:30">
      <c r="A37" s="2855" t="s">
        <v>2970</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2971</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2972</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2973</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1742</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1743</v>
      </c>
      <c r="B2" s="11" t="s">
        <v>1744</v>
      </c>
      <c r="C2" s="11" t="s">
        <v>1745</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1746</v>
      </c>
      <c r="AZ2" s="1180" t="s">
        <v>1747</v>
      </c>
      <c r="BA2" s="11" t="s">
        <v>1748</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155390.20000000001</v>
      </c>
      <c r="B3" s="14">
        <f>IF(C3="否",G5-AT5,G5)</f>
        <v>38981.680000000008</v>
      </c>
      <c r="C3" s="1764" t="s">
        <v>1749</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1750</v>
      </c>
      <c r="B5" s="1530"/>
      <c r="C5" s="1530"/>
      <c r="D5" s="1532"/>
      <c r="E5" s="16" t="s">
        <v>1</v>
      </c>
      <c r="F5" s="16">
        <f>SUM(F13:F587)</f>
        <v>0</v>
      </c>
      <c r="G5" s="16">
        <f>SUM(G13:G587)</f>
        <v>38981.680000000008</v>
      </c>
      <c r="H5" s="16">
        <f t="shared" ref="H5:AT5" si="0">SUM(H13:H656)</f>
        <v>38981.680000000008</v>
      </c>
      <c r="I5" s="16">
        <f t="shared" si="0"/>
        <v>32920.199999999997</v>
      </c>
      <c r="J5" s="16">
        <f t="shared" si="0"/>
        <v>0</v>
      </c>
      <c r="K5" s="16">
        <f t="shared" si="0"/>
        <v>6061.4800000000105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1750</v>
      </c>
      <c r="AW5" s="1530"/>
      <c r="AX5" s="1530"/>
      <c r="AY5" s="17" t="s">
        <v>3</v>
      </c>
      <c r="AZ5" s="18">
        <f t="shared" ref="AZ5:BT5" si="1">SUM(AZ13:AZ656)</f>
        <v>38981.680000000008</v>
      </c>
      <c r="BA5" s="18">
        <f t="shared" si="1"/>
        <v>38981.680000000008</v>
      </c>
      <c r="BB5" s="18">
        <f t="shared" si="1"/>
        <v>32920.199999999997</v>
      </c>
      <c r="BC5" s="18">
        <f t="shared" si="1"/>
        <v>6061.4800000000105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1751</v>
      </c>
      <c r="B6" s="1770"/>
      <c r="C6" s="1770"/>
      <c r="D6" s="1771"/>
      <c r="E6" s="16">
        <f>H6+AC6+AT6</f>
        <v>155390.19999999998</v>
      </c>
      <c r="F6" s="16" t="s">
        <v>1</v>
      </c>
      <c r="G6" s="16" t="s">
        <v>2</v>
      </c>
      <c r="H6" s="20">
        <f>SUMIF(I$12:AB$12,"总值",I6:AB6)</f>
        <v>155390.19999999998</v>
      </c>
      <c r="I6" s="16">
        <f t="shared" ref="I6:AB6" si="2">ROUND($A$3*I5/$B$3,2)</f>
        <v>131227.71</v>
      </c>
      <c r="J6" s="16">
        <f t="shared" si="2"/>
        <v>0</v>
      </c>
      <c r="K6" s="16">
        <f t="shared" si="2"/>
        <v>24162.49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1751</v>
      </c>
      <c r="AW6" s="1770"/>
      <c r="AX6" s="1770"/>
      <c r="AY6" s="21">
        <f>IF(AY3&gt;0,AY3,ROUND($A$3*AZ5/$B$3,2))</f>
        <v>155390.20000000001</v>
      </c>
      <c r="AZ6" s="16" t="s">
        <v>3</v>
      </c>
      <c r="BA6" s="16">
        <f>ROUND($AY$6*BA5/$AZ$5,2)</f>
        <v>155390.20000000001</v>
      </c>
      <c r="BB6" s="16">
        <f>ROUND($AY$6*BB5/$AZ$5,2)</f>
        <v>131227.71</v>
      </c>
      <c r="BC6" s="16">
        <f t="shared" ref="BC6:BH6" si="4">ROUND($AY$6*BC5/$AZ$5,2)</f>
        <v>24162.49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1752</v>
      </c>
      <c r="B7" s="1753" t="s">
        <v>1753</v>
      </c>
      <c r="C7" s="1753" t="s">
        <v>1754</v>
      </c>
      <c r="D7" s="1753" t="s">
        <v>1755</v>
      </c>
      <c r="E7" s="1753" t="s">
        <v>1756</v>
      </c>
      <c r="F7" s="1753" t="s">
        <v>1757</v>
      </c>
      <c r="G7" s="1774" t="s">
        <v>1758</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1759</v>
      </c>
      <c r="AV7" s="23" t="s">
        <v>1760</v>
      </c>
      <c r="AW7" s="1762" t="s">
        <v>1761</v>
      </c>
      <c r="AX7" s="23" t="s">
        <v>1754</v>
      </c>
      <c r="AY7" s="1530" t="s">
        <v>1762</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1763</v>
      </c>
      <c r="H8" s="1780" t="s">
        <v>1764</v>
      </c>
      <c r="I8" s="1781"/>
      <c r="J8" s="1543"/>
      <c r="K8" s="1543"/>
      <c r="L8" s="1543"/>
      <c r="M8" s="1543"/>
      <c r="N8" s="1543"/>
      <c r="O8" s="1543"/>
      <c r="P8" s="1543"/>
      <c r="Q8" s="1543"/>
      <c r="R8" s="1543"/>
      <c r="S8" s="1543"/>
      <c r="T8" s="1543"/>
      <c r="U8" s="1543"/>
      <c r="V8" s="1782"/>
      <c r="W8" s="1543"/>
      <c r="X8" s="1543"/>
      <c r="Y8" s="1543"/>
      <c r="Z8" s="1543"/>
      <c r="AA8" s="1782"/>
      <c r="AB8" s="1783"/>
      <c r="AC8" s="918" t="s">
        <v>1765</v>
      </c>
      <c r="AD8" s="1784"/>
      <c r="AE8" s="1776"/>
      <c r="AF8" s="1543"/>
      <c r="AG8" s="1543"/>
      <c r="AH8" s="1543"/>
      <c r="AI8" s="1543"/>
      <c r="AJ8" s="1543"/>
      <c r="AK8" s="1543"/>
      <c r="AL8" s="1543"/>
      <c r="AM8" s="1543"/>
      <c r="AN8" s="1543"/>
      <c r="AO8" s="1543"/>
      <c r="AP8" s="1543"/>
      <c r="AQ8" s="1543"/>
      <c r="AR8" s="1543"/>
      <c r="AS8" s="1543"/>
      <c r="AT8" s="1202" t="s">
        <v>1766</v>
      </c>
      <c r="AU8" s="1778" t="s">
        <v>1767</v>
      </c>
      <c r="AV8" s="1202"/>
      <c r="AW8" s="1761"/>
      <c r="AX8" s="1202"/>
      <c r="AY8" s="1762" t="s">
        <v>1768</v>
      </c>
      <c r="AZ8" s="1542" t="s">
        <v>1769</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1770</v>
      </c>
      <c r="I9" s="1787" t="s">
        <v>3062</v>
      </c>
      <c r="J9" s="918"/>
      <c r="K9" s="1787" t="s">
        <v>3088</v>
      </c>
      <c r="L9" s="918"/>
      <c r="M9" s="1787"/>
      <c r="N9" s="918"/>
      <c r="O9" s="1787"/>
      <c r="P9" s="918"/>
      <c r="Q9" s="1787"/>
      <c r="R9" s="918"/>
      <c r="S9" s="1787"/>
      <c r="T9" s="918"/>
      <c r="U9" s="1787"/>
      <c r="V9" s="918"/>
      <c r="W9" s="1787"/>
      <c r="X9" s="1788"/>
      <c r="Y9" s="1787"/>
      <c r="Z9" s="918"/>
      <c r="AA9" s="1787"/>
      <c r="AB9" s="918"/>
      <c r="AC9" s="1779" t="s">
        <v>1770</v>
      </c>
      <c r="AD9" s="15" t="s">
        <v>1771</v>
      </c>
      <c r="AE9" s="1208"/>
      <c r="AF9" s="15" t="s">
        <v>1772</v>
      </c>
      <c r="AG9" s="1208"/>
      <c r="AH9" s="15" t="s">
        <v>1771</v>
      </c>
      <c r="AI9" s="1208"/>
      <c r="AJ9" s="15" t="s">
        <v>1772</v>
      </c>
      <c r="AK9" s="1208"/>
      <c r="AL9" s="15" t="s">
        <v>1771</v>
      </c>
      <c r="AM9" s="1208"/>
      <c r="AN9" s="15" t="s">
        <v>1772</v>
      </c>
      <c r="AO9" s="1208"/>
      <c r="AP9" s="15" t="s">
        <v>1771</v>
      </c>
      <c r="AQ9" s="1208"/>
      <c r="AR9" s="15" t="s">
        <v>1772</v>
      </c>
      <c r="AS9" s="1789"/>
      <c r="AT9" s="1778"/>
      <c r="AU9" s="1778" t="s">
        <v>1773</v>
      </c>
      <c r="AV9" s="1202"/>
      <c r="AW9" s="1761"/>
      <c r="AX9" s="1202"/>
      <c r="AY9" s="28"/>
      <c r="AZ9" s="28" t="s">
        <v>1763</v>
      </c>
      <c r="BA9" s="1790" t="s">
        <v>1774</v>
      </c>
      <c r="BB9" s="1791"/>
      <c r="BC9" s="1248"/>
      <c r="BD9" s="1248"/>
      <c r="BE9" s="1248"/>
      <c r="BF9" s="1248"/>
      <c r="BG9" s="1248"/>
      <c r="BH9" s="1248"/>
      <c r="BI9" s="1248"/>
      <c r="BJ9" s="1248"/>
      <c r="BK9" s="1792"/>
      <c r="BL9" s="15" t="s">
        <v>1775</v>
      </c>
      <c r="BM9" s="1543"/>
      <c r="BN9" s="1781"/>
      <c r="BO9" s="1543"/>
      <c r="BP9" s="1543"/>
      <c r="BQ9" s="1543"/>
      <c r="BR9" s="1543"/>
      <c r="BS9" s="1543"/>
      <c r="BT9" s="26"/>
    </row>
    <row r="10" spans="1:72" s="1785" customFormat="1" ht="12.75">
      <c r="A10" s="1778"/>
      <c r="B10" s="1778"/>
      <c r="C10" s="1778"/>
      <c r="D10" s="1778"/>
      <c r="E10" s="1778"/>
      <c r="F10" s="1778"/>
      <c r="G10" s="1202"/>
      <c r="H10" s="28"/>
      <c r="I10" s="1787" t="s">
        <v>1336</v>
      </c>
      <c r="J10" s="918"/>
      <c r="K10" s="1793" t="s">
        <v>1336</v>
      </c>
      <c r="L10" s="918"/>
      <c r="M10" s="1793"/>
      <c r="N10" s="918"/>
      <c r="O10" s="1793"/>
      <c r="P10" s="918"/>
      <c r="Q10" s="1793"/>
      <c r="R10" s="918"/>
      <c r="S10" s="1793"/>
      <c r="T10" s="918"/>
      <c r="U10" s="1793"/>
      <c r="V10" s="918"/>
      <c r="W10" s="1793"/>
      <c r="X10" s="918"/>
      <c r="Y10" s="1793"/>
      <c r="Z10" s="918"/>
      <c r="AA10" s="1793"/>
      <c r="AB10" s="918"/>
      <c r="AC10" s="1202"/>
      <c r="AD10" s="15" t="s">
        <v>1776</v>
      </c>
      <c r="AE10" s="1794"/>
      <c r="AF10" s="15" t="s">
        <v>1776</v>
      </c>
      <c r="AG10" s="1794"/>
      <c r="AH10" s="15" t="s">
        <v>1777</v>
      </c>
      <c r="AI10" s="1794"/>
      <c r="AJ10" s="15" t="s">
        <v>1777</v>
      </c>
      <c r="AK10" s="1794"/>
      <c r="AL10" s="15" t="s">
        <v>1778</v>
      </c>
      <c r="AM10" s="1208"/>
      <c r="AN10" s="15" t="s">
        <v>1778</v>
      </c>
      <c r="AO10" s="1208"/>
      <c r="AP10" s="15" t="s">
        <v>1779</v>
      </c>
      <c r="AQ10" s="1208"/>
      <c r="AR10" s="15" t="s">
        <v>1779</v>
      </c>
      <c r="AS10" s="1208"/>
      <c r="AT10" s="1778"/>
      <c r="AU10" s="1778"/>
      <c r="AV10" s="1202"/>
      <c r="AW10" s="1761"/>
      <c r="AX10" s="1202"/>
      <c r="AY10" s="28"/>
      <c r="AZ10" s="28"/>
      <c r="BA10" s="1795" t="s">
        <v>1770</v>
      </c>
      <c r="BB10" s="1796" t="str">
        <f>I9</f>
        <v>地上</v>
      </c>
      <c r="BC10" s="29" t="str">
        <f>K9</f>
        <v>地下</v>
      </c>
      <c r="BD10" s="29">
        <f>M9</f>
        <v>0</v>
      </c>
      <c r="BE10" s="29">
        <f>O9</f>
        <v>0</v>
      </c>
      <c r="BF10" s="29">
        <f>Q9</f>
        <v>0</v>
      </c>
      <c r="BG10" s="29">
        <f>S9</f>
        <v>0</v>
      </c>
      <c r="BH10" s="29">
        <f>U9</f>
        <v>0</v>
      </c>
      <c r="BI10" s="29">
        <f>W9</f>
        <v>0</v>
      </c>
      <c r="BJ10" s="29">
        <f>Y9</f>
        <v>0</v>
      </c>
      <c r="BK10" s="29">
        <f>AA9</f>
        <v>0</v>
      </c>
      <c r="BL10" s="25" t="s">
        <v>1770</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1780</v>
      </c>
      <c r="AE11" s="1544"/>
      <c r="AF11" s="1800" t="s">
        <v>1780</v>
      </c>
      <c r="AG11" s="1544"/>
      <c r="AH11" s="1800" t="s">
        <v>1781</v>
      </c>
      <c r="AI11" s="1801"/>
      <c r="AJ11" s="1800" t="s">
        <v>1781</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529" t="s">
        <v>1783</v>
      </c>
      <c r="W12" s="11" t="s">
        <v>1782</v>
      </c>
      <c r="X12" s="11" t="s">
        <v>1783</v>
      </c>
      <c r="Y12" s="11" t="s">
        <v>1782</v>
      </c>
      <c r="Z12" s="11" t="s">
        <v>1783</v>
      </c>
      <c r="AA12" s="11" t="s">
        <v>1782</v>
      </c>
      <c r="AB12" s="11" t="s">
        <v>1783</v>
      </c>
      <c r="AC12" s="1805"/>
      <c r="AD12" s="1532"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803" t="s">
        <v>1783</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1809" t="s">
        <v>3063</v>
      </c>
      <c r="E13" s="16">
        <f>IF($C$3="是",ROUND($A$3*G13/$B$3,2),ROUND($A$3*(G13-AT13)/$B$3,2))</f>
        <v>155390.20000000001</v>
      </c>
      <c r="F13" s="32"/>
      <c r="G13" s="33">
        <f>H13+AC13+AT13</f>
        <v>38981.680000000008</v>
      </c>
      <c r="H13" s="20">
        <f>SUMIF(I$12:AB$12,"总值",I13:AB13)</f>
        <v>38981.680000000008</v>
      </c>
      <c r="I13" s="1810">
        <f>清单!M4</f>
        <v>32920.199999999997</v>
      </c>
      <c r="J13" s="1810"/>
      <c r="K13" s="1810">
        <f>清单!M5</f>
        <v>6061.4800000000105</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155390.20000000001</v>
      </c>
      <c r="AZ13" s="16">
        <f>BA13+BL13</f>
        <v>38981.680000000008</v>
      </c>
      <c r="BA13" s="16">
        <f>SUM(BB13:BK13)</f>
        <v>38981.680000000008</v>
      </c>
      <c r="BB13" s="16">
        <f>IF($D13="是",I13-J13,0)</f>
        <v>32920.199999999997</v>
      </c>
      <c r="BC13" s="16">
        <f>IF($D13="是",K13-L13,0)</f>
        <v>6061.4800000000105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H1" sqref="H1"/>
    </sheetView>
  </sheetViews>
  <sheetFormatPr defaultRowHeight="14.25"/>
  <cols>
    <col min="1" max="1" width="5" style="3059" customWidth="1"/>
    <col min="2" max="2" width="26.625" style="3059" customWidth="1"/>
    <col min="3" max="3" width="24.5" style="3059" customWidth="1"/>
    <col min="4" max="4" width="13.5" style="3059" customWidth="1"/>
    <col min="5" max="5" width="4.5" style="3059" customWidth="1"/>
    <col min="6" max="6" width="7.125" style="3059" customWidth="1"/>
    <col min="7" max="7" width="5.75" style="3059" customWidth="1"/>
    <col min="8" max="8" width="9.125" style="3059" customWidth="1"/>
    <col min="9" max="9" width="4.5" style="3059" customWidth="1"/>
    <col min="10" max="16384" width="9" style="3059"/>
  </cols>
  <sheetData>
    <row r="1" spans="1:13">
      <c r="A1" s="3059" t="s">
        <v>3079</v>
      </c>
      <c r="B1" s="3059" t="s">
        <v>3064</v>
      </c>
      <c r="C1" s="3059" t="s">
        <v>3065</v>
      </c>
      <c r="D1" s="3059" t="s">
        <v>3066</v>
      </c>
      <c r="E1" s="3059" t="s">
        <v>3069</v>
      </c>
      <c r="F1" s="3059" t="s">
        <v>3070</v>
      </c>
      <c r="G1" s="3059" t="s">
        <v>3071</v>
      </c>
      <c r="H1" s="3059" t="s">
        <v>3072</v>
      </c>
      <c r="I1" s="3059" t="s">
        <v>3073</v>
      </c>
      <c r="J1" s="3059" t="s">
        <v>3074</v>
      </c>
    </row>
    <row r="2" spans="1:13">
      <c r="A2" s="3059">
        <v>1</v>
      </c>
      <c r="B2" s="3059" t="s">
        <v>3080</v>
      </c>
      <c r="C2" s="3060" t="s">
        <v>3081</v>
      </c>
      <c r="D2" s="3059" t="s">
        <v>3068</v>
      </c>
      <c r="E2" s="3059">
        <v>31</v>
      </c>
      <c r="F2" s="3059">
        <v>1</v>
      </c>
      <c r="G2" s="3059">
        <v>2</v>
      </c>
      <c r="H2" s="3059">
        <v>2904.93</v>
      </c>
      <c r="I2" s="3059" t="s">
        <v>3075</v>
      </c>
      <c r="J2" s="3059" t="s">
        <v>3076</v>
      </c>
    </row>
    <row r="3" spans="1:13">
      <c r="A3" s="3059">
        <v>2</v>
      </c>
      <c r="B3" s="3059" t="s">
        <v>3082</v>
      </c>
      <c r="C3" s="3060" t="s">
        <v>3083</v>
      </c>
      <c r="D3" s="3059" t="s">
        <v>3068</v>
      </c>
      <c r="E3" s="3059">
        <v>31</v>
      </c>
      <c r="F3" s="3059">
        <v>-1</v>
      </c>
      <c r="G3" s="3059">
        <v>2</v>
      </c>
      <c r="H3" s="3059">
        <v>1381.28</v>
      </c>
      <c r="I3" s="3059" t="s">
        <v>3075</v>
      </c>
      <c r="J3" s="3059" t="s">
        <v>3077</v>
      </c>
    </row>
    <row r="4" spans="1:13">
      <c r="A4" s="3059">
        <v>3</v>
      </c>
      <c r="B4" s="3059" t="s">
        <v>3084</v>
      </c>
      <c r="C4" s="3060" t="s">
        <v>3085</v>
      </c>
      <c r="D4" s="3059" t="s">
        <v>3067</v>
      </c>
      <c r="E4" s="3059">
        <v>24</v>
      </c>
      <c r="F4" s="3059">
        <v>1</v>
      </c>
      <c r="G4" s="3059">
        <v>2</v>
      </c>
      <c r="H4" s="3059">
        <v>206.42</v>
      </c>
      <c r="I4" s="3059" t="s">
        <v>3075</v>
      </c>
      <c r="J4" s="3059" t="s">
        <v>3076</v>
      </c>
      <c r="L4" s="3059" t="s">
        <v>3087</v>
      </c>
      <c r="M4" s="3059">
        <f>H2+H4+H6+H8+H10+H12+H14+H16+H18+H20+H22+H24+H26+H28+H30+H32+H34+H36+H38+H40+H42+H44+H47+H49+H51+H53+H55+H57+H59+H61+H63</f>
        <v>32920.199999999997</v>
      </c>
    </row>
    <row r="5" spans="1:13">
      <c r="A5" s="3059">
        <v>4</v>
      </c>
      <c r="C5" s="3060"/>
      <c r="D5" s="3059" t="s">
        <v>3067</v>
      </c>
      <c r="E5" s="3059">
        <v>24</v>
      </c>
      <c r="F5" s="3059">
        <v>-1</v>
      </c>
      <c r="G5" s="3059">
        <v>2</v>
      </c>
      <c r="H5" s="3059">
        <v>102.1</v>
      </c>
      <c r="I5" s="3059" t="s">
        <v>3075</v>
      </c>
      <c r="J5" s="3059" t="s">
        <v>3077</v>
      </c>
      <c r="L5" s="3059" t="s">
        <v>3089</v>
      </c>
      <c r="M5" s="3059">
        <f>H65-M4</f>
        <v>6061.4800000000105</v>
      </c>
    </row>
    <row r="6" spans="1:13">
      <c r="A6" s="3059">
        <v>5</v>
      </c>
      <c r="C6" s="3060"/>
      <c r="D6" s="3059" t="s">
        <v>3067</v>
      </c>
      <c r="E6" s="3059">
        <v>25</v>
      </c>
      <c r="F6" s="3059">
        <v>1</v>
      </c>
      <c r="G6" s="3059">
        <v>2</v>
      </c>
      <c r="H6" s="3059">
        <v>282.86</v>
      </c>
      <c r="I6" s="3059" t="s">
        <v>3075</v>
      </c>
      <c r="J6" s="3059" t="s">
        <v>3076</v>
      </c>
    </row>
    <row r="7" spans="1:13">
      <c r="A7" s="3059">
        <v>6</v>
      </c>
      <c r="C7" s="3060"/>
      <c r="D7" s="3059" t="s">
        <v>3067</v>
      </c>
      <c r="E7" s="3059">
        <v>25</v>
      </c>
      <c r="F7" s="3059">
        <v>-1</v>
      </c>
      <c r="G7" s="3059">
        <v>2</v>
      </c>
      <c r="H7" s="3059">
        <v>110.37</v>
      </c>
      <c r="I7" s="3059" t="s">
        <v>3075</v>
      </c>
      <c r="J7" s="3059" t="s">
        <v>3077</v>
      </c>
    </row>
    <row r="8" spans="1:13">
      <c r="A8" s="3059">
        <v>7</v>
      </c>
      <c r="C8" s="3060"/>
      <c r="D8" s="3059" t="s">
        <v>3067</v>
      </c>
      <c r="E8" s="3059">
        <v>26</v>
      </c>
      <c r="F8" s="3059">
        <v>1</v>
      </c>
      <c r="G8" s="3059">
        <v>2</v>
      </c>
      <c r="H8" s="3059">
        <v>317.08999999999997</v>
      </c>
      <c r="I8" s="3059" t="s">
        <v>3075</v>
      </c>
      <c r="J8" s="3059" t="s">
        <v>3076</v>
      </c>
    </row>
    <row r="9" spans="1:13">
      <c r="A9" s="3059">
        <v>8</v>
      </c>
      <c r="C9" s="3060"/>
      <c r="D9" s="3059" t="s">
        <v>3067</v>
      </c>
      <c r="E9" s="3059">
        <v>26</v>
      </c>
      <c r="F9" s="3059">
        <v>-1</v>
      </c>
      <c r="G9" s="3059">
        <v>2</v>
      </c>
      <c r="H9" s="3059">
        <v>99.86</v>
      </c>
      <c r="I9" s="3059" t="s">
        <v>3075</v>
      </c>
      <c r="J9" s="3059" t="s">
        <v>3077</v>
      </c>
    </row>
    <row r="10" spans="1:13">
      <c r="A10" s="3059">
        <v>9</v>
      </c>
      <c r="C10" s="3060"/>
      <c r="D10" s="3059" t="s">
        <v>3067</v>
      </c>
      <c r="E10" s="3059">
        <v>27</v>
      </c>
      <c r="F10" s="3059">
        <v>1</v>
      </c>
      <c r="G10" s="3059">
        <v>2</v>
      </c>
      <c r="H10" s="3059">
        <v>244.39</v>
      </c>
      <c r="I10" s="3059" t="s">
        <v>3075</v>
      </c>
      <c r="J10" s="3059" t="s">
        <v>3076</v>
      </c>
    </row>
    <row r="11" spans="1:13">
      <c r="A11" s="3059">
        <v>10</v>
      </c>
      <c r="C11" s="3060"/>
      <c r="D11" s="3059" t="s">
        <v>3067</v>
      </c>
      <c r="E11" s="3059">
        <v>27</v>
      </c>
      <c r="F11" s="3059">
        <v>-1</v>
      </c>
      <c r="G11" s="3059">
        <v>2</v>
      </c>
      <c r="H11" s="3059">
        <v>113.47</v>
      </c>
      <c r="I11" s="3059" t="s">
        <v>3075</v>
      </c>
      <c r="J11" s="3059" t="s">
        <v>3077</v>
      </c>
    </row>
    <row r="12" spans="1:13">
      <c r="A12" s="3059">
        <v>11</v>
      </c>
      <c r="C12" s="3060"/>
      <c r="D12" s="3059" t="s">
        <v>3067</v>
      </c>
      <c r="E12" s="3059">
        <v>28</v>
      </c>
      <c r="F12" s="3059">
        <v>1</v>
      </c>
      <c r="G12" s="3059">
        <v>2</v>
      </c>
      <c r="H12" s="3059">
        <v>482.01</v>
      </c>
      <c r="I12" s="3059" t="s">
        <v>3075</v>
      </c>
      <c r="J12" s="3059" t="s">
        <v>3076</v>
      </c>
    </row>
    <row r="13" spans="1:13">
      <c r="A13" s="3059">
        <v>12</v>
      </c>
      <c r="C13" s="3060"/>
      <c r="D13" s="3059" t="s">
        <v>3067</v>
      </c>
      <c r="E13" s="3059">
        <v>28</v>
      </c>
      <c r="F13" s="3059">
        <v>-1</v>
      </c>
      <c r="G13" s="3059">
        <v>2</v>
      </c>
      <c r="H13" s="3059">
        <v>158.22</v>
      </c>
      <c r="I13" s="3059" t="s">
        <v>3075</v>
      </c>
      <c r="J13" s="3059" t="s">
        <v>3077</v>
      </c>
    </row>
    <row r="14" spans="1:13">
      <c r="A14" s="3059">
        <v>13</v>
      </c>
      <c r="C14" s="3060"/>
      <c r="D14" s="3059" t="s">
        <v>3067</v>
      </c>
      <c r="E14" s="3059">
        <v>29</v>
      </c>
      <c r="F14" s="3060" t="s">
        <v>3078</v>
      </c>
      <c r="G14" s="3059">
        <v>3</v>
      </c>
      <c r="H14" s="3059">
        <v>1557.84</v>
      </c>
      <c r="I14" s="3059" t="s">
        <v>3075</v>
      </c>
      <c r="J14" s="3059" t="s">
        <v>3076</v>
      </c>
    </row>
    <row r="15" spans="1:13">
      <c r="A15" s="3059">
        <v>14</v>
      </c>
      <c r="C15" s="3060"/>
      <c r="D15" s="3059" t="s">
        <v>3067</v>
      </c>
      <c r="E15" s="3059">
        <v>29</v>
      </c>
      <c r="F15" s="3059">
        <v>-1</v>
      </c>
      <c r="G15" s="3059">
        <v>3</v>
      </c>
      <c r="H15" s="3059">
        <v>462.08</v>
      </c>
      <c r="I15" s="3059" t="s">
        <v>3075</v>
      </c>
      <c r="J15" s="3059" t="s">
        <v>3077</v>
      </c>
    </row>
    <row r="16" spans="1:13">
      <c r="A16" s="3059">
        <v>15</v>
      </c>
      <c r="C16" s="3060"/>
      <c r="D16" s="3059" t="s">
        <v>3067</v>
      </c>
      <c r="E16" s="3059">
        <v>30</v>
      </c>
      <c r="F16" s="3060" t="s">
        <v>3078</v>
      </c>
      <c r="G16" s="3059">
        <v>3</v>
      </c>
      <c r="H16" s="3059">
        <v>9744.75</v>
      </c>
      <c r="I16" s="3059" t="s">
        <v>3075</v>
      </c>
      <c r="J16" s="3059" t="s">
        <v>3076</v>
      </c>
    </row>
    <row r="17" spans="1:10">
      <c r="A17" s="3059">
        <v>16</v>
      </c>
      <c r="C17" s="3060"/>
      <c r="D17" s="3059" t="s">
        <v>3067</v>
      </c>
      <c r="E17" s="3059">
        <v>30</v>
      </c>
      <c r="F17" s="3059">
        <v>-1</v>
      </c>
      <c r="G17" s="3059">
        <v>3</v>
      </c>
      <c r="H17" s="3059">
        <v>786.12</v>
      </c>
      <c r="I17" s="3059" t="s">
        <v>3075</v>
      </c>
      <c r="J17" s="3059" t="s">
        <v>3077</v>
      </c>
    </row>
    <row r="18" spans="1:10">
      <c r="A18" s="3059">
        <v>17</v>
      </c>
      <c r="C18" s="3060"/>
      <c r="D18" s="3059" t="s">
        <v>3067</v>
      </c>
      <c r="E18" s="3059">
        <v>6</v>
      </c>
      <c r="F18" s="3060" t="s">
        <v>3078</v>
      </c>
      <c r="G18" s="3059">
        <v>3</v>
      </c>
      <c r="H18" s="3059">
        <v>837.62</v>
      </c>
      <c r="I18" s="3059" t="s">
        <v>3075</v>
      </c>
      <c r="J18" s="3059" t="s">
        <v>3076</v>
      </c>
    </row>
    <row r="19" spans="1:10">
      <c r="A19" s="3059">
        <v>18</v>
      </c>
      <c r="C19" s="3060"/>
      <c r="D19" s="3059" t="s">
        <v>3067</v>
      </c>
      <c r="E19" s="3059">
        <v>6</v>
      </c>
      <c r="F19" s="3059">
        <v>-1</v>
      </c>
      <c r="G19" s="3059">
        <v>3</v>
      </c>
      <c r="H19" s="3059">
        <v>60.54</v>
      </c>
      <c r="I19" s="3059" t="s">
        <v>3075</v>
      </c>
      <c r="J19" s="3059" t="s">
        <v>3077</v>
      </c>
    </row>
    <row r="20" spans="1:10">
      <c r="A20" s="3059">
        <v>19</v>
      </c>
      <c r="C20" s="3060"/>
      <c r="D20" s="3059" t="s">
        <v>3067</v>
      </c>
      <c r="E20" s="3059">
        <v>7</v>
      </c>
      <c r="F20" s="3060" t="s">
        <v>3078</v>
      </c>
      <c r="G20" s="3059">
        <v>3</v>
      </c>
      <c r="H20" s="3059">
        <v>673.2</v>
      </c>
      <c r="I20" s="3059" t="s">
        <v>3075</v>
      </c>
      <c r="J20" s="3059" t="s">
        <v>3076</v>
      </c>
    </row>
    <row r="21" spans="1:10">
      <c r="A21" s="3059">
        <v>20</v>
      </c>
      <c r="C21" s="3060"/>
      <c r="D21" s="3059" t="s">
        <v>3067</v>
      </c>
      <c r="E21" s="3059">
        <v>7</v>
      </c>
      <c r="F21" s="3059">
        <v>-1</v>
      </c>
      <c r="G21" s="3059">
        <v>3</v>
      </c>
      <c r="H21" s="3059">
        <v>91.03</v>
      </c>
      <c r="I21" s="3059" t="s">
        <v>3075</v>
      </c>
      <c r="J21" s="3059" t="s">
        <v>3077</v>
      </c>
    </row>
    <row r="22" spans="1:10">
      <c r="A22" s="3059">
        <v>21</v>
      </c>
      <c r="C22" s="3060"/>
      <c r="D22" s="3059" t="s">
        <v>3067</v>
      </c>
      <c r="E22" s="3059">
        <v>8</v>
      </c>
      <c r="F22" s="3060" t="s">
        <v>3078</v>
      </c>
      <c r="G22" s="3059">
        <v>3</v>
      </c>
      <c r="H22" s="3059">
        <v>835.93</v>
      </c>
      <c r="I22" s="3059" t="s">
        <v>3075</v>
      </c>
      <c r="J22" s="3059" t="s">
        <v>3076</v>
      </c>
    </row>
    <row r="23" spans="1:10">
      <c r="A23" s="3059">
        <v>22</v>
      </c>
      <c r="C23" s="3060"/>
      <c r="D23" s="3059" t="s">
        <v>3067</v>
      </c>
      <c r="E23" s="3059">
        <v>8</v>
      </c>
      <c r="F23" s="3059">
        <v>-1</v>
      </c>
      <c r="G23" s="3059">
        <v>3</v>
      </c>
      <c r="H23" s="3059">
        <v>45.83</v>
      </c>
      <c r="I23" s="3059" t="s">
        <v>3075</v>
      </c>
      <c r="J23" s="3059" t="s">
        <v>3077</v>
      </c>
    </row>
    <row r="24" spans="1:10">
      <c r="A24" s="3059">
        <v>23</v>
      </c>
      <c r="C24" s="3060"/>
      <c r="D24" s="3059" t="s">
        <v>3067</v>
      </c>
      <c r="E24" s="3059">
        <v>9</v>
      </c>
      <c r="F24" s="3060" t="s">
        <v>3078</v>
      </c>
      <c r="G24" s="3059">
        <v>3</v>
      </c>
      <c r="H24" s="3059">
        <v>673.77</v>
      </c>
      <c r="I24" s="3059" t="s">
        <v>3075</v>
      </c>
      <c r="J24" s="3059" t="s">
        <v>3076</v>
      </c>
    </row>
    <row r="25" spans="1:10">
      <c r="A25" s="3059">
        <v>24</v>
      </c>
      <c r="C25" s="3060"/>
      <c r="D25" s="3059" t="s">
        <v>3067</v>
      </c>
      <c r="E25" s="3059">
        <v>9</v>
      </c>
      <c r="F25" s="3059">
        <v>-1</v>
      </c>
      <c r="G25" s="3059">
        <v>3</v>
      </c>
      <c r="H25" s="3059">
        <v>75.66</v>
      </c>
      <c r="I25" s="3059" t="s">
        <v>3075</v>
      </c>
      <c r="J25" s="3059" t="s">
        <v>3077</v>
      </c>
    </row>
    <row r="26" spans="1:10">
      <c r="A26" s="3059">
        <v>25</v>
      </c>
      <c r="C26" s="3060"/>
      <c r="D26" s="3059" t="s">
        <v>3067</v>
      </c>
      <c r="E26" s="3059">
        <v>10</v>
      </c>
      <c r="F26" s="3060" t="s">
        <v>3078</v>
      </c>
      <c r="G26" s="3059">
        <v>3</v>
      </c>
      <c r="H26" s="3059">
        <v>672.47</v>
      </c>
      <c r="I26" s="3059" t="s">
        <v>3075</v>
      </c>
      <c r="J26" s="3059" t="s">
        <v>3076</v>
      </c>
    </row>
    <row r="27" spans="1:10">
      <c r="A27" s="3059">
        <v>26</v>
      </c>
      <c r="C27" s="3060"/>
      <c r="D27" s="3059" t="s">
        <v>3067</v>
      </c>
      <c r="E27" s="3059">
        <v>10</v>
      </c>
      <c r="F27" s="3059">
        <v>-1</v>
      </c>
      <c r="G27" s="3059">
        <v>3</v>
      </c>
      <c r="H27" s="3059">
        <v>82.5</v>
      </c>
      <c r="I27" s="3059" t="s">
        <v>3075</v>
      </c>
      <c r="J27" s="3059" t="s">
        <v>3077</v>
      </c>
    </row>
    <row r="28" spans="1:10">
      <c r="A28" s="3059">
        <v>27</v>
      </c>
      <c r="C28" s="3060"/>
      <c r="D28" s="3059" t="s">
        <v>3067</v>
      </c>
      <c r="E28" s="3059">
        <v>11</v>
      </c>
      <c r="F28" s="3060" t="s">
        <v>3078</v>
      </c>
      <c r="G28" s="3059">
        <v>3</v>
      </c>
      <c r="H28" s="3059">
        <v>666.76</v>
      </c>
      <c r="I28" s="3059" t="s">
        <v>3075</v>
      </c>
      <c r="J28" s="3059" t="s">
        <v>3076</v>
      </c>
    </row>
    <row r="29" spans="1:10">
      <c r="A29" s="3059">
        <v>28</v>
      </c>
      <c r="C29" s="3060"/>
      <c r="D29" s="3059" t="s">
        <v>3067</v>
      </c>
      <c r="E29" s="3059">
        <v>11</v>
      </c>
      <c r="F29" s="3059">
        <v>-1</v>
      </c>
      <c r="G29" s="3059">
        <v>3</v>
      </c>
      <c r="H29" s="3059">
        <v>60.54</v>
      </c>
      <c r="I29" s="3059" t="s">
        <v>3075</v>
      </c>
      <c r="J29" s="3059" t="s">
        <v>3077</v>
      </c>
    </row>
    <row r="30" spans="1:10">
      <c r="A30" s="3059">
        <v>29</v>
      </c>
      <c r="C30" s="3060"/>
      <c r="D30" s="3059" t="s">
        <v>3067</v>
      </c>
      <c r="E30" s="3059">
        <v>16</v>
      </c>
      <c r="F30" s="3060" t="s">
        <v>3078</v>
      </c>
      <c r="G30" s="3059">
        <v>3</v>
      </c>
      <c r="H30" s="3059">
        <v>956.46</v>
      </c>
      <c r="I30" s="3059" t="s">
        <v>3075</v>
      </c>
      <c r="J30" s="3059" t="s">
        <v>3076</v>
      </c>
    </row>
    <row r="31" spans="1:10">
      <c r="A31" s="3059">
        <v>30</v>
      </c>
      <c r="C31" s="3060"/>
      <c r="D31" s="3059" t="s">
        <v>3067</v>
      </c>
      <c r="E31" s="3059">
        <v>16</v>
      </c>
      <c r="F31" s="3059">
        <v>-1</v>
      </c>
      <c r="G31" s="3059">
        <v>3</v>
      </c>
      <c r="H31" s="3059">
        <v>82.18</v>
      </c>
      <c r="I31" s="3059" t="s">
        <v>3075</v>
      </c>
      <c r="J31" s="3059" t="s">
        <v>3077</v>
      </c>
    </row>
    <row r="32" spans="1:10">
      <c r="A32" s="3059">
        <v>31</v>
      </c>
      <c r="C32" s="3060"/>
      <c r="D32" s="3059" t="s">
        <v>3067</v>
      </c>
      <c r="E32" s="3059">
        <v>17</v>
      </c>
      <c r="F32" s="3060" t="s">
        <v>3078</v>
      </c>
      <c r="G32" s="3059">
        <v>3</v>
      </c>
      <c r="H32" s="3059">
        <v>529.16999999999996</v>
      </c>
      <c r="I32" s="3059" t="s">
        <v>3075</v>
      </c>
      <c r="J32" s="3059" t="s">
        <v>3076</v>
      </c>
    </row>
    <row r="33" spans="1:10">
      <c r="A33" s="3059">
        <v>32</v>
      </c>
      <c r="C33" s="3060"/>
      <c r="D33" s="3059" t="s">
        <v>3067</v>
      </c>
      <c r="E33" s="3059">
        <v>17</v>
      </c>
      <c r="F33" s="3059">
        <v>-1</v>
      </c>
      <c r="G33" s="3059">
        <v>3</v>
      </c>
      <c r="H33" s="3059">
        <v>77.67</v>
      </c>
      <c r="I33" s="3059" t="s">
        <v>3075</v>
      </c>
      <c r="J33" s="3059" t="s">
        <v>3077</v>
      </c>
    </row>
    <row r="34" spans="1:10">
      <c r="A34" s="3059">
        <v>33</v>
      </c>
      <c r="C34" s="3060"/>
      <c r="D34" s="3059" t="s">
        <v>3067</v>
      </c>
      <c r="E34" s="3059">
        <v>18</v>
      </c>
      <c r="F34" s="3060" t="s">
        <v>3078</v>
      </c>
      <c r="G34" s="3059">
        <v>3</v>
      </c>
      <c r="H34" s="3059">
        <v>529.16999999999996</v>
      </c>
      <c r="I34" s="3059" t="s">
        <v>3075</v>
      </c>
      <c r="J34" s="3059" t="s">
        <v>3076</v>
      </c>
    </row>
    <row r="35" spans="1:10">
      <c r="A35" s="3059">
        <v>34</v>
      </c>
      <c r="C35" s="3060"/>
      <c r="D35" s="3059" t="s">
        <v>3067</v>
      </c>
      <c r="E35" s="3059">
        <v>18</v>
      </c>
      <c r="F35" s="3059">
        <v>-1</v>
      </c>
      <c r="G35" s="3059">
        <v>3</v>
      </c>
      <c r="H35" s="3059">
        <v>45.65</v>
      </c>
      <c r="I35" s="3059" t="s">
        <v>3075</v>
      </c>
      <c r="J35" s="3059" t="s">
        <v>3077</v>
      </c>
    </row>
    <row r="36" spans="1:10">
      <c r="A36" s="3059">
        <v>35</v>
      </c>
      <c r="C36" s="3060"/>
      <c r="D36" s="3059" t="s">
        <v>3067</v>
      </c>
      <c r="E36" s="3059">
        <v>19</v>
      </c>
      <c r="F36" s="3060" t="s">
        <v>3078</v>
      </c>
      <c r="G36" s="3059">
        <v>3</v>
      </c>
      <c r="H36" s="3059">
        <v>529.16999999999996</v>
      </c>
      <c r="I36" s="3059" t="s">
        <v>3075</v>
      </c>
      <c r="J36" s="3059" t="s">
        <v>3076</v>
      </c>
    </row>
    <row r="37" spans="1:10">
      <c r="A37" s="3059">
        <v>36</v>
      </c>
      <c r="C37" s="3060"/>
      <c r="D37" s="3059" t="s">
        <v>3067</v>
      </c>
      <c r="E37" s="3059">
        <v>19</v>
      </c>
      <c r="F37" s="3059">
        <v>-1</v>
      </c>
      <c r="G37" s="3059">
        <v>3</v>
      </c>
      <c r="H37" s="3059">
        <v>62.36</v>
      </c>
      <c r="I37" s="3059" t="s">
        <v>3075</v>
      </c>
      <c r="J37" s="3059" t="s">
        <v>3077</v>
      </c>
    </row>
    <row r="38" spans="1:10">
      <c r="A38" s="3059">
        <v>37</v>
      </c>
      <c r="C38" s="3060"/>
      <c r="D38" s="3059" t="s">
        <v>3067</v>
      </c>
      <c r="E38" s="3059">
        <v>20</v>
      </c>
      <c r="F38" s="3060" t="s">
        <v>3078</v>
      </c>
      <c r="G38" s="3059">
        <v>3</v>
      </c>
      <c r="H38" s="3059">
        <v>461.8</v>
      </c>
      <c r="I38" s="3059" t="s">
        <v>3075</v>
      </c>
      <c r="J38" s="3059" t="s">
        <v>3076</v>
      </c>
    </row>
    <row r="39" spans="1:10">
      <c r="A39" s="3059">
        <v>38</v>
      </c>
      <c r="C39" s="3060"/>
      <c r="D39" s="3059" t="s">
        <v>3067</v>
      </c>
      <c r="E39" s="3059">
        <v>20</v>
      </c>
      <c r="F39" s="3059">
        <v>-1</v>
      </c>
      <c r="G39" s="3059">
        <v>3</v>
      </c>
      <c r="H39" s="3059">
        <v>38.07</v>
      </c>
      <c r="I39" s="3059" t="s">
        <v>3075</v>
      </c>
      <c r="J39" s="3059" t="s">
        <v>3077</v>
      </c>
    </row>
    <row r="40" spans="1:10">
      <c r="A40" s="3059">
        <v>39</v>
      </c>
      <c r="C40" s="3060"/>
      <c r="D40" s="3059" t="s">
        <v>3067</v>
      </c>
      <c r="E40" s="3059">
        <v>21</v>
      </c>
      <c r="F40" s="3060" t="s">
        <v>3078</v>
      </c>
      <c r="G40" s="3059">
        <v>3</v>
      </c>
      <c r="H40" s="3059">
        <v>455.51</v>
      </c>
      <c r="I40" s="3059" t="s">
        <v>3075</v>
      </c>
      <c r="J40" s="3059" t="s">
        <v>3076</v>
      </c>
    </row>
    <row r="41" spans="1:10">
      <c r="A41" s="3059">
        <v>40</v>
      </c>
      <c r="C41" s="3060"/>
      <c r="D41" s="3059" t="s">
        <v>3067</v>
      </c>
      <c r="E41" s="3059">
        <v>21</v>
      </c>
      <c r="F41" s="3059">
        <v>-1</v>
      </c>
      <c r="G41" s="3059">
        <v>3</v>
      </c>
      <c r="H41" s="3059">
        <v>122.23</v>
      </c>
      <c r="I41" s="3059" t="s">
        <v>3075</v>
      </c>
      <c r="J41" s="3059" t="s">
        <v>3077</v>
      </c>
    </row>
    <row r="42" spans="1:10">
      <c r="A42" s="3059">
        <v>41</v>
      </c>
      <c r="C42" s="3060"/>
      <c r="D42" s="3059" t="s">
        <v>3067</v>
      </c>
      <c r="E42" s="3059">
        <v>22</v>
      </c>
      <c r="F42" s="3059">
        <v>1</v>
      </c>
      <c r="G42" s="3059">
        <v>2</v>
      </c>
      <c r="H42" s="3059">
        <v>291.72000000000003</v>
      </c>
      <c r="I42" s="3059" t="s">
        <v>3075</v>
      </c>
      <c r="J42" s="3059" t="s">
        <v>3076</v>
      </c>
    </row>
    <row r="43" spans="1:10">
      <c r="A43" s="3059">
        <v>42</v>
      </c>
      <c r="C43" s="3060"/>
      <c r="D43" s="3059" t="s">
        <v>3067</v>
      </c>
      <c r="E43" s="3059">
        <v>22</v>
      </c>
      <c r="F43" s="3059">
        <v>-1</v>
      </c>
      <c r="G43" s="3059">
        <v>2</v>
      </c>
      <c r="H43" s="3059">
        <v>80.989999999999995</v>
      </c>
      <c r="I43" s="3059" t="s">
        <v>3075</v>
      </c>
      <c r="J43" s="3059" t="s">
        <v>3077</v>
      </c>
    </row>
    <row r="44" spans="1:10">
      <c r="A44" s="3059">
        <v>43</v>
      </c>
      <c r="C44" s="3060"/>
      <c r="D44" s="3059" t="s">
        <v>3067</v>
      </c>
      <c r="E44" s="3059">
        <v>23</v>
      </c>
      <c r="F44" s="3060" t="s">
        <v>3078</v>
      </c>
      <c r="G44" s="3059">
        <v>3</v>
      </c>
      <c r="H44" s="3059">
        <v>2625.91</v>
      </c>
      <c r="I44" s="3059" t="s">
        <v>3075</v>
      </c>
      <c r="J44" s="3059" t="s">
        <v>3076</v>
      </c>
    </row>
    <row r="45" spans="1:10">
      <c r="A45" s="3059">
        <v>44</v>
      </c>
      <c r="C45" s="3060"/>
      <c r="D45" s="3059" t="s">
        <v>3067</v>
      </c>
      <c r="E45" s="3059">
        <v>23</v>
      </c>
      <c r="F45" s="3059">
        <v>-1</v>
      </c>
      <c r="G45" s="3059">
        <v>3</v>
      </c>
      <c r="H45" s="3059">
        <v>205.16</v>
      </c>
      <c r="I45" s="3059" t="s">
        <v>3075</v>
      </c>
      <c r="J45" s="3059" t="s">
        <v>3077</v>
      </c>
    </row>
    <row r="46" spans="1:10">
      <c r="A46" s="3059">
        <v>45</v>
      </c>
      <c r="C46" s="3060"/>
      <c r="D46" s="3059" t="s">
        <v>3067</v>
      </c>
      <c r="E46" s="3059">
        <v>32</v>
      </c>
      <c r="F46" s="3059">
        <v>-1</v>
      </c>
      <c r="G46" s="3059">
        <v>3</v>
      </c>
      <c r="H46" s="3059">
        <v>991.7</v>
      </c>
      <c r="I46" s="3059" t="s">
        <v>3075</v>
      </c>
      <c r="J46" s="3059" t="s">
        <v>3077</v>
      </c>
    </row>
    <row r="47" spans="1:10">
      <c r="A47" s="3059">
        <v>46</v>
      </c>
      <c r="C47" s="3060"/>
      <c r="D47" s="3059" t="s">
        <v>3067</v>
      </c>
      <c r="E47" s="3059">
        <v>1</v>
      </c>
      <c r="F47" s="3060" t="s">
        <v>3078</v>
      </c>
      <c r="G47" s="3059">
        <v>3</v>
      </c>
      <c r="H47" s="3059">
        <v>825.41</v>
      </c>
      <c r="I47" s="3059" t="s">
        <v>3075</v>
      </c>
      <c r="J47" s="3059" t="s">
        <v>3076</v>
      </c>
    </row>
    <row r="48" spans="1:10">
      <c r="A48" s="3059">
        <v>47</v>
      </c>
      <c r="C48" s="3060"/>
      <c r="D48" s="3059" t="s">
        <v>3067</v>
      </c>
      <c r="E48" s="3059">
        <v>1</v>
      </c>
      <c r="F48" s="3059">
        <v>-1</v>
      </c>
      <c r="G48" s="3059">
        <v>3</v>
      </c>
      <c r="H48" s="3059">
        <v>123.51</v>
      </c>
      <c r="I48" s="3059" t="s">
        <v>3075</v>
      </c>
      <c r="J48" s="3059" t="s">
        <v>3077</v>
      </c>
    </row>
    <row r="49" spans="1:12">
      <c r="A49" s="3059">
        <v>48</v>
      </c>
      <c r="C49" s="3060"/>
      <c r="D49" s="3059" t="s">
        <v>3067</v>
      </c>
      <c r="E49" s="3059">
        <v>2</v>
      </c>
      <c r="F49" s="3060" t="s">
        <v>3078</v>
      </c>
      <c r="G49" s="3059">
        <v>3</v>
      </c>
      <c r="H49" s="3059">
        <v>502.5</v>
      </c>
      <c r="I49" s="3059" t="s">
        <v>3075</v>
      </c>
      <c r="J49" s="3059" t="s">
        <v>3076</v>
      </c>
    </row>
    <row r="50" spans="1:12">
      <c r="A50" s="3059">
        <v>49</v>
      </c>
      <c r="C50" s="3060"/>
      <c r="D50" s="3059" t="s">
        <v>3067</v>
      </c>
      <c r="E50" s="3059">
        <v>2</v>
      </c>
      <c r="F50" s="3059">
        <v>-1</v>
      </c>
      <c r="G50" s="3059">
        <v>3</v>
      </c>
      <c r="H50" s="3059">
        <v>75.17</v>
      </c>
      <c r="I50" s="3059" t="s">
        <v>3075</v>
      </c>
      <c r="J50" s="3059" t="s">
        <v>3077</v>
      </c>
    </row>
    <row r="51" spans="1:12">
      <c r="A51" s="3059">
        <v>50</v>
      </c>
      <c r="C51" s="3060"/>
      <c r="D51" s="3059" t="s">
        <v>3067</v>
      </c>
      <c r="E51" s="3059">
        <v>3</v>
      </c>
      <c r="F51" s="3060" t="s">
        <v>3078</v>
      </c>
      <c r="G51" s="3059">
        <v>3</v>
      </c>
      <c r="H51" s="3059">
        <v>490.8</v>
      </c>
      <c r="I51" s="3059" t="s">
        <v>3075</v>
      </c>
      <c r="J51" s="3059" t="s">
        <v>3076</v>
      </c>
    </row>
    <row r="52" spans="1:12">
      <c r="A52" s="3059">
        <v>51</v>
      </c>
      <c r="C52" s="3060"/>
      <c r="D52" s="3059" t="s">
        <v>3067</v>
      </c>
      <c r="E52" s="3059">
        <v>3</v>
      </c>
      <c r="F52" s="3059">
        <v>-1</v>
      </c>
      <c r="G52" s="3059">
        <v>3</v>
      </c>
      <c r="H52" s="3059">
        <v>77.47</v>
      </c>
      <c r="I52" s="3059" t="s">
        <v>3075</v>
      </c>
      <c r="J52" s="3059" t="s">
        <v>3077</v>
      </c>
    </row>
    <row r="53" spans="1:12">
      <c r="A53" s="3059">
        <v>52</v>
      </c>
      <c r="C53" s="3060"/>
      <c r="D53" s="3059" t="s">
        <v>3067</v>
      </c>
      <c r="E53" s="3059">
        <v>4</v>
      </c>
      <c r="F53" s="3060" t="s">
        <v>3078</v>
      </c>
      <c r="G53" s="3059">
        <v>3</v>
      </c>
      <c r="H53" s="3059">
        <v>668.45</v>
      </c>
      <c r="I53" s="3059" t="s">
        <v>3075</v>
      </c>
      <c r="J53" s="3059" t="s">
        <v>3076</v>
      </c>
    </row>
    <row r="54" spans="1:12">
      <c r="A54" s="3059">
        <v>53</v>
      </c>
      <c r="C54" s="3060"/>
      <c r="D54" s="3059" t="s">
        <v>3067</v>
      </c>
      <c r="E54" s="3059">
        <v>4</v>
      </c>
      <c r="F54" s="3059">
        <v>-1</v>
      </c>
      <c r="G54" s="3059">
        <v>3</v>
      </c>
      <c r="H54" s="3059">
        <v>60.54</v>
      </c>
      <c r="I54" s="3059" t="s">
        <v>3075</v>
      </c>
      <c r="J54" s="3059" t="s">
        <v>3077</v>
      </c>
    </row>
    <row r="55" spans="1:12">
      <c r="A55" s="3059">
        <v>54</v>
      </c>
      <c r="C55" s="3060"/>
      <c r="D55" s="3059" t="s">
        <v>3067</v>
      </c>
      <c r="E55" s="3059">
        <v>5</v>
      </c>
      <c r="F55" s="3060" t="s">
        <v>3078</v>
      </c>
      <c r="G55" s="3059">
        <v>3</v>
      </c>
      <c r="H55" s="3059">
        <v>837.61</v>
      </c>
      <c r="I55" s="3059" t="s">
        <v>3075</v>
      </c>
      <c r="J55" s="3059" t="s">
        <v>3076</v>
      </c>
    </row>
    <row r="56" spans="1:12">
      <c r="A56" s="3059">
        <v>55</v>
      </c>
      <c r="C56" s="3060"/>
      <c r="D56" s="3059" t="s">
        <v>3067</v>
      </c>
      <c r="E56" s="3059">
        <v>5</v>
      </c>
      <c r="F56" s="3059">
        <v>-1</v>
      </c>
      <c r="G56" s="3059">
        <v>3</v>
      </c>
      <c r="H56" s="3059">
        <v>82.51</v>
      </c>
      <c r="I56" s="3059" t="s">
        <v>3075</v>
      </c>
      <c r="J56" s="3059" t="s">
        <v>3077</v>
      </c>
    </row>
    <row r="57" spans="1:12">
      <c r="A57" s="3059">
        <v>56</v>
      </c>
      <c r="C57" s="3060"/>
      <c r="D57" s="3059" t="s">
        <v>3067</v>
      </c>
      <c r="E57" s="3059">
        <v>12</v>
      </c>
      <c r="F57" s="3060" t="s">
        <v>3078</v>
      </c>
      <c r="G57" s="3059">
        <v>3</v>
      </c>
      <c r="H57" s="3059">
        <v>667.94</v>
      </c>
      <c r="I57" s="3059" t="s">
        <v>3075</v>
      </c>
      <c r="J57" s="3059" t="s">
        <v>3076</v>
      </c>
    </row>
    <row r="58" spans="1:12">
      <c r="A58" s="3059">
        <v>57</v>
      </c>
      <c r="C58" s="3060"/>
      <c r="D58" s="3059" t="s">
        <v>3067</v>
      </c>
      <c r="E58" s="3059">
        <v>12</v>
      </c>
      <c r="F58" s="3059">
        <v>-1</v>
      </c>
      <c r="G58" s="3059">
        <v>3</v>
      </c>
      <c r="H58" s="3059">
        <v>83.65</v>
      </c>
      <c r="I58" s="3059" t="s">
        <v>3075</v>
      </c>
      <c r="J58" s="3059" t="s">
        <v>3077</v>
      </c>
    </row>
    <row r="59" spans="1:12">
      <c r="A59" s="3059">
        <v>58</v>
      </c>
      <c r="C59" s="3060"/>
      <c r="D59" s="3059" t="s">
        <v>3067</v>
      </c>
      <c r="E59" s="3059">
        <v>13</v>
      </c>
      <c r="F59" s="3060" t="s">
        <v>3078</v>
      </c>
      <c r="G59" s="3059">
        <v>3</v>
      </c>
      <c r="H59" s="3059">
        <v>977.74</v>
      </c>
      <c r="I59" s="3059" t="s">
        <v>3075</v>
      </c>
      <c r="J59" s="3059" t="s">
        <v>3076</v>
      </c>
    </row>
    <row r="60" spans="1:12">
      <c r="A60" s="3059">
        <v>59</v>
      </c>
      <c r="C60" s="3060"/>
      <c r="D60" s="3059" t="s">
        <v>3067</v>
      </c>
      <c r="E60" s="3059">
        <v>13</v>
      </c>
      <c r="F60" s="3059">
        <v>-1</v>
      </c>
      <c r="G60" s="3059">
        <v>3</v>
      </c>
      <c r="H60" s="3059">
        <v>78.05</v>
      </c>
      <c r="I60" s="3059" t="s">
        <v>3075</v>
      </c>
      <c r="J60" s="3059" t="s">
        <v>3077</v>
      </c>
    </row>
    <row r="61" spans="1:12">
      <c r="A61" s="3059">
        <v>60</v>
      </c>
      <c r="C61" s="3060"/>
      <c r="D61" s="3059" t="s">
        <v>3067</v>
      </c>
      <c r="E61" s="3059">
        <v>14</v>
      </c>
      <c r="F61" s="3060" t="s">
        <v>3078</v>
      </c>
      <c r="G61" s="3059">
        <v>3</v>
      </c>
      <c r="H61" s="3059">
        <v>977.29</v>
      </c>
      <c r="I61" s="3059" t="s">
        <v>3075</v>
      </c>
      <c r="J61" s="3059" t="s">
        <v>3076</v>
      </c>
    </row>
    <row r="62" spans="1:12">
      <c r="A62" s="3059">
        <v>61</v>
      </c>
      <c r="C62" s="3060"/>
      <c r="D62" s="3059" t="s">
        <v>3067</v>
      </c>
      <c r="E62" s="3059">
        <v>14</v>
      </c>
      <c r="F62" s="3059">
        <v>-1</v>
      </c>
      <c r="G62" s="3059">
        <v>3</v>
      </c>
      <c r="H62" s="3059">
        <v>86.8</v>
      </c>
      <c r="I62" s="3059" t="s">
        <v>3075</v>
      </c>
      <c r="J62" s="3059" t="s">
        <v>3077</v>
      </c>
    </row>
    <row r="63" spans="1:12">
      <c r="A63" s="3059">
        <v>62</v>
      </c>
      <c r="C63" s="3060"/>
      <c r="D63" s="3059" t="s">
        <v>3067</v>
      </c>
      <c r="E63" s="3059">
        <v>15</v>
      </c>
      <c r="F63" s="3060" t="s">
        <v>3078</v>
      </c>
      <c r="G63" s="3059">
        <v>3</v>
      </c>
      <c r="H63" s="3059">
        <v>493.51</v>
      </c>
      <c r="I63" s="3059" t="s">
        <v>3075</v>
      </c>
      <c r="J63" s="3059" t="s">
        <v>3076</v>
      </c>
    </row>
    <row r="64" spans="1:12">
      <c r="A64" s="3059">
        <v>63</v>
      </c>
      <c r="C64" s="3060"/>
      <c r="D64" s="3059" t="s">
        <v>3067</v>
      </c>
      <c r="E64" s="3059">
        <v>15</v>
      </c>
      <c r="F64" s="3059">
        <v>-1</v>
      </c>
      <c r="G64" s="3059">
        <v>3</v>
      </c>
      <c r="H64" s="3059">
        <v>58.17</v>
      </c>
      <c r="I64" s="3059" t="s">
        <v>3075</v>
      </c>
      <c r="J64" s="3059" t="s">
        <v>3077</v>
      </c>
      <c r="L64" s="3059">
        <f>A64/2</f>
        <v>31.5</v>
      </c>
    </row>
    <row r="65" spans="1:8">
      <c r="A65" s="3059" t="s">
        <v>3086</v>
      </c>
      <c r="H65" s="3059">
        <f>SUM(H2:H64)</f>
        <v>38981.680000000008</v>
      </c>
    </row>
    <row r="67" spans="1:8">
      <c r="B67" s="3059" t="s">
        <v>3106</v>
      </c>
      <c r="C67" s="3059">
        <v>24399</v>
      </c>
    </row>
    <row r="68" spans="1:8">
      <c r="B68" s="3059" t="s">
        <v>3107</v>
      </c>
      <c r="C68" s="3059">
        <f>'数据-基础表'!A3</f>
        <v>155390.20000000001</v>
      </c>
    </row>
    <row r="69" spans="1:8">
      <c r="B69" s="3059" t="s">
        <v>3215</v>
      </c>
      <c r="C69" s="3059">
        <f>C67*10000/C68</f>
        <v>1570.1762402004758</v>
      </c>
    </row>
    <row r="70" spans="1:8">
      <c r="B70" s="3059" t="s">
        <v>3216</v>
      </c>
      <c r="C70" s="3059">
        <f>C67*10000/'数据-基础表'!I13</f>
        <v>7411.5588605172516</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27" sqref="G2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1809</v>
      </c>
      <c r="B1" s="1301"/>
      <c r="C1" s="1301"/>
      <c r="D1" s="1301"/>
      <c r="E1" s="1301"/>
      <c r="F1" s="1301"/>
      <c r="G1" s="1301"/>
      <c r="H1" s="1301"/>
      <c r="I1" s="1301"/>
      <c r="J1" s="1301"/>
      <c r="K1" s="1301"/>
      <c r="L1" s="1301"/>
      <c r="M1" s="1301"/>
      <c r="N1" s="1301"/>
      <c r="O1" s="1301"/>
      <c r="P1" s="1301"/>
    </row>
    <row r="2" spans="1:16" ht="15">
      <c r="A2" s="3158" t="s">
        <v>1810</v>
      </c>
      <c r="B2" s="3158"/>
      <c r="C2" s="3158"/>
      <c r="D2" s="904" t="s">
        <v>1786</v>
      </c>
      <c r="E2" s="1823" t="s">
        <v>1787</v>
      </c>
      <c r="F2" s="2884"/>
      <c r="G2" s="2875"/>
      <c r="H2" s="2876"/>
      <c r="I2" s="2546" t="s">
        <v>1811</v>
      </c>
      <c r="J2" s="2884"/>
      <c r="K2" s="2884"/>
      <c r="L2" s="2884"/>
      <c r="M2" s="2884"/>
      <c r="N2" s="2886"/>
      <c r="O2" s="2884"/>
      <c r="P2" s="2884"/>
    </row>
    <row r="3" spans="1:16" ht="15.75" thickBot="1">
      <c r="A3" s="3159" t="s">
        <v>1784</v>
      </c>
      <c r="B3" s="3159"/>
      <c r="C3" s="3159"/>
      <c r="D3" s="46">
        <f>'数据-基础表'!AY6</f>
        <v>155390.20000000001</v>
      </c>
      <c r="E3" s="46">
        <f>'数据-基础表'!AZ5</f>
        <v>38981.680000000008</v>
      </c>
      <c r="F3" s="2884"/>
      <c r="G3" s="1307"/>
      <c r="H3" s="1157" t="s">
        <v>1785</v>
      </c>
      <c r="I3" s="964">
        <f>ROUND('数据-基础表'!B3/'数据-基础表'!A3,2)</f>
        <v>0.25</v>
      </c>
      <c r="J3" s="2884"/>
      <c r="K3" s="2884"/>
      <c r="L3" s="2884"/>
      <c r="M3" s="2884"/>
      <c r="N3" s="2886"/>
      <c r="O3" s="2884"/>
      <c r="P3" s="2884"/>
    </row>
    <row r="4" spans="1:16" ht="15">
      <c r="A4" s="3160"/>
      <c r="B4" s="3161"/>
      <c r="C4" s="3162"/>
      <c r="D4" s="1825" t="s">
        <v>1786</v>
      </c>
      <c r="E4" s="1826" t="s">
        <v>1787</v>
      </c>
      <c r="F4" s="2884"/>
      <c r="G4" s="2877" t="s">
        <v>1812</v>
      </c>
      <c r="H4" s="1157" t="s">
        <v>1792</v>
      </c>
      <c r="I4" s="964">
        <f>ROUND(SUMIF('数据-基础表'!I9:AS9,"地上",'数据-基础表'!I5:AS5)/'数据-基础表'!A3,2)</f>
        <v>0.21</v>
      </c>
      <c r="J4" s="2884"/>
      <c r="K4" s="2884"/>
      <c r="L4" s="2884"/>
      <c r="M4" s="2884"/>
      <c r="N4" s="2886"/>
      <c r="O4" s="2884"/>
      <c r="P4" s="2884"/>
    </row>
    <row r="5" spans="1:16">
      <c r="A5" s="47" t="s">
        <v>1788</v>
      </c>
      <c r="B5" s="3163" t="s">
        <v>1789</v>
      </c>
      <c r="C5" s="3163"/>
      <c r="D5" s="48">
        <f>ROUND($D$3*E5/$E$3,2)</f>
        <v>0</v>
      </c>
      <c r="E5" s="49">
        <f>SUMIF('数据-基础表'!$11:$11,"住宅",'数据-基础表'!$5:$5)</f>
        <v>0</v>
      </c>
      <c r="F5" s="2884"/>
      <c r="G5" s="1307"/>
      <c r="H5" s="1157" t="s">
        <v>1785</v>
      </c>
      <c r="I5" s="964">
        <f>ROUND(E31/D31,2)</f>
        <v>0.25</v>
      </c>
      <c r="J5" s="2884"/>
      <c r="K5" s="2884"/>
      <c r="L5" s="2884"/>
      <c r="M5" s="2884"/>
      <c r="N5" s="2884"/>
      <c r="O5" s="2884"/>
      <c r="P5" s="2884"/>
    </row>
    <row r="6" spans="1:16" ht="15" thickBot="1">
      <c r="A6" s="1828"/>
      <c r="B6" s="3163" t="s">
        <v>1790</v>
      </c>
      <c r="C6" s="3163"/>
      <c r="D6" s="48">
        <f>ROUND($D$3*E6/$E$3,2)</f>
        <v>155390.20000000001</v>
      </c>
      <c r="E6" s="49">
        <f>E3-E5</f>
        <v>38981.680000000008</v>
      </c>
      <c r="F6" s="2884"/>
      <c r="G6" s="2878" t="s">
        <v>1791</v>
      </c>
      <c r="H6" s="1308" t="s">
        <v>1792</v>
      </c>
      <c r="I6" s="2879">
        <f>ROUND(F31/D31,2)</f>
        <v>0.21</v>
      </c>
      <c r="J6" s="2884"/>
      <c r="K6" s="2884"/>
      <c r="L6" s="2884"/>
      <c r="M6" s="2884"/>
      <c r="N6" s="2884"/>
      <c r="O6" s="2884"/>
      <c r="P6" s="2884"/>
    </row>
    <row r="7" spans="1:16" ht="15.75" thickBot="1">
      <c r="A7" s="3155"/>
      <c r="B7" s="3156"/>
      <c r="C7" s="3157"/>
      <c r="D7" s="1825" t="s">
        <v>1786</v>
      </c>
      <c r="E7" s="1829" t="s">
        <v>1793</v>
      </c>
      <c r="F7" s="2884"/>
      <c r="G7" s="2880" t="s">
        <v>1794</v>
      </c>
      <c r="H7" s="2881"/>
      <c r="I7" s="2882"/>
      <c r="J7" s="2884"/>
      <c r="K7" s="2884"/>
      <c r="L7" s="2884"/>
      <c r="M7" s="2884"/>
      <c r="N7" s="2884"/>
      <c r="O7" s="2884"/>
      <c r="P7" s="2884"/>
    </row>
    <row r="8" spans="1:16">
      <c r="A8" s="47" t="s">
        <v>1795</v>
      </c>
      <c r="B8" s="50" t="s">
        <v>1796</v>
      </c>
      <c r="C8" s="48" t="s">
        <v>1797</v>
      </c>
      <c r="D8" s="48">
        <f t="shared" ref="D8:D15" si="0">ROUND($D$3*E8/$E$3,2)</f>
        <v>131227.71</v>
      </c>
      <c r="E8" s="51">
        <f>SUMIF('数据-基础表'!BB10:BK10,"地上",'数据-基础表'!BB5:BK5)</f>
        <v>32920.199999999997</v>
      </c>
      <c r="F8" s="2884"/>
      <c r="G8" s="2885"/>
      <c r="H8" s="2885"/>
      <c r="I8" s="2884"/>
      <c r="J8" s="2884"/>
      <c r="K8" s="2884"/>
      <c r="L8" s="2884"/>
      <c r="M8" s="2884"/>
      <c r="N8" s="2884"/>
      <c r="O8" s="2884"/>
      <c r="P8" s="2884"/>
    </row>
    <row r="9" spans="1:16">
      <c r="A9" s="1830"/>
      <c r="B9" s="1831"/>
      <c r="C9" s="48" t="s">
        <v>1798</v>
      </c>
      <c r="D9" s="48">
        <f t="shared" si="0"/>
        <v>0</v>
      </c>
      <c r="E9" s="52">
        <v>0</v>
      </c>
      <c r="F9" s="2884"/>
      <c r="G9" s="2885"/>
      <c r="H9" s="2885"/>
      <c r="I9" s="2884"/>
      <c r="J9" s="2884"/>
      <c r="K9" s="2884"/>
      <c r="L9" s="2884"/>
      <c r="M9" s="2884"/>
      <c r="N9" s="2884"/>
      <c r="O9" s="2884"/>
      <c r="P9" s="2884"/>
    </row>
    <row r="10" spans="1:16">
      <c r="A10" s="1830"/>
      <c r="B10" s="1831"/>
      <c r="C10" s="48" t="s">
        <v>1807</v>
      </c>
      <c r="D10" s="48">
        <f t="shared" si="0"/>
        <v>24162.49</v>
      </c>
      <c r="E10" s="51">
        <f>SUMPRODUCT(('数据-基础表'!BB10:BK10="地下")*('数据-基础表'!BB11:BK11="商业")*('数据-基础表'!BB5:BK5))</f>
        <v>6061.4800000000105</v>
      </c>
      <c r="F10" s="2884"/>
      <c r="G10" s="2885"/>
      <c r="H10" s="2885"/>
      <c r="I10" s="2884"/>
      <c r="J10" s="2884"/>
      <c r="K10" s="2884"/>
      <c r="L10" s="2884"/>
      <c r="M10" s="2884"/>
      <c r="N10" s="2884"/>
      <c r="O10" s="2884"/>
      <c r="P10" s="2884"/>
    </row>
    <row r="11" spans="1:16">
      <c r="A11" s="1830"/>
      <c r="B11" s="1831"/>
      <c r="C11" s="48" t="s">
        <v>1799</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1800</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1801</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1813</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1808</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1802</v>
      </c>
      <c r="D16" s="50">
        <f>SUM(D8:D15)</f>
        <v>155390.19999999998</v>
      </c>
      <c r="E16" s="53">
        <f>SUM(E8:E15)</f>
        <v>38981.680000000008</v>
      </c>
      <c r="F16" s="2884"/>
      <c r="G16" s="2885"/>
      <c r="H16" s="1832" t="s">
        <v>1814</v>
      </c>
      <c r="I16" s="1833"/>
      <c r="J16" s="1301"/>
      <c r="K16" s="3152" t="s">
        <v>1814</v>
      </c>
      <c r="L16" s="3153"/>
      <c r="M16" s="3153"/>
      <c r="N16" s="3153"/>
      <c r="O16" s="3153"/>
      <c r="P16" s="3154"/>
    </row>
    <row r="17" spans="1:19" ht="15">
      <c r="A17" s="1834" t="s">
        <v>1815</v>
      </c>
      <c r="B17" s="1835" t="s">
        <v>1816</v>
      </c>
      <c r="C17" s="1836" t="s">
        <v>1817</v>
      </c>
      <c r="D17" s="1837" t="s">
        <v>1805</v>
      </c>
      <c r="E17" s="1838" t="s">
        <v>1806</v>
      </c>
      <c r="F17" s="1839"/>
      <c r="G17" s="1840"/>
      <c r="H17" s="1841" t="s">
        <v>1818</v>
      </c>
      <c r="I17" s="1842" t="s">
        <v>1803</v>
      </c>
      <c r="J17" s="1301"/>
      <c r="K17" s="3149" t="s">
        <v>1819</v>
      </c>
      <c r="L17" s="3150"/>
      <c r="M17" s="3151"/>
      <c r="N17" s="3149" t="s">
        <v>1820</v>
      </c>
      <c r="O17" s="3150"/>
      <c r="P17" s="3151"/>
      <c r="R17" s="1824" t="s">
        <v>1821</v>
      </c>
      <c r="S17" s="60"/>
    </row>
    <row r="18" spans="1:19" ht="15">
      <c r="A18" s="1830"/>
      <c r="B18" s="1843"/>
      <c r="C18" s="1844"/>
      <c r="D18" s="1845"/>
      <c r="E18" s="1846" t="s">
        <v>1822</v>
      </c>
      <c r="F18" s="1847" t="s">
        <v>1823</v>
      </c>
      <c r="G18" s="1848" t="s">
        <v>1824</v>
      </c>
      <c r="H18" s="1172" t="s">
        <v>1825</v>
      </c>
      <c r="I18" s="1849" t="s">
        <v>1826</v>
      </c>
      <c r="J18" s="1301"/>
      <c r="K18" s="1172" t="s">
        <v>1827</v>
      </c>
      <c r="L18" s="1850" t="s">
        <v>1828</v>
      </c>
      <c r="M18" s="964" t="s">
        <v>1829</v>
      </c>
      <c r="N18" s="1172" t="s">
        <v>1827</v>
      </c>
      <c r="O18" s="1850" t="s">
        <v>1828</v>
      </c>
      <c r="P18" s="964" t="s">
        <v>1829</v>
      </c>
      <c r="R18" s="1157" t="s">
        <v>1830</v>
      </c>
      <c r="S18" s="1157" t="s">
        <v>1831</v>
      </c>
    </row>
    <row r="19" spans="1:19">
      <c r="A19" s="1851"/>
      <c r="B19" s="50" t="s">
        <v>1804</v>
      </c>
      <c r="C19" s="3061" t="s">
        <v>3090</v>
      </c>
      <c r="D19" s="48">
        <f>ROUND($D$3*E19/$E$3,2)</f>
        <v>155390.20000000001</v>
      </c>
      <c r="E19" s="56">
        <f t="shared" ref="E19:E26" si="1">SUM(F19:G19)</f>
        <v>38981.680000000008</v>
      </c>
      <c r="F19" s="3024">
        <f>'数据-基础表'!I13</f>
        <v>32920.199999999997</v>
      </c>
      <c r="G19" s="3025">
        <f>'数据-基础表'!K13</f>
        <v>6061.4800000000105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155390.20000000001</v>
      </c>
      <c r="S19" s="1158">
        <f t="shared" si="5"/>
        <v>38981.680000000008</v>
      </c>
    </row>
    <row r="20" spans="1:19">
      <c r="A20" s="1855"/>
      <c r="B20" s="50" t="s">
        <v>1832</v>
      </c>
      <c r="C20" s="1852"/>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1832</v>
      </c>
      <c r="C21" s="1852"/>
      <c r="D21" s="48">
        <f t="shared" si="6"/>
        <v>0</v>
      </c>
      <c r="E21" s="56">
        <f t="shared" si="1"/>
        <v>0</v>
      </c>
      <c r="F21" s="3024"/>
      <c r="G21" s="302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1832</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1832</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1832</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1832</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1832</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1833</v>
      </c>
      <c r="D27" s="1302">
        <f>SUM(D19:D26)</f>
        <v>155390.20000000001</v>
      </c>
      <c r="E27" s="1303">
        <f>IF(SUM(E19:E26)='数据-基础表'!BA5,SUM(E19:E26),IF(F27="地上面积有误","面积有误","地下面积有误"))</f>
        <v>38981.680000000008</v>
      </c>
      <c r="F27" s="1302">
        <f>IF(SUM(F19:F26)=E8,SUM(F19:F26),"地上面积有误")</f>
        <v>32920.199999999997</v>
      </c>
      <c r="G27" s="1304">
        <f>SUM(G19:G26)</f>
        <v>6061.4800000000105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155390.20000000001</v>
      </c>
      <c r="S27" s="1157">
        <f>IF(SUM(S19:S26)=$E$3,SUM(S19:S26),SUM(S19:S26)&amp;"误差"&amp;ROUND(SUM(S19:S26)-E3,2))</f>
        <v>38981.680000000008</v>
      </c>
    </row>
    <row r="28" spans="1:19">
      <c r="A28" s="1855"/>
      <c r="B28" s="50" t="s">
        <v>1834</v>
      </c>
      <c r="C28" s="1169" t="s">
        <v>1835</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5"/>
      <c r="B29" s="50" t="s">
        <v>1834</v>
      </c>
      <c r="C29" s="1859" t="s">
        <v>1836</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5"/>
      <c r="B30" s="50"/>
      <c r="C30" s="1860" t="s">
        <v>1833</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1"/>
      <c r="B31" s="1862"/>
      <c r="C31" s="944" t="s">
        <v>1837</v>
      </c>
      <c r="D31" s="685">
        <f>D27+D30</f>
        <v>155390.20000000001</v>
      </c>
      <c r="E31" s="685">
        <f>E27+E30</f>
        <v>38981.680000000008</v>
      </c>
      <c r="F31" s="686">
        <f>F27+F30</f>
        <v>32920.199999999997</v>
      </c>
      <c r="G31" s="687">
        <f>G27+G30</f>
        <v>6061.4800000000105</v>
      </c>
      <c r="H31" s="2884"/>
      <c r="I31" s="2884"/>
      <c r="J31" s="2884"/>
      <c r="K31" s="2884"/>
      <c r="L31" s="2884"/>
      <c r="M31" s="2884"/>
      <c r="N31" s="2884"/>
      <c r="O31" s="2884"/>
      <c r="P31" s="2884"/>
    </row>
    <row r="32" spans="1:19">
      <c r="A32" s="1827"/>
      <c r="B32" s="1827" t="s">
        <v>1838</v>
      </c>
      <c r="C32" s="1827"/>
      <c r="D32" s="1827"/>
      <c r="E32" s="1184">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2.2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1839</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8" t="s">
        <v>1840</v>
      </c>
      <c r="B2" s="1176">
        <f>项目基本情况!D3</f>
        <v>44322</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1841</v>
      </c>
      <c r="B4" s="1873"/>
      <c r="C4" s="1874"/>
      <c r="D4" s="1875"/>
      <c r="E4" s="1874" t="s">
        <v>1842</v>
      </c>
      <c r="F4" s="1874"/>
      <c r="G4" s="1874"/>
      <c r="H4" s="1874"/>
      <c r="I4" s="1874"/>
      <c r="J4" s="1876"/>
      <c r="K4" s="1877"/>
      <c r="L4" s="1878"/>
      <c r="M4" s="1874"/>
      <c r="N4" s="1874" t="s">
        <v>1843</v>
      </c>
      <c r="O4" s="1874"/>
      <c r="P4" s="1874"/>
      <c r="Q4" s="1874"/>
      <c r="R4" s="1874"/>
      <c r="S4" s="1876"/>
      <c r="T4" s="2883" t="str">
        <f>'数据-汇总表'!I17</f>
        <v>按面积比例</v>
      </c>
      <c r="U4" s="1873" t="s">
        <v>1844</v>
      </c>
      <c r="V4" s="1874"/>
      <c r="W4" s="1874"/>
      <c r="X4" s="1874"/>
      <c r="Y4" s="1876"/>
      <c r="Z4" s="1836" t="s">
        <v>1845</v>
      </c>
      <c r="AA4" s="1836"/>
      <c r="AB4" s="1836"/>
      <c r="AC4" s="1836"/>
      <c r="AD4" s="1836"/>
      <c r="AE4" s="1834" t="s">
        <v>1846</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1847</v>
      </c>
      <c r="B5" s="1881" t="s">
        <v>1848</v>
      </c>
      <c r="C5" s="1882" t="s">
        <v>1849</v>
      </c>
      <c r="D5" s="1883" t="s">
        <v>1850</v>
      </c>
      <c r="E5" s="1178" t="s">
        <v>1851</v>
      </c>
      <c r="F5" s="1884" t="s">
        <v>1852</v>
      </c>
      <c r="G5" s="1178" t="s">
        <v>1853</v>
      </c>
      <c r="H5" s="1178" t="s">
        <v>1854</v>
      </c>
      <c r="I5" s="1178" t="s">
        <v>1855</v>
      </c>
      <c r="J5" s="1885" t="s">
        <v>1856</v>
      </c>
      <c r="K5" s="1886" t="s">
        <v>1857</v>
      </c>
      <c r="L5" s="1887" t="s">
        <v>1858</v>
      </c>
      <c r="M5" s="1888" t="s">
        <v>1859</v>
      </c>
      <c r="N5" s="1889" t="s">
        <v>3092</v>
      </c>
      <c r="O5" s="1887" t="s">
        <v>1860</v>
      </c>
      <c r="P5" s="1890" t="s">
        <v>1861</v>
      </c>
      <c r="Q5" s="65" t="s">
        <v>1862</v>
      </c>
      <c r="R5" s="1891" t="s">
        <v>1863</v>
      </c>
      <c r="S5" s="1892" t="s">
        <v>1864</v>
      </c>
      <c r="T5" s="1893" t="s">
        <v>1865</v>
      </c>
      <c r="U5" s="1177" t="s">
        <v>1866</v>
      </c>
      <c r="V5" s="1178" t="s">
        <v>1867</v>
      </c>
      <c r="W5" s="1178" t="s">
        <v>1868</v>
      </c>
      <c r="X5" s="67"/>
      <c r="Y5" s="66" t="s">
        <v>1869</v>
      </c>
      <c r="Z5" s="1894" t="s">
        <v>1866</v>
      </c>
      <c r="AA5" s="1178" t="s">
        <v>1867</v>
      </c>
      <c r="AB5" s="1178" t="s">
        <v>1868</v>
      </c>
      <c r="AC5" s="67"/>
      <c r="AD5" s="67" t="s">
        <v>1869</v>
      </c>
      <c r="AE5" s="1177" t="s">
        <v>1870</v>
      </c>
      <c r="AF5" s="1178" t="s">
        <v>1871</v>
      </c>
      <c r="AG5" s="66" t="s">
        <v>1872</v>
      </c>
      <c r="AH5" s="1177" t="s">
        <v>1873</v>
      </c>
      <c r="AI5" s="1894" t="s">
        <v>1874</v>
      </c>
      <c r="AJ5" s="1894" t="s">
        <v>1875</v>
      </c>
      <c r="AK5" s="1178" t="s">
        <v>1876</v>
      </c>
      <c r="AL5" s="1178" t="s">
        <v>1877</v>
      </c>
      <c r="AM5" s="66" t="s">
        <v>1878</v>
      </c>
      <c r="AN5" s="1895" t="s">
        <v>1879</v>
      </c>
      <c r="AO5" s="1746" t="s">
        <v>1880</v>
      </c>
      <c r="AP5" s="1159" t="s">
        <v>1881</v>
      </c>
      <c r="AQ5" s="1896" t="s">
        <v>1882</v>
      </c>
      <c r="AR5" s="1896" t="s">
        <v>1883</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1336</v>
      </c>
      <c r="D6" s="967">
        <f>SUMIF(项目基本情况!D$12:I$12,C6,项目基本情况!D$14:I$14)</f>
        <v>40</v>
      </c>
      <c r="E6" s="966">
        <f>IF(B6="","",SUMIF(项目基本情况!D$12:I$12,C6,项目基本情况!D$13:I$13))</f>
        <v>56800</v>
      </c>
      <c r="F6" s="68">
        <f>SUMIF(项目基本情况!D$12:I$12,C6,项目基本情况!D$15:I$15)</f>
        <v>34.18</v>
      </c>
      <c r="G6" s="69">
        <f>IF(ISERROR(ROUND(POWER(1+H6,D6-F6)*(POWER(1+H6,F6)-1)/(POWER(1+H6,D6)-1),3)),0,ROUND(POWER(1+H6,D6-F6)*(POWER(1+H6,F6)-1)/(POWER(1+H6,D6)-1),3))</f>
        <v>0.94599999999999995</v>
      </c>
      <c r="H6" s="741">
        <v>0.05</v>
      </c>
      <c r="I6" s="741">
        <v>5.5E-2</v>
      </c>
      <c r="J6" s="70">
        <v>0.08</v>
      </c>
      <c r="K6" s="1161">
        <f>SUMIF('数据-汇总表'!C$19:C$33,A6,'数据-汇总表'!E$19:E$33)</f>
        <v>38981.680000000008</v>
      </c>
      <c r="L6" s="3069">
        <v>8000</v>
      </c>
      <c r="M6" s="71">
        <f t="shared" ref="M6:M14" si="0">ROUND(K6*L6/10000,0)</f>
        <v>31185</v>
      </c>
      <c r="N6" s="740">
        <f>ROUND(1-(2021-N18)/60,2)</f>
        <v>0.97</v>
      </c>
      <c r="O6" s="71" t="str">
        <f>IF($N$5="成新度","——",ROUND(M6*N6,0))</f>
        <v>——</v>
      </c>
      <c r="P6" s="72" t="str">
        <f>IF($N$5="成新度","——",M6-O6)</f>
        <v>——</v>
      </c>
      <c r="Q6" s="743">
        <v>0.2</v>
      </c>
      <c r="R6" s="73">
        <f ca="1">SUMIF('数据-汇总表'!C$19:C$33,A6,'数据-汇总表'!R$19:R$27)</f>
        <v>155390.20000000001</v>
      </c>
      <c r="S6" s="54">
        <f>IF('数据-汇总表'!$I$17="按面积比例",SUMIF('数据-汇总表'!C$19:C$33,A6,'数据-汇总表'!K$19:K$33),SUMIF('数据-汇总表'!C$19:C$33,A6,'数据-汇总表'!N$19:N$33))</f>
        <v>0</v>
      </c>
      <c r="T6" s="1334">
        <f>ROUND($L$14*S6/10000,0)</f>
        <v>0</v>
      </c>
      <c r="U6" s="74">
        <f>ROUND(酒店收入计算!E28*10000,0)</f>
        <v>29700000</v>
      </c>
      <c r="V6" s="3070">
        <v>0.03</v>
      </c>
      <c r="W6" s="3070">
        <v>0</v>
      </c>
      <c r="X6" s="1171"/>
      <c r="Y6" s="76">
        <f>N6</f>
        <v>0.97</v>
      </c>
      <c r="Z6" s="77"/>
      <c r="AA6" s="70"/>
      <c r="AB6" s="70"/>
      <c r="AC6" s="1171"/>
      <c r="AD6" s="78"/>
      <c r="AE6" s="1172">
        <f ca="1">IF(AN6="",0,SUMIF(INDIRECT("'"&amp;AN6&amp;"'"&amp;"!E:E"),$AE$5,INDIRECT("'"&amp;AN6&amp;"'"&amp;"!F:F")))</f>
        <v>34.18</v>
      </c>
      <c r="AF6" s="1531"/>
      <c r="AG6" s="143">
        <f>IF(AF6="",0,AE6-AF6)</f>
        <v>0</v>
      </c>
      <c r="AH6" s="79">
        <v>1</v>
      </c>
      <c r="AI6" s="81">
        <v>1</v>
      </c>
      <c r="AJ6" s="82"/>
      <c r="AK6" s="83">
        <v>1.4999999999999999E-2</v>
      </c>
      <c r="AL6" s="84">
        <v>1.5E-3</v>
      </c>
      <c r="AM6" s="85">
        <v>1.4999999999999999E-2</v>
      </c>
      <c r="AN6" s="1900" t="s">
        <v>3093</v>
      </c>
      <c r="AO6" s="55">
        <f ca="1">SUMIF(INDIRECT("'"&amp;AN6&amp;"'"&amp;"!A:A"),"总价",INDIRECT("'"&amp;AN6&amp;"'"&amp;"!B:B"))</f>
        <v>37067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1884</v>
      </c>
      <c r="B14" s="1898" t="s">
        <v>1885</v>
      </c>
      <c r="C14" s="1903" t="s">
        <v>1884</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14.25">
      <c r="A15" s="1902" t="s">
        <v>1886</v>
      </c>
      <c r="B15" s="1898" t="s">
        <v>1885</v>
      </c>
      <c r="C15" s="1903" t="s">
        <v>1887</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1888</v>
      </c>
      <c r="B16" s="93"/>
      <c r="C16" s="942"/>
      <c r="D16" s="1905"/>
      <c r="E16" s="93"/>
      <c r="F16" s="93"/>
      <c r="G16" s="94">
        <f>ROUND(SUMPRODUCT(G6:G13,K6:K13)/SUMPRODUCT((G6:G13&gt;0)*(K6:K13)),3)</f>
        <v>0.94599999999999995</v>
      </c>
      <c r="H16" s="95">
        <f>ROUND(SUMPRODUCT(H6:H13,K6:K13)/SUMPRODUCT((H6:H13&gt;0)*(K6:K13)),3)</f>
        <v>0.05</v>
      </c>
      <c r="I16" s="96"/>
      <c r="J16" s="96"/>
      <c r="K16" s="97">
        <f>SUM(K6:K15)</f>
        <v>38981.680000000008</v>
      </c>
      <c r="L16" s="98">
        <f>ROUND(M16*10000/SUM(K6:K14),0)</f>
        <v>8000</v>
      </c>
      <c r="M16" s="98">
        <f>SUM(M6:M14)</f>
        <v>31185</v>
      </c>
      <c r="N16" s="99">
        <f>ROUND(SUMPRODUCT(M6:M14,N6:N14)/M16,3)</f>
        <v>0.97</v>
      </c>
      <c r="O16" s="98">
        <f>SUM(O6:O14)</f>
        <v>0</v>
      </c>
      <c r="P16" s="98">
        <f>SUM(P6:P14)</f>
        <v>0</v>
      </c>
      <c r="Q16" s="100">
        <f>ROUND(SUMPRODUCT(Q6:Q13,K6:K13)/SUMPRODUCT((Q6:Q13&gt;0)*(K6:K13)),2)</f>
        <v>0.2</v>
      </c>
      <c r="R16" s="1165">
        <f ca="1">SUM(R6:R13)</f>
        <v>155390.20000000001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1889</v>
      </c>
      <c r="B18" s="2912"/>
      <c r="C18" s="2900"/>
      <c r="D18" s="2903"/>
      <c r="E18" s="2900"/>
      <c r="F18" s="2900"/>
      <c r="G18" s="2900"/>
      <c r="H18" s="2900"/>
      <c r="I18" s="2900"/>
      <c r="J18" s="2900"/>
      <c r="K18" s="2899"/>
      <c r="L18" s="2899"/>
      <c r="M18" s="2898"/>
      <c r="N18" s="2898">
        <v>2019</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7" t="s">
        <v>1890</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8" t="s">
        <v>1891</v>
      </c>
      <c r="B20" s="3068">
        <v>3</v>
      </c>
      <c r="C20" s="3029" t="s">
        <v>3043</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9" t="s">
        <v>1892</v>
      </c>
      <c r="B21" s="109">
        <f>B20</f>
        <v>3</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8" t="s">
        <v>1893</v>
      </c>
      <c r="B22" s="110">
        <f>B19+B20</f>
        <v>3</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9" t="s">
        <v>1894</v>
      </c>
      <c r="B23" s="110">
        <f>B19+B21</f>
        <v>3</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1895</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1896</v>
      </c>
      <c r="B26" s="1911" t="s">
        <v>1897</v>
      </c>
      <c r="C26" s="2904" t="s">
        <v>1898</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14.25">
      <c r="A27" s="1912" t="s">
        <v>1899</v>
      </c>
      <c r="B27" s="112">
        <v>105</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1900</v>
      </c>
      <c r="B28" s="115">
        <v>105</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1901</v>
      </c>
      <c r="B29" s="117">
        <v>409</v>
      </c>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1902</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1903</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1904</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1905</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1906</v>
      </c>
      <c r="B34" s="118">
        <v>0</v>
      </c>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1907</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1908</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6" t="s">
        <v>1909</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4" t="s">
        <v>1910</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7" t="s">
        <v>1911</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8" customHeight="1" thickBot="1">
      <c r="A40" s="3044" t="s">
        <v>3091</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2" t="s">
        <v>1912</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8" t="s">
        <v>1913</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8" t="s">
        <v>1914</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9" t="s">
        <v>1915</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9" t="s">
        <v>1916</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9" t="s">
        <v>1917</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1918</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1" t="s">
        <v>1919</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1920</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2" t="s">
        <v>1921</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1922</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2" t="s">
        <v>1923</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4" t="s">
        <v>1924</v>
      </c>
      <c r="B53" s="3073"/>
      <c r="C53" s="2886" t="s">
        <v>1925</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1926</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1927</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1928</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1929</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1930</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1931</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1932</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1933</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1934</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1935</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1"/>
  </cols>
  <sheetData>
    <row r="1" spans="1:29" s="2681" customFormat="1" ht="18.75" thickBot="1">
      <c r="A1" s="3164" t="s">
        <v>3026</v>
      </c>
      <c r="B1" s="3165"/>
      <c r="C1" s="3165"/>
      <c r="D1" s="3165"/>
      <c r="E1" s="3165"/>
      <c r="F1" s="3165"/>
      <c r="G1" s="316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3021</v>
      </c>
      <c r="D2" s="2685"/>
      <c r="E2" s="2682"/>
      <c r="F2" s="2686"/>
      <c r="G2" s="2684" t="s">
        <v>3022</v>
      </c>
      <c r="H2" s="907"/>
      <c r="I2" s="907"/>
      <c r="J2" s="907"/>
      <c r="K2" s="907"/>
      <c r="L2" s="907"/>
      <c r="M2" s="907"/>
      <c r="N2" s="907"/>
      <c r="O2" s="907"/>
      <c r="P2" s="907"/>
      <c r="Q2" s="907"/>
      <c r="R2" s="907"/>
    </row>
    <row r="3" spans="1:29" ht="48">
      <c r="A3" s="2665" t="s">
        <v>3023</v>
      </c>
      <c r="B3" s="2687" t="s">
        <v>2992</v>
      </c>
      <c r="C3" s="2688" t="s">
        <v>3024</v>
      </c>
      <c r="D3" s="2689"/>
      <c r="E3" s="2666" t="s">
        <v>3023</v>
      </c>
      <c r="F3" s="2690" t="s">
        <v>2993</v>
      </c>
      <c r="G3" s="2691" t="s">
        <v>3025</v>
      </c>
      <c r="H3" s="907"/>
      <c r="I3" s="907"/>
      <c r="J3" s="907"/>
      <c r="K3" s="907"/>
      <c r="L3" s="907"/>
      <c r="M3" s="907"/>
      <c r="N3" s="907"/>
      <c r="O3" s="907"/>
      <c r="P3" s="907"/>
      <c r="Q3" s="907"/>
      <c r="R3" s="907"/>
    </row>
    <row r="4" spans="1:29" ht="36.75">
      <c r="A4" s="2666"/>
      <c r="B4" s="329" t="s">
        <v>2994</v>
      </c>
      <c r="C4" s="2692" t="s">
        <v>2995</v>
      </c>
      <c r="D4" s="2689"/>
      <c r="E4" s="2693"/>
      <c r="F4" s="1556" t="s">
        <v>2996</v>
      </c>
      <c r="G4" s="2694" t="s">
        <v>2997</v>
      </c>
      <c r="H4" s="907"/>
      <c r="I4" s="907"/>
      <c r="J4" s="907"/>
      <c r="K4" s="907"/>
      <c r="L4" s="907"/>
      <c r="M4" s="907"/>
      <c r="N4" s="907"/>
      <c r="O4" s="907"/>
      <c r="P4" s="907"/>
      <c r="Q4" s="907"/>
      <c r="R4" s="907"/>
    </row>
    <row r="5" spans="1:29" ht="36.75">
      <c r="A5" s="2666"/>
      <c r="B5" s="329" t="s">
        <v>2998</v>
      </c>
      <c r="C5" s="2692" t="s">
        <v>2999</v>
      </c>
      <c r="D5" s="2689"/>
      <c r="E5" s="2693"/>
      <c r="F5" s="329" t="s">
        <v>3000</v>
      </c>
      <c r="G5" s="2694" t="s">
        <v>3001</v>
      </c>
      <c r="H5" s="907"/>
      <c r="I5" s="907"/>
      <c r="J5" s="907"/>
      <c r="K5" s="907"/>
      <c r="L5" s="907"/>
      <c r="M5" s="907"/>
      <c r="N5" s="907"/>
      <c r="O5" s="907"/>
      <c r="P5" s="907"/>
      <c r="Q5" s="907"/>
      <c r="R5" s="907"/>
    </row>
    <row r="6" spans="1:29" ht="36">
      <c r="A6" s="2666"/>
      <c r="B6" s="329" t="s">
        <v>3002</v>
      </c>
      <c r="C6" s="2694" t="s">
        <v>2997</v>
      </c>
      <c r="D6" s="2689"/>
      <c r="E6" s="2693"/>
      <c r="F6" s="329" t="s">
        <v>3003</v>
      </c>
      <c r="G6" s="2694" t="s">
        <v>3004</v>
      </c>
      <c r="H6" s="907"/>
      <c r="I6" s="907"/>
      <c r="J6" s="907"/>
      <c r="K6" s="907"/>
      <c r="L6" s="907"/>
      <c r="M6" s="907"/>
      <c r="N6" s="907"/>
      <c r="O6" s="907"/>
      <c r="P6" s="907"/>
      <c r="Q6" s="907"/>
      <c r="R6" s="907"/>
    </row>
    <row r="7" spans="1:29" ht="24.75" thickBot="1">
      <c r="A7" s="2666"/>
      <c r="B7" s="329" t="s">
        <v>3000</v>
      </c>
      <c r="C7" s="2694" t="s">
        <v>3001</v>
      </c>
      <c r="D7" s="2695"/>
      <c r="E7" s="2696"/>
      <c r="F7" s="2697" t="s">
        <v>3005</v>
      </c>
      <c r="G7" s="2698" t="s">
        <v>3006</v>
      </c>
      <c r="H7" s="907"/>
      <c r="I7" s="907"/>
      <c r="J7" s="907"/>
      <c r="K7" s="907"/>
      <c r="L7" s="907"/>
      <c r="M7" s="907"/>
      <c r="N7" s="907"/>
      <c r="O7" s="907"/>
      <c r="P7" s="907"/>
      <c r="Q7" s="907"/>
      <c r="R7" s="907"/>
    </row>
    <row r="8" spans="1:29">
      <c r="A8" s="2666"/>
      <c r="B8" s="329" t="s">
        <v>3003</v>
      </c>
      <c r="C8" s="2694" t="s">
        <v>3004</v>
      </c>
      <c r="D8" s="2695"/>
      <c r="E8" s="2695"/>
      <c r="F8" s="2699"/>
      <c r="G8" s="2699"/>
      <c r="H8" s="907"/>
      <c r="I8" s="907"/>
      <c r="J8" s="907"/>
      <c r="K8" s="907"/>
      <c r="L8" s="907"/>
      <c r="M8" s="907"/>
      <c r="N8" s="907"/>
      <c r="O8" s="907"/>
      <c r="P8" s="907"/>
      <c r="Q8" s="907"/>
      <c r="R8" s="907"/>
    </row>
    <row r="9" spans="1:29" ht="24">
      <c r="A9" s="2666"/>
      <c r="B9" s="329" t="s">
        <v>3007</v>
      </c>
      <c r="C9" s="2692" t="s">
        <v>3008</v>
      </c>
      <c r="D9" s="2689"/>
      <c r="E9" s="2695"/>
      <c r="F9" s="2699"/>
      <c r="G9" s="2699"/>
      <c r="H9" s="907"/>
      <c r="I9" s="907"/>
      <c r="J9" s="907"/>
      <c r="K9" s="907"/>
      <c r="L9" s="907"/>
      <c r="M9" s="907"/>
      <c r="N9" s="907"/>
      <c r="O9" s="907"/>
      <c r="P9" s="907"/>
      <c r="Q9" s="907"/>
      <c r="R9" s="907"/>
    </row>
    <row r="10" spans="1:29" s="2705" customFormat="1" ht="15" thickBot="1">
      <c r="A10" s="2667"/>
      <c r="B10" s="2700" t="s">
        <v>3009</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3027</v>
      </c>
      <c r="B13" s="2708"/>
      <c r="C13" s="2708"/>
      <c r="D13" s="2706"/>
      <c r="E13" s="2708"/>
      <c r="F13" s="2708"/>
      <c r="G13" s="2708"/>
    </row>
    <row r="14" spans="1:29" ht="15" thickBot="1">
      <c r="A14" s="2718"/>
      <c r="B14" s="2718"/>
      <c r="C14" s="2719" t="s">
        <v>3010</v>
      </c>
      <c r="D14" s="2689"/>
      <c r="E14" s="2720"/>
      <c r="F14" s="2720"/>
      <c r="G14" s="2684" t="s">
        <v>3011</v>
      </c>
    </row>
    <row r="15" spans="1:29" ht="51">
      <c r="A15" s="2668" t="s">
        <v>3012</v>
      </c>
      <c r="B15" s="2721" t="s">
        <v>2992</v>
      </c>
      <c r="C15" s="2722" t="str">
        <f>C3</f>
        <v>估价对象周边居住用地比例、居住小区规模和社区发展完善程度，综合评价居住社区成熟度一般</v>
      </c>
      <c r="D15" s="2689"/>
      <c r="E15" s="2669" t="s">
        <v>3013</v>
      </c>
      <c r="F15" s="2721" t="s">
        <v>3014</v>
      </c>
      <c r="G15" s="2723" t="str">
        <f>G3</f>
        <v>估价对象位于XX开发区，园区建设成熟度XX，产业集聚程度XX</v>
      </c>
    </row>
    <row r="16" spans="1:29" ht="38.25">
      <c r="A16" s="2670"/>
      <c r="B16" s="2724" t="s">
        <v>2994</v>
      </c>
      <c r="C16" s="2725" t="str">
        <f>C4</f>
        <v>估价对象位于XX商圈，周边商业氛围成熟，人流量大，商业繁华度好</v>
      </c>
      <c r="D16" s="2689"/>
      <c r="E16" s="2671"/>
      <c r="F16" s="2726" t="s">
        <v>2996</v>
      </c>
      <c r="G16" s="2727" t="str">
        <f>G4</f>
        <v>估价对象周边道路状况、公共交通通达情况、停车便捷程度，综合评价交通便捷度较好</v>
      </c>
    </row>
    <row r="17" spans="1:18" ht="38.25">
      <c r="A17" s="2670"/>
      <c r="B17" s="2724" t="s">
        <v>2998</v>
      </c>
      <c r="C17" s="2725" t="str">
        <f>C5</f>
        <v>估价对象位于XX商圈，周边办公楼项目较多，入驻率高，办公集聚程度较好</v>
      </c>
      <c r="D17" s="2695"/>
      <c r="E17" s="2671"/>
      <c r="F17" s="2726" t="s">
        <v>3015</v>
      </c>
      <c r="G17" s="2728"/>
    </row>
    <row r="18" spans="1:18" ht="38.25">
      <c r="A18" s="2670"/>
      <c r="B18" s="2726" t="s">
        <v>3002</v>
      </c>
      <c r="C18" s="2727" t="str">
        <f>C6</f>
        <v>估价对象周边道路状况、公共交通通达情况、停车便捷程度，综合评价交通便捷度较好</v>
      </c>
      <c r="D18" s="2695"/>
      <c r="E18" s="2671"/>
      <c r="F18" s="2726" t="s">
        <v>3005</v>
      </c>
      <c r="G18" s="2727" t="str">
        <f>G7</f>
        <v>该园区内是否有污染型企业，绿化情况，卫生条件，整体环境状况判断</v>
      </c>
    </row>
    <row r="19" spans="1:18" ht="25.5">
      <c r="A19" s="2670"/>
      <c r="B19" s="2726" t="s">
        <v>3016</v>
      </c>
      <c r="C19" s="2728"/>
      <c r="D19" s="2689"/>
      <c r="E19" s="2671"/>
      <c r="F19" s="329" t="s">
        <v>3000</v>
      </c>
      <c r="G19" s="2727" t="str">
        <f>G5</f>
        <v>估价对象所在区域公共配套设施齐备情况</v>
      </c>
    </row>
    <row r="20" spans="1:18" ht="25.5">
      <c r="A20" s="2670"/>
      <c r="B20" s="2726" t="s">
        <v>3017</v>
      </c>
      <c r="C20" s="2725" t="str">
        <f>C9</f>
        <v>区域自然环境：；人文环境；综合评价环境状况一般</v>
      </c>
      <c r="D20" s="2695"/>
      <c r="E20" s="2671"/>
      <c r="F20" s="329" t="s">
        <v>3003</v>
      </c>
      <c r="G20" s="2727" t="str">
        <f>G6</f>
        <v>估价对象所在区域基础设施水平</v>
      </c>
    </row>
    <row r="21" spans="1:18" ht="25.5">
      <c r="A21" s="2670"/>
      <c r="B21" s="329" t="s">
        <v>3000</v>
      </c>
      <c r="C21" s="2727" t="str">
        <f>C7</f>
        <v>估价对象所在区域公共配套设施齐备情况</v>
      </c>
      <c r="D21" s="2689"/>
      <c r="E21" s="2671"/>
      <c r="F21" s="2726" t="s">
        <v>3018</v>
      </c>
      <c r="G21" s="2729"/>
    </row>
    <row r="22" spans="1:18" ht="13.5" customHeight="1">
      <c r="A22" s="2670"/>
      <c r="B22" s="329" t="s">
        <v>3003</v>
      </c>
      <c r="C22" s="2727" t="str">
        <f>C8</f>
        <v>估价对象所在区域基础设施水平</v>
      </c>
      <c r="D22" s="2689"/>
      <c r="E22" s="2671"/>
      <c r="F22" s="2726" t="s">
        <v>3009</v>
      </c>
      <c r="G22" s="2728"/>
    </row>
    <row r="23" spans="1:18" s="907" customFormat="1" ht="15" thickBot="1">
      <c r="A23" s="2670"/>
      <c r="B23" s="2726" t="s">
        <v>3018</v>
      </c>
      <c r="C23" s="2729"/>
      <c r="D23" s="1925"/>
      <c r="E23" s="2672"/>
      <c r="F23" s="2730" t="s">
        <v>3019</v>
      </c>
      <c r="G23" s="2731"/>
      <c r="H23" s="2715"/>
      <c r="I23" s="2716"/>
      <c r="J23" s="2715"/>
      <c r="K23" s="2715"/>
      <c r="L23" s="2716"/>
      <c r="M23" s="2715"/>
      <c r="N23" s="2715"/>
      <c r="O23" s="2716"/>
      <c r="P23" s="2715"/>
      <c r="Q23" s="2715"/>
      <c r="R23" s="2717"/>
    </row>
    <row r="24" spans="1:18" s="907" customFormat="1" ht="15" thickBot="1">
      <c r="A24" s="2673"/>
      <c r="B24" s="2730" t="s">
        <v>3020</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1324</v>
      </c>
      <c r="B1" s="2736">
        <f>SUM(B14:B23)</f>
        <v>38981.680000000008</v>
      </c>
      <c r="C1" s="2913"/>
      <c r="D1" s="2913"/>
      <c r="E1" s="2913"/>
      <c r="F1" s="2913"/>
      <c r="G1" s="2914"/>
      <c r="H1" s="2915"/>
      <c r="I1" s="2915"/>
      <c r="J1" s="2915"/>
      <c r="K1" s="2915"/>
    </row>
    <row r="2" spans="1:11" ht="16.5">
      <c r="A2" s="2736" t="s">
        <v>1312</v>
      </c>
      <c r="B2" s="2736">
        <f>SUM(C14:C23)</f>
        <v>155390.20000000001</v>
      </c>
      <c r="C2" s="2913"/>
      <c r="D2" s="2913"/>
      <c r="E2" s="2913"/>
      <c r="F2" s="2913"/>
      <c r="G2" s="2914"/>
      <c r="H2" s="2915"/>
      <c r="I2" s="2915"/>
      <c r="J2" s="2915"/>
      <c r="K2" s="2915"/>
    </row>
    <row r="3" spans="1:11" ht="16.5">
      <c r="A3" s="2736" t="s">
        <v>1321</v>
      </c>
      <c r="B3" s="2738">
        <f>项目基本情况!D3</f>
        <v>44322</v>
      </c>
      <c r="C3" s="2913"/>
      <c r="D3" s="2913"/>
      <c r="E3" s="2913"/>
      <c r="F3" s="2913"/>
      <c r="G3" s="2914"/>
      <c r="H3" s="2915"/>
      <c r="I3" s="2915"/>
      <c r="J3" s="2915"/>
      <c r="K3" s="2915"/>
    </row>
    <row r="4" spans="1:11" ht="33">
      <c r="A4" s="2736" t="s">
        <v>1320</v>
      </c>
      <c r="B4" s="2736" t="s">
        <v>1319</v>
      </c>
      <c r="C4" s="2736" t="s">
        <v>1318</v>
      </c>
      <c r="D4" s="2736" t="s">
        <v>1317</v>
      </c>
      <c r="E4" s="2913"/>
      <c r="F4" s="2914"/>
      <c r="G4" s="2914"/>
      <c r="H4" s="2915"/>
      <c r="I4" s="2915"/>
      <c r="J4" s="2915"/>
      <c r="K4" s="2915"/>
    </row>
    <row r="5" spans="1:11" ht="16.5">
      <c r="A5" s="2736" t="s">
        <v>1316</v>
      </c>
      <c r="B5" s="2736">
        <f ca="1">SUM(D14:D23)</f>
        <v>54591</v>
      </c>
      <c r="C5" s="2736">
        <f ca="1">ROUND(B5*10000/$B$1,0)</f>
        <v>14004</v>
      </c>
      <c r="D5" s="2736">
        <f ca="1">ROUND(B5*10000/$B$2,0)</f>
        <v>3513</v>
      </c>
      <c r="E5" s="2913"/>
      <c r="F5" s="2914"/>
      <c r="G5" s="2914"/>
      <c r="H5" s="2915"/>
      <c r="I5" s="2915"/>
      <c r="J5" s="2915"/>
      <c r="K5" s="2915"/>
    </row>
    <row r="6" spans="1:11" ht="16.5">
      <c r="A6" s="2736" t="s">
        <v>1315</v>
      </c>
      <c r="B6" s="2736">
        <f ca="1">SUM(G14:G23)</f>
        <v>54591</v>
      </c>
      <c r="C6" s="2736">
        <f ca="1">ROUND(B6*10000/$B$1,0)</f>
        <v>14004</v>
      </c>
      <c r="D6" s="2736">
        <f ca="1">ROUND(B6*10000/$B$2,0)</f>
        <v>3513</v>
      </c>
      <c r="E6" s="2913"/>
      <c r="F6" s="2914"/>
      <c r="G6" s="2914"/>
      <c r="H6" s="2915"/>
      <c r="I6" s="2915"/>
      <c r="J6" s="2915"/>
      <c r="K6" s="2915"/>
    </row>
    <row r="7" spans="1:11" ht="16.5">
      <c r="A7" s="2736" t="s">
        <v>1323</v>
      </c>
      <c r="B7" s="2736">
        <f>SUM(H14:H23)</f>
        <v>0</v>
      </c>
      <c r="C7" s="2736">
        <f>ROUND(B7*10000/$B$1,0)</f>
        <v>0</v>
      </c>
      <c r="D7" s="2736">
        <f>ROUND(B7*10000/$B$2,0)</f>
        <v>0</v>
      </c>
      <c r="E7" s="2913"/>
      <c r="F7" s="2914"/>
      <c r="G7" s="2914"/>
      <c r="H7" s="2915"/>
      <c r="I7" s="2915"/>
      <c r="J7" s="2915"/>
      <c r="K7" s="2915"/>
    </row>
    <row r="8" spans="1:11" ht="16.5">
      <c r="A8" s="2736" t="s">
        <v>1245</v>
      </c>
      <c r="B8" s="2736">
        <f ca="1">SUM(I14:I23)</f>
        <v>23146</v>
      </c>
      <c r="C8" s="2736">
        <f ca="1">ROUND(B8*10000/$B$1,0)</f>
        <v>5938</v>
      </c>
      <c r="D8" s="2736">
        <f ca="1">ROUND(B8*10000/$B$2,0)</f>
        <v>1490</v>
      </c>
      <c r="E8" s="2913"/>
      <c r="F8" s="2914"/>
      <c r="G8" s="2914"/>
      <c r="H8" s="2915"/>
      <c r="I8" s="2915"/>
      <c r="J8" s="2915"/>
      <c r="K8" s="2915"/>
    </row>
    <row r="9" spans="1:11" ht="16.5">
      <c r="A9" s="2736" t="s">
        <v>1314</v>
      </c>
      <c r="B9" s="2744"/>
      <c r="C9" s="2913"/>
      <c r="D9" s="2913"/>
      <c r="E9" s="2913"/>
      <c r="F9" s="2914"/>
      <c r="G9" s="2914"/>
      <c r="H9" s="2915"/>
      <c r="I9" s="2915"/>
      <c r="J9" s="2915"/>
      <c r="K9" s="2915"/>
    </row>
    <row r="10" spans="1:11" ht="16.5">
      <c r="A10" s="2736" t="s">
        <v>1313</v>
      </c>
      <c r="B10" s="2744"/>
      <c r="C10" s="2913"/>
      <c r="D10" s="2913"/>
      <c r="E10" s="2913"/>
      <c r="F10" s="2914"/>
      <c r="G10" s="2914"/>
      <c r="H10" s="2915"/>
      <c r="I10" s="2915"/>
      <c r="J10" s="2915"/>
      <c r="K10" s="2915"/>
    </row>
    <row r="11" spans="1:11" ht="16.5">
      <c r="A11" s="2736" t="s">
        <v>1329</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1328</v>
      </c>
      <c r="B13" s="2740" t="s">
        <v>1325</v>
      </c>
      <c r="C13" s="2740" t="s">
        <v>1327</v>
      </c>
      <c r="D13" s="2740" t="s">
        <v>1326</v>
      </c>
      <c r="E13" s="2736" t="s">
        <v>1318</v>
      </c>
      <c r="F13" s="2736" t="s">
        <v>1317</v>
      </c>
      <c r="G13" s="2740" t="s">
        <v>1311</v>
      </c>
      <c r="H13" s="2740" t="s">
        <v>1322</v>
      </c>
      <c r="I13" s="2740" t="s">
        <v>1310</v>
      </c>
      <c r="J13" s="2914"/>
      <c r="K13" s="2915"/>
    </row>
    <row r="14" spans="1:11" ht="16.5">
      <c r="A14" s="2741" t="s">
        <v>1309</v>
      </c>
      <c r="B14" s="2742">
        <f>结果表!B118</f>
        <v>38981.680000000008</v>
      </c>
      <c r="C14" s="2742">
        <f>结果表!C118</f>
        <v>155390.20000000001</v>
      </c>
      <c r="D14" s="2742">
        <f ca="1">结果表!H118</f>
        <v>54591</v>
      </c>
      <c r="E14" s="2742">
        <f ca="1">ROUND(D14*10000/B14,0)</f>
        <v>14004</v>
      </c>
      <c r="F14" s="2742">
        <f ca="1">ROUND(D14*10000/C14,0)</f>
        <v>3513</v>
      </c>
      <c r="G14" s="2742">
        <f ca="1">结果表!D122</f>
        <v>54591</v>
      </c>
      <c r="H14" s="2742" t="str">
        <f>结果表!D124</f>
        <v>——</v>
      </c>
      <c r="I14" s="2742">
        <f ca="1">结果表!D126</f>
        <v>23146</v>
      </c>
      <c r="J14" s="2914"/>
      <c r="K14" s="2915"/>
    </row>
    <row r="15" spans="1:11" ht="16.5">
      <c r="A15" s="2741" t="s">
        <v>1308</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1307</v>
      </c>
      <c r="B16" s="2743"/>
      <c r="C16" s="2743"/>
      <c r="D16" s="2743"/>
      <c r="E16" s="2742" t="e">
        <f t="shared" si="0"/>
        <v>#DIV/0!</v>
      </c>
      <c r="F16" s="2742" t="e">
        <f t="shared" si="1"/>
        <v>#DIV/0!</v>
      </c>
      <c r="G16" s="1499"/>
      <c r="H16" s="1499"/>
      <c r="I16" s="2743"/>
      <c r="J16" s="2915"/>
      <c r="K16" s="2915"/>
    </row>
    <row r="17" spans="1:11" ht="16.5">
      <c r="A17" s="2741" t="s">
        <v>1306</v>
      </c>
      <c r="B17" s="2743"/>
      <c r="C17" s="2743"/>
      <c r="D17" s="2743"/>
      <c r="E17" s="2742" t="e">
        <f t="shared" si="0"/>
        <v>#DIV/0!</v>
      </c>
      <c r="F17" s="2742" t="e">
        <f t="shared" si="1"/>
        <v>#DIV/0!</v>
      </c>
      <c r="G17" s="1499"/>
      <c r="H17" s="1499"/>
      <c r="I17" s="2743"/>
      <c r="J17" s="2915"/>
      <c r="K17" s="2915"/>
    </row>
    <row r="18" spans="1:11" ht="16.5">
      <c r="A18" s="2741" t="s">
        <v>1305</v>
      </c>
      <c r="B18" s="2743"/>
      <c r="C18" s="2743"/>
      <c r="D18" s="2743"/>
      <c r="E18" s="2742" t="e">
        <f t="shared" si="0"/>
        <v>#DIV/0!</v>
      </c>
      <c r="F18" s="2742" t="e">
        <f t="shared" si="1"/>
        <v>#DIV/0!</v>
      </c>
      <c r="G18" s="2743"/>
      <c r="H18" s="2743"/>
      <c r="I18" s="2743"/>
      <c r="J18" s="2915"/>
      <c r="K18" s="2915"/>
    </row>
    <row r="19" spans="1:11" ht="16.5">
      <c r="A19" s="2741" t="s">
        <v>1304</v>
      </c>
      <c r="B19" s="2743"/>
      <c r="C19" s="2743"/>
      <c r="D19" s="2743"/>
      <c r="E19" s="2742" t="e">
        <f t="shared" si="0"/>
        <v>#DIV/0!</v>
      </c>
      <c r="F19" s="2742" t="e">
        <f t="shared" si="1"/>
        <v>#DIV/0!</v>
      </c>
      <c r="G19" s="2743"/>
      <c r="H19" s="2743"/>
      <c r="I19" s="2743"/>
      <c r="J19" s="2915"/>
      <c r="K19" s="2915"/>
    </row>
    <row r="20" spans="1:11" ht="16.5">
      <c r="A20" s="2741" t="s">
        <v>1303</v>
      </c>
      <c r="B20" s="2743"/>
      <c r="C20" s="2743"/>
      <c r="D20" s="2743"/>
      <c r="E20" s="2742" t="e">
        <f t="shared" si="0"/>
        <v>#DIV/0!</v>
      </c>
      <c r="F20" s="2742" t="e">
        <f t="shared" si="1"/>
        <v>#DIV/0!</v>
      </c>
      <c r="G20" s="2743"/>
      <c r="H20" s="2743"/>
      <c r="I20" s="2743"/>
      <c r="J20" s="2915"/>
      <c r="K20" s="2915"/>
    </row>
    <row r="21" spans="1:11" ht="16.5">
      <c r="A21" s="2741" t="s">
        <v>1302</v>
      </c>
      <c r="B21" s="2743"/>
      <c r="C21" s="2743"/>
      <c r="D21" s="2743"/>
      <c r="E21" s="2742" t="e">
        <f t="shared" si="0"/>
        <v>#DIV/0!</v>
      </c>
      <c r="F21" s="2742" t="e">
        <f t="shared" si="1"/>
        <v>#DIV/0!</v>
      </c>
      <c r="G21" s="2743"/>
      <c r="H21" s="2743"/>
      <c r="I21" s="2743"/>
      <c r="J21" s="2915"/>
      <c r="K21" s="2915"/>
    </row>
    <row r="22" spans="1:11" ht="16.5">
      <c r="A22" s="2741" t="s">
        <v>1301</v>
      </c>
      <c r="B22" s="2743"/>
      <c r="C22" s="2743"/>
      <c r="D22" s="2743"/>
      <c r="E22" s="2742" t="e">
        <f t="shared" si="0"/>
        <v>#DIV/0!</v>
      </c>
      <c r="F22" s="2742" t="e">
        <f t="shared" si="1"/>
        <v>#DIV/0!</v>
      </c>
      <c r="G22" s="2743"/>
      <c r="H22" s="2743"/>
      <c r="I22" s="2743"/>
      <c r="J22" s="2915"/>
      <c r="K22" s="2915"/>
    </row>
    <row r="23" spans="1:11" ht="16.5">
      <c r="A23" s="2741" t="s">
        <v>1300</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Normal="100" zoomScaleSheetLayoutView="100" zoomScalePageLayoutView="80" workbookViewId="0">
      <selection activeCell="D17" sqref="D17"/>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1941</v>
      </c>
      <c r="B1" s="1931"/>
      <c r="C1" s="1932"/>
      <c r="D1" s="1931"/>
      <c r="E1" s="1931"/>
      <c r="F1" s="1933" t="s">
        <v>1942</v>
      </c>
      <c r="G1" s="1745"/>
      <c r="H1" s="1934" t="str">
        <f>IF(G1="现房","——","估价对象范围")</f>
        <v>估价对象范围</v>
      </c>
      <c r="I1" s="1935"/>
    </row>
    <row r="2" spans="1:12" ht="21.75" customHeight="1" thickBot="1">
      <c r="A2" s="3200" t="str">
        <f>项目基本情况!S2</f>
        <v>房地产</v>
      </c>
      <c r="B2" s="3201"/>
      <c r="C2" s="3201"/>
      <c r="D2" s="3201"/>
      <c r="E2" s="3201"/>
      <c r="F2" s="3201"/>
      <c r="G2" s="3201"/>
      <c r="H2" s="3201"/>
      <c r="I2" s="3202"/>
    </row>
    <row r="3" spans="1:12" ht="12.75">
      <c r="A3" s="3204" t="s">
        <v>1943</v>
      </c>
      <c r="B3" s="3205"/>
      <c r="C3" s="3205"/>
      <c r="D3" s="3205"/>
      <c r="E3" s="3205"/>
      <c r="F3" s="3205"/>
      <c r="G3" s="3205"/>
      <c r="H3" s="3205"/>
      <c r="I3" s="3205"/>
    </row>
    <row r="4" spans="1:12" ht="14.25">
      <c r="A4" s="1938" t="s">
        <v>1944</v>
      </c>
      <c r="B4" s="1939" t="s">
        <v>1945</v>
      </c>
      <c r="C4" s="1940" t="s">
        <v>3217</v>
      </c>
      <c r="D4" s="1940" t="s">
        <v>3093</v>
      </c>
      <c r="E4" s="3206" t="s">
        <v>1946</v>
      </c>
      <c r="F4" s="3207"/>
      <c r="G4" s="3207"/>
      <c r="H4" s="3207"/>
      <c r="I4" s="32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0" t="s">
        <v>1947</v>
      </c>
      <c r="B5" s="3167">
        <v>25</v>
      </c>
      <c r="C5" s="3183"/>
      <c r="D5" s="3203"/>
      <c r="E5" s="136" t="s">
        <v>1948</v>
      </c>
      <c r="F5" s="1941"/>
      <c r="G5" s="1941"/>
      <c r="H5" s="1941"/>
      <c r="I5" s="1556"/>
    </row>
    <row r="6" spans="1:12" ht="12.75">
      <c r="A6" s="3180"/>
      <c r="B6" s="3167"/>
      <c r="C6" s="3184"/>
      <c r="D6" s="3203"/>
      <c r="E6" s="136" t="s">
        <v>1949</v>
      </c>
      <c r="F6" s="1941"/>
      <c r="G6" s="1941"/>
      <c r="H6" s="1941"/>
      <c r="I6" s="1556"/>
    </row>
    <row r="7" spans="1:12" ht="12.75">
      <c r="A7" s="3180"/>
      <c r="B7" s="3167"/>
      <c r="C7" s="3185"/>
      <c r="D7" s="3203"/>
      <c r="E7" s="136" t="s">
        <v>1950</v>
      </c>
      <c r="F7" s="1941"/>
      <c r="G7" s="1941"/>
      <c r="H7" s="1941"/>
      <c r="I7" s="1556"/>
    </row>
    <row r="8" spans="1:12" ht="12.75">
      <c r="A8" s="3180" t="s">
        <v>1951</v>
      </c>
      <c r="B8" s="3167">
        <v>15</v>
      </c>
      <c r="C8" s="3183"/>
      <c r="D8" s="3203"/>
      <c r="E8" s="136" t="s">
        <v>1952</v>
      </c>
      <c r="F8" s="1941"/>
      <c r="G8" s="1941"/>
      <c r="H8" s="1941"/>
      <c r="I8" s="1556"/>
    </row>
    <row r="9" spans="1:12" ht="12.75">
      <c r="A9" s="3180"/>
      <c r="B9" s="3167"/>
      <c r="C9" s="3185"/>
      <c r="D9" s="3203"/>
      <c r="E9" s="136" t="s">
        <v>1953</v>
      </c>
      <c r="F9" s="1941"/>
      <c r="G9" s="1941"/>
      <c r="H9" s="1941"/>
      <c r="I9" s="1556"/>
    </row>
    <row r="10" spans="1:12" ht="12.75">
      <c r="A10" s="3180" t="s">
        <v>1954</v>
      </c>
      <c r="B10" s="3167">
        <v>15</v>
      </c>
      <c r="C10" s="3183"/>
      <c r="D10" s="3203"/>
      <c r="E10" s="136" t="s">
        <v>1955</v>
      </c>
      <c r="F10" s="1941"/>
      <c r="G10" s="1941"/>
      <c r="H10" s="1941"/>
      <c r="I10" s="1556"/>
    </row>
    <row r="11" spans="1:12" ht="12.75">
      <c r="A11" s="3180"/>
      <c r="B11" s="3167"/>
      <c r="C11" s="3185"/>
      <c r="D11" s="3203"/>
      <c r="E11" s="136" t="s">
        <v>1956</v>
      </c>
      <c r="F11" s="1941"/>
      <c r="G11" s="1941"/>
      <c r="H11" s="1941"/>
      <c r="I11" s="1556"/>
    </row>
    <row r="12" spans="1:12" ht="12.75">
      <c r="A12" s="3180" t="s">
        <v>1957</v>
      </c>
      <c r="B12" s="3167">
        <v>15</v>
      </c>
      <c r="C12" s="3183"/>
      <c r="D12" s="3203"/>
      <c r="E12" s="136" t="s">
        <v>1958</v>
      </c>
      <c r="F12" s="1941"/>
      <c r="G12" s="1941"/>
      <c r="H12" s="1941"/>
      <c r="I12" s="1556"/>
    </row>
    <row r="13" spans="1:12" ht="12.75">
      <c r="A13" s="3180"/>
      <c r="B13" s="3167"/>
      <c r="C13" s="3185"/>
      <c r="D13" s="3203"/>
      <c r="E13" s="136" t="s">
        <v>1959</v>
      </c>
      <c r="F13" s="1941"/>
      <c r="G13" s="1941"/>
      <c r="H13" s="1941"/>
      <c r="I13" s="1556"/>
    </row>
    <row r="14" spans="1:12" ht="12.75">
      <c r="A14" s="3180" t="s">
        <v>1960</v>
      </c>
      <c r="B14" s="3167">
        <v>30</v>
      </c>
      <c r="C14" s="3183">
        <v>6</v>
      </c>
      <c r="D14" s="3203">
        <v>4</v>
      </c>
      <c r="E14" s="136" t="s">
        <v>1961</v>
      </c>
      <c r="F14" s="1941"/>
      <c r="G14" s="1941"/>
      <c r="H14" s="1941"/>
      <c r="I14" s="1556"/>
    </row>
    <row r="15" spans="1:12" ht="12.75">
      <c r="A15" s="3180"/>
      <c r="B15" s="3167"/>
      <c r="C15" s="3184"/>
      <c r="D15" s="3203"/>
      <c r="E15" s="136" t="s">
        <v>1962</v>
      </c>
      <c r="F15" s="1941"/>
      <c r="G15" s="1941"/>
      <c r="H15" s="1941"/>
      <c r="I15" s="1556"/>
    </row>
    <row r="16" spans="1:12" ht="12.75">
      <c r="A16" s="3180"/>
      <c r="B16" s="3167"/>
      <c r="C16" s="3185"/>
      <c r="D16" s="3203"/>
      <c r="E16" s="136" t="s">
        <v>1963</v>
      </c>
      <c r="F16" s="1941"/>
      <c r="G16" s="1941"/>
      <c r="H16" s="1941"/>
      <c r="I16" s="1556"/>
    </row>
    <row r="17" spans="1:36" ht="15">
      <c r="A17" s="1942" t="s">
        <v>1964</v>
      </c>
      <c r="B17" s="60"/>
      <c r="C17" s="137">
        <f>SUM(C5:C16)</f>
        <v>6</v>
      </c>
      <c r="D17" s="137">
        <f>SUM(D5:D16)</f>
        <v>4</v>
      </c>
      <c r="E17" s="134"/>
      <c r="F17" s="134"/>
      <c r="G17" s="134"/>
      <c r="H17" s="134"/>
      <c r="I17" s="134"/>
      <c r="K17" s="308"/>
      <c r="L17" s="308" t="s">
        <v>1965</v>
      </c>
      <c r="M17" s="308" t="s">
        <v>1966</v>
      </c>
    </row>
    <row r="18" spans="1:36" ht="31.9" customHeight="1" thickBot="1">
      <c r="A18" s="1943" t="s">
        <v>1967</v>
      </c>
      <c r="B18" s="1944"/>
      <c r="C18" s="138">
        <f>ROUND(C17/SUM(C17:D17),2)</f>
        <v>0.6</v>
      </c>
      <c r="D18" s="138">
        <f>1-C18</f>
        <v>0.4</v>
      </c>
      <c r="E18" s="3190" t="s">
        <v>2867</v>
      </c>
      <c r="F18" s="3191"/>
      <c r="G18" s="3191"/>
      <c r="H18" s="3191"/>
      <c r="I18" s="3191"/>
      <c r="K18" s="308" t="s">
        <v>1968</v>
      </c>
      <c r="L18" s="308">
        <f>IF(C1="",'数据-汇总表'!E3,SUMIF(项目类型,C1,'数据-汇总表'!E17:E26)+SUMIF(项目类型,C1,'数据-汇总表'!I17:I26))</f>
        <v>38981.680000000008</v>
      </c>
      <c r="M18" s="308">
        <f>IF(C1="",'数据-汇总表'!E3,SUMIF(项目类型,C1,'数据-汇总表'!E17:E26))</f>
        <v>38981.680000000008</v>
      </c>
    </row>
    <row r="19" spans="1:36" ht="15">
      <c r="A19" s="1945" t="s">
        <v>1969</v>
      </c>
      <c r="B19" s="1946" t="s">
        <v>1970</v>
      </c>
      <c r="C19" s="139">
        <f ca="1">SUMIF(INDIRECT("'"&amp;C4&amp;"'"&amp;"!A:A"),结果表!B19,INDIRECT("'"&amp;C4&amp;"'"&amp;"!B:B"))</f>
        <v>66274</v>
      </c>
      <c r="D19" s="140">
        <f ca="1">SUMIF(INDIRECT("'"&amp;D4&amp;"'"&amp;"!A:A"),结果表!B19,INDIRECT("'"&amp;D4&amp;"'"&amp;"!B:B"))</f>
        <v>37067</v>
      </c>
      <c r="E19" s="1945" t="s">
        <v>1971</v>
      </c>
      <c r="F19" s="1946" t="s">
        <v>1970</v>
      </c>
      <c r="G19" s="141">
        <f ca="1">ROUND(C19*$C$18+D19*$D$18,0)</f>
        <v>54591</v>
      </c>
      <c r="H19" s="1947" t="s">
        <v>1972</v>
      </c>
      <c r="I19" s="134"/>
      <c r="K19" s="308" t="s">
        <v>1973</v>
      </c>
      <c r="L19" s="308">
        <f>IF(C1="",'数据-汇总表'!D3,SUMIF(项目类型,C1,'数据-汇总表'!D17:D26)+SUMIF(项目类型,C1,'数据-汇总表'!H17:H27))</f>
        <v>155390.20000000001</v>
      </c>
      <c r="M19" s="308">
        <f>IF(C1="",'数据-汇总表'!D3,SUMIF(项目类型,C1,'数据-汇总表'!D17:D26))</f>
        <v>155390.20000000001</v>
      </c>
    </row>
    <row r="20" spans="1:36" ht="15">
      <c r="A20" s="1948"/>
      <c r="B20" s="1157" t="s">
        <v>1974</v>
      </c>
      <c r="C20" s="142">
        <f ca="1">SUMIF(INDIRECT("'"&amp;C4&amp;"'"&amp;"!A:A"),结果表!B20,INDIRECT("'"&amp;C4&amp;"'"&amp;"!B:B"))</f>
        <v>17001</v>
      </c>
      <c r="D20" s="143">
        <f ca="1">SUMIF(INDIRECT("'"&amp;D4&amp;"'"&amp;"!A:A"),结果表!B20,INDIRECT("'"&amp;D4&amp;"'"&amp;"!B:B"))</f>
        <v>9509</v>
      </c>
      <c r="E20" s="1948"/>
      <c r="F20" s="1157" t="s">
        <v>1974</v>
      </c>
      <c r="G20" s="144">
        <f ca="1">ROUND(C20*$C$18+D20*$D$18,0)</f>
        <v>14004</v>
      </c>
      <c r="H20" s="917" t="s">
        <v>1975</v>
      </c>
      <c r="I20" s="134"/>
    </row>
    <row r="21" spans="1:36" ht="15" customHeight="1" thickBot="1">
      <c r="A21" s="937"/>
      <c r="B21" s="1949" t="s">
        <v>1976</v>
      </c>
      <c r="C21" s="728">
        <f ca="1">ROUND(C19*10000/L19,0)</f>
        <v>4265</v>
      </c>
      <c r="D21" s="729">
        <f ca="1">ROUND(D19*10000/L19,0)</f>
        <v>2385</v>
      </c>
      <c r="E21" s="937"/>
      <c r="F21" s="1949" t="s">
        <v>1976</v>
      </c>
      <c r="G21" s="145">
        <f ca="1">ROUND(G19*10000/L19,0)</f>
        <v>3513</v>
      </c>
      <c r="H21" s="1950" t="s">
        <v>1975</v>
      </c>
      <c r="I21" s="134"/>
    </row>
    <row r="22" spans="1:36" ht="15" thickBot="1">
      <c r="A22" s="1873" t="s">
        <v>1977</v>
      </c>
      <c r="B22" s="1951"/>
      <c r="C22" s="1952"/>
      <c r="D22" s="730">
        <f ca="1">IF(C19&lt;D19,D19/C19-1,C19/D19-1)</f>
        <v>0.7879515471983165</v>
      </c>
      <c r="E22" s="134"/>
      <c r="F22" s="134"/>
      <c r="G22" s="134"/>
      <c r="H22" s="134"/>
      <c r="I22" s="134"/>
    </row>
    <row r="23" spans="1:36" ht="13.5" thickBot="1">
      <c r="A23" s="1931"/>
      <c r="B23" s="1931"/>
      <c r="C23" s="1931"/>
      <c r="D23" s="1931"/>
      <c r="E23" s="134"/>
      <c r="F23" s="134"/>
      <c r="G23" s="134"/>
      <c r="H23" s="134"/>
      <c r="I23" s="134"/>
    </row>
    <row r="24" spans="1:36" ht="14.25">
      <c r="A24" s="3174" t="s">
        <v>1978</v>
      </c>
      <c r="B24" s="1946" t="s">
        <v>1970</v>
      </c>
      <c r="C24" s="141">
        <f>IF(B30=0,0,D30)</f>
        <v>0</v>
      </c>
      <c r="D24" s="1953"/>
      <c r="E24" s="134"/>
      <c r="F24" s="134"/>
      <c r="G24" s="134"/>
      <c r="H24" s="134"/>
      <c r="I24" s="134"/>
    </row>
    <row r="25" spans="1:36" ht="14.25">
      <c r="A25" s="3175"/>
      <c r="B25" s="1157" t="s">
        <v>1974</v>
      </c>
      <c r="C25" s="146">
        <f>IF(B30=0,0,C30)</f>
        <v>0</v>
      </c>
      <c r="D25" s="1954"/>
      <c r="E25" s="134"/>
      <c r="F25" s="134"/>
      <c r="G25" s="134"/>
      <c r="H25" s="134"/>
      <c r="I25" s="134"/>
    </row>
    <row r="26" spans="1:36" ht="13.5" customHeight="1">
      <c r="A26" s="1955" t="s">
        <v>1979</v>
      </c>
      <c r="B26" s="147" t="s">
        <v>1980</v>
      </c>
      <c r="C26" s="147" t="s">
        <v>1981</v>
      </c>
      <c r="D26" s="148" t="s">
        <v>1982</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1983</v>
      </c>
      <c r="B30" s="147"/>
      <c r="C30" s="147"/>
      <c r="D30" s="147"/>
      <c r="E30" s="2519" t="s">
        <v>2868</v>
      </c>
      <c r="F30" s="134"/>
      <c r="G30" s="134"/>
      <c r="H30" s="134"/>
      <c r="I30" s="134"/>
    </row>
    <row r="31" spans="1:36" s="2525" customFormat="1" ht="26.45" customHeight="1" thickTop="1" thickBot="1">
      <c r="A31" s="2520"/>
      <c r="B31" s="2521"/>
      <c r="C31" s="2521"/>
      <c r="D31" s="2521"/>
      <c r="E31" s="2521"/>
      <c r="F31" s="2521"/>
      <c r="G31" s="2521"/>
      <c r="H31" s="2521"/>
      <c r="I31" s="2522" t="s">
        <v>2869</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1984</v>
      </c>
      <c r="B32" s="1958"/>
      <c r="C32" s="149">
        <f ca="1">IF(D32="总价",G19-C24,G20-C25)</f>
        <v>54591</v>
      </c>
      <c r="D32" s="1959" t="s">
        <v>3219</v>
      </c>
      <c r="E32" s="134"/>
      <c r="F32" s="134"/>
      <c r="G32" s="134"/>
      <c r="H32" s="134"/>
      <c r="I32" s="134"/>
    </row>
    <row r="33" spans="1:15" ht="15">
      <c r="A33" s="894" t="s">
        <v>1985</v>
      </c>
      <c r="B33" s="1960"/>
      <c r="C33" s="1961" t="s">
        <v>3220</v>
      </c>
      <c r="D33" s="1962" t="s">
        <v>3217</v>
      </c>
      <c r="E33" s="1963" t="s">
        <v>1986</v>
      </c>
      <c r="F33" s="1964" t="str">
        <f>IF(D32="楼面单价","取值（单价）","取值（总价）")</f>
        <v>取值（总价）</v>
      </c>
      <c r="G33" s="134"/>
      <c r="H33" s="134"/>
      <c r="I33" s="134"/>
    </row>
    <row r="34" spans="1:15" ht="15">
      <c r="A34" s="1965"/>
      <c r="B34" s="1966" t="s">
        <v>1987</v>
      </c>
      <c r="C34" s="153">
        <f ca="1">IF(C33="自定义",F34,C32-C35)</f>
        <v>17251</v>
      </c>
      <c r="D34" s="970">
        <f ca="1">IF(C33="自定义",ROUND(C34/C32,3),IF(C33="收益比率",SUMIF(INDIRECT("'"&amp;D33&amp;"'"&amp;"!b:b"),"土地收益比率",INDIRECT("'"&amp;D33&amp;"'"&amp;"!c:c")),SUMIF(INDIRECT("'"&amp;D33&amp;"'"&amp;"!b:b"),"土地成本比率",INDIRECT("'"&amp;D33&amp;"'"&amp;"!c:c"))))</f>
        <v>0.31599999999999995</v>
      </c>
      <c r="E34" s="1967" t="s">
        <v>1988</v>
      </c>
      <c r="F34" s="1497"/>
      <c r="G34" s="134"/>
      <c r="H34" s="134"/>
      <c r="I34" s="134"/>
    </row>
    <row r="35" spans="1:15" ht="15.75" thickBot="1">
      <c r="A35" s="1968"/>
      <c r="B35" s="1969" t="s">
        <v>1989</v>
      </c>
      <c r="C35" s="1332">
        <f ca="1">IF(C33="自定义",F35,ROUND(C32*D35,0))</f>
        <v>37340</v>
      </c>
      <c r="D35" s="1333">
        <f ca="1">IF(C33="自定义",ROUND(C35/C32,3),IF(C33="收益比率",SUMIF(INDIRECT("'"&amp;D33&amp;"'"&amp;"!b:b"),"建筑物收益比率",INDIRECT("'"&amp;D33&amp;"'"&amp;"!c:c")),SUMIF(INDIRECT("'"&amp;D33&amp;"'"&amp;"!b:b"),"建筑物成本比率",INDIRECT("'"&amp;D33&amp;"'"&amp;"!c:c"))))</f>
        <v>0.68400000000000005</v>
      </c>
      <c r="E35" s="1970" t="s">
        <v>1990</v>
      </c>
      <c r="F35" s="159"/>
      <c r="G35" s="134"/>
      <c r="H35" s="134"/>
      <c r="I35" s="134"/>
    </row>
    <row r="36" spans="1:15" ht="15.75" thickBot="1">
      <c r="A36" s="3194" t="s">
        <v>1991</v>
      </c>
      <c r="B36" s="1971" t="s">
        <v>1992</v>
      </c>
      <c r="C36" s="150"/>
      <c r="D36" s="1972"/>
      <c r="E36" s="1973"/>
      <c r="F36" s="1974"/>
      <c r="G36" s="134"/>
      <c r="H36" s="134"/>
      <c r="I36" s="134"/>
    </row>
    <row r="37" spans="1:15" ht="15.75" thickBot="1">
      <c r="A37" s="3195"/>
      <c r="B37" s="1859" t="s">
        <v>1993</v>
      </c>
      <c r="C37" s="152"/>
      <c r="D37" s="1301"/>
      <c r="E37" s="1301"/>
      <c r="F37" s="1974"/>
      <c r="G37" s="134"/>
      <c r="H37" s="134"/>
      <c r="I37" s="134"/>
    </row>
    <row r="38" spans="1:15" ht="15.75" thickBot="1">
      <c r="A38" s="3196"/>
      <c r="B38" s="1975" t="s">
        <v>1994</v>
      </c>
      <c r="C38" s="683"/>
      <c r="D38" s="1976" t="s">
        <v>1995</v>
      </c>
      <c r="E38" s="1301"/>
      <c r="F38" s="1974"/>
      <c r="G38" s="134"/>
      <c r="H38" s="134"/>
      <c r="I38" s="134"/>
    </row>
    <row r="39" spans="1:15" ht="15">
      <c r="A39" s="1948" t="s">
        <v>1996</v>
      </c>
      <c r="B39" s="1977" t="s">
        <v>1997</v>
      </c>
      <c r="C39" s="1978" t="s">
        <v>1998</v>
      </c>
      <c r="D39" s="1978" t="s">
        <v>1999</v>
      </c>
      <c r="E39" s="1979" t="s">
        <v>2000</v>
      </c>
      <c r="F39" s="1974"/>
      <c r="G39" s="134"/>
      <c r="H39" s="134"/>
      <c r="I39" s="134"/>
    </row>
    <row r="40" spans="1:15" ht="14.25">
      <c r="A40" s="1980" t="s">
        <v>2001</v>
      </c>
      <c r="B40" s="154"/>
      <c r="C40" s="155"/>
      <c r="D40" s="155"/>
      <c r="E40" s="156"/>
      <c r="F40" s="1974"/>
      <c r="G40" s="134"/>
      <c r="H40" s="134"/>
      <c r="I40" s="134"/>
    </row>
    <row r="41" spans="1:15" ht="14.25">
      <c r="A41" s="1980" t="s">
        <v>2002</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2003</v>
      </c>
      <c r="B44" s="1985"/>
      <c r="C44" s="1985"/>
      <c r="D44" s="1986"/>
      <c r="E44" s="1986"/>
      <c r="F44" s="1987"/>
      <c r="G44" s="1987"/>
      <c r="H44" s="1987"/>
      <c r="I44" s="1987"/>
      <c r="J44" s="1988" t="s">
        <v>2004</v>
      </c>
      <c r="K44" s="1989"/>
      <c r="L44" s="1989"/>
      <c r="M44" s="1989"/>
      <c r="N44" s="1989"/>
      <c r="O44" s="1989"/>
    </row>
    <row r="45" spans="1:15" ht="14.25" customHeight="1" thickBot="1">
      <c r="A45" s="3171" t="s">
        <v>2005</v>
      </c>
      <c r="B45" s="3172"/>
      <c r="C45" s="3173"/>
      <c r="D45" s="160">
        <f ca="1">ROUND(H101*F45,0)</f>
        <v>54591</v>
      </c>
      <c r="E45" s="161" t="s">
        <v>2006</v>
      </c>
      <c r="F45" s="162">
        <v>1</v>
      </c>
      <c r="G45" s="163" t="s">
        <v>2007</v>
      </c>
      <c r="H45" s="134"/>
      <c r="I45" s="134"/>
      <c r="J45" s="3252" t="s">
        <v>2008</v>
      </c>
      <c r="K45" s="3252"/>
      <c r="L45" s="3252"/>
      <c r="M45" s="3252"/>
      <c r="N45" s="3252"/>
      <c r="O45" s="3252"/>
    </row>
    <row r="46" spans="1:15" ht="14.25" customHeight="1">
      <c r="A46" s="3168" t="s">
        <v>2009</v>
      </c>
      <c r="B46" s="3169"/>
      <c r="C46" s="3169"/>
      <c r="D46" s="3169"/>
      <c r="E46" s="3169"/>
      <c r="F46" s="3169"/>
      <c r="G46" s="3170"/>
      <c r="H46" s="1990"/>
      <c r="I46" s="164"/>
      <c r="J46" s="2747">
        <v>1</v>
      </c>
      <c r="K46" s="3233" t="s">
        <v>2010</v>
      </c>
      <c r="L46" s="3233"/>
      <c r="M46" s="3253"/>
      <c r="N46" s="3253"/>
      <c r="O46" s="3253"/>
    </row>
    <row r="47" spans="1:15" ht="12" customHeight="1">
      <c r="A47" s="165" t="s">
        <v>2011</v>
      </c>
      <c r="B47" s="166"/>
      <c r="C47" s="167"/>
      <c r="D47" s="1247" t="s">
        <v>2012</v>
      </c>
      <c r="E47" s="308" t="s">
        <v>2013</v>
      </c>
      <c r="F47" s="168" t="s">
        <v>2014</v>
      </c>
      <c r="G47" s="2770" t="s">
        <v>2015</v>
      </c>
      <c r="H47" s="2771"/>
      <c r="I47" s="164"/>
      <c r="J47" s="2747">
        <v>2</v>
      </c>
      <c r="K47" s="3233" t="s">
        <v>2016</v>
      </c>
      <c r="L47" s="3233"/>
      <c r="M47" s="3254">
        <f>'数据-取费表'!B2</f>
        <v>44322</v>
      </c>
      <c r="N47" s="3254"/>
      <c r="O47" s="3254"/>
    </row>
    <row r="48" spans="1:15" ht="25.5">
      <c r="A48" s="3199" t="s">
        <v>2017</v>
      </c>
      <c r="B48" s="3182"/>
      <c r="C48" s="3182"/>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2018</v>
      </c>
      <c r="H48" s="2774"/>
      <c r="I48" s="1990"/>
      <c r="J48" s="2747">
        <v>3</v>
      </c>
      <c r="K48" s="3233" t="s">
        <v>2019</v>
      </c>
      <c r="L48" s="3233"/>
      <c r="M48" s="3255">
        <f ca="1">H101</f>
        <v>54591</v>
      </c>
      <c r="N48" s="3255"/>
      <c r="O48" s="3255"/>
    </row>
    <row r="49" spans="1:35" ht="25.5" customHeight="1">
      <c r="A49" s="2554" t="s">
        <v>2020</v>
      </c>
      <c r="B49" s="3166" t="s">
        <v>2021</v>
      </c>
      <c r="C49" s="3166"/>
      <c r="D49" s="1774">
        <v>0</v>
      </c>
      <c r="E49" s="330" t="s">
        <v>2022</v>
      </c>
      <c r="F49" s="2648" t="s">
        <v>34</v>
      </c>
      <c r="G49" s="3239"/>
      <c r="H49" s="2526" t="s">
        <v>2870</v>
      </c>
      <c r="I49" s="2527"/>
      <c r="J49" s="2747">
        <v>4</v>
      </c>
      <c r="K49" s="3233" t="str">
        <f>IF(项目基本情况!E8="房地产抵押价值","房地产抵押价值","抵押担保权已注销时的房地产抵押价值")</f>
        <v>房地产抵押价值</v>
      </c>
      <c r="L49" s="3233"/>
      <c r="M49" s="3255">
        <f ca="1">IF(项目基本情况!E8="房地产抵押价值",H107,H109)</f>
        <v>54591</v>
      </c>
      <c r="N49" s="3255"/>
      <c r="O49" s="3255"/>
    </row>
    <row r="50" spans="1:35" ht="25.5" customHeight="1">
      <c r="A50" s="2775"/>
      <c r="B50" s="3166" t="s">
        <v>2023</v>
      </c>
      <c r="C50" s="3166"/>
      <c r="D50" s="2776"/>
      <c r="E50" s="338"/>
      <c r="F50" s="2648"/>
      <c r="G50" s="3240"/>
      <c r="H50" s="2528" t="s">
        <v>2871</v>
      </c>
      <c r="I50" s="2527"/>
      <c r="J50" s="3252" t="s">
        <v>2024</v>
      </c>
      <c r="K50" s="3252"/>
      <c r="L50" s="3252"/>
      <c r="M50" s="3252"/>
      <c r="N50" s="3252"/>
      <c r="O50" s="3252"/>
    </row>
    <row r="51" spans="1:35" ht="20.45" customHeight="1">
      <c r="A51" s="2777"/>
      <c r="B51" s="3166" t="s">
        <v>2025</v>
      </c>
      <c r="C51" s="3166"/>
      <c r="D51" s="1247"/>
      <c r="E51" s="333"/>
      <c r="F51" s="2648"/>
      <c r="G51" s="3241"/>
      <c r="H51" s="2528" t="s">
        <v>2872</v>
      </c>
      <c r="I51" s="2527"/>
      <c r="J51" s="2748" t="s">
        <v>2026</v>
      </c>
      <c r="K51" s="3233" t="s">
        <v>2027</v>
      </c>
      <c r="L51" s="3233"/>
      <c r="M51" s="2748" t="s">
        <v>2028</v>
      </c>
      <c r="N51" s="2748" t="s">
        <v>2029</v>
      </c>
      <c r="O51" s="2748" t="s">
        <v>2030</v>
      </c>
    </row>
    <row r="52" spans="1:35" ht="24" customHeight="1">
      <c r="A52" s="2556" t="s">
        <v>2031</v>
      </c>
      <c r="B52" s="3166" t="s">
        <v>2032</v>
      </c>
      <c r="C52" s="3166"/>
      <c r="D52" s="1247">
        <f ca="1">ROUND(D45*'数据-取费表'!B41/(1+'数据-取费表'!C42),0)</f>
        <v>2912</v>
      </c>
      <c r="E52" s="2555" t="s">
        <v>2033</v>
      </c>
      <c r="F52" s="2778">
        <f>'数据-取费表'!B41</f>
        <v>5.6000000000000001E-2</v>
      </c>
      <c r="G52" s="2779"/>
      <c r="H52" s="2768"/>
      <c r="I52" s="1991"/>
      <c r="J52" s="2747">
        <v>1</v>
      </c>
      <c r="K52" s="3234" t="s">
        <v>2034</v>
      </c>
      <c r="L52" s="3234"/>
      <c r="M52" s="2749" t="b">
        <f>D48</f>
        <v>0</v>
      </c>
      <c r="N52" s="2747" t="str">
        <f>E48</f>
        <v>销售额×税（费）率</v>
      </c>
      <c r="O52" s="2750">
        <f>F48</f>
        <v>5.6000000000000001E-2</v>
      </c>
    </row>
    <row r="53" spans="1:35" ht="12" customHeight="1">
      <c r="A53" s="2556" t="s">
        <v>2035</v>
      </c>
      <c r="B53" s="3192" t="s">
        <v>3031</v>
      </c>
      <c r="C53" s="3193"/>
      <c r="D53" s="1247">
        <f ca="1">ROUND(D45*'数据-取费表'!B41/(1+'数据-取费表'!C42),0)</f>
        <v>2912</v>
      </c>
      <c r="E53" s="2555" t="s">
        <v>2033</v>
      </c>
      <c r="F53" s="2778">
        <f>'数据-取费表'!B41</f>
        <v>5.6000000000000001E-2</v>
      </c>
      <c r="G53" s="2779"/>
      <c r="H53" s="2768"/>
      <c r="I53" s="1991"/>
      <c r="J53" s="2747">
        <v>2</v>
      </c>
      <c r="K53" s="3234" t="s">
        <v>2036</v>
      </c>
      <c r="L53" s="3234"/>
      <c r="M53" s="2749">
        <f t="shared" ref="M53:O54" ca="1" si="0">D55</f>
        <v>27</v>
      </c>
      <c r="N53" s="2747" t="str">
        <f t="shared" si="0"/>
        <v>销售额×税（费）率</v>
      </c>
      <c r="O53" s="2750" t="str">
        <f t="shared" si="0"/>
        <v>免征</v>
      </c>
    </row>
    <row r="54" spans="1:35" ht="12" customHeight="1">
      <c r="A54" s="2556" t="s">
        <v>2037</v>
      </c>
      <c r="B54" s="3192" t="s">
        <v>3032</v>
      </c>
      <c r="C54" s="3193"/>
      <c r="D54" s="1247">
        <f ca="1">C68</f>
        <v>2911</v>
      </c>
      <c r="E54" s="333" t="s">
        <v>2038</v>
      </c>
      <c r="F54" s="2778">
        <f>'数据-取费表'!B41</f>
        <v>5.6000000000000001E-2</v>
      </c>
      <c r="G54" s="2779"/>
      <c r="H54" s="2780"/>
      <c r="I54" s="1991"/>
      <c r="J54" s="2747">
        <v>3</v>
      </c>
      <c r="K54" s="3234" t="s">
        <v>2039</v>
      </c>
      <c r="L54" s="3234"/>
      <c r="M54" s="2749">
        <f t="shared" ca="1" si="0"/>
        <v>30898</v>
      </c>
      <c r="N54" s="2747" t="str">
        <f t="shared" si="0"/>
        <v>增值额×税（费）率</v>
      </c>
      <c r="O54" s="2751" t="str">
        <f t="shared" si="0"/>
        <v>免征</v>
      </c>
    </row>
    <row r="55" spans="1:35" ht="24" customHeight="1">
      <c r="A55" s="3181" t="s">
        <v>2040</v>
      </c>
      <c r="B55" s="3182"/>
      <c r="C55" s="3182"/>
      <c r="D55" s="2545">
        <f ca="1">IF(H55="个人住宅",0,ROUND(D45*I55,0))</f>
        <v>27</v>
      </c>
      <c r="E55" s="2555" t="s">
        <v>2041</v>
      </c>
      <c r="F55" s="2778" t="str">
        <f>IF(H55="正常",I55,"免征")</f>
        <v>免征</v>
      </c>
      <c r="G55" s="2779"/>
      <c r="H55" s="2774"/>
      <c r="I55" s="170">
        <f>'数据-取费表'!B49</f>
        <v>5.0000000000000001E-4</v>
      </c>
      <c r="J55" s="2747">
        <f>IF(H59="非个人房产","",4)</f>
        <v>4</v>
      </c>
      <c r="K55" s="3234" t="str">
        <f>IF(H59="非个人房产","——","个人所得税")</f>
        <v>个人所得税</v>
      </c>
      <c r="L55" s="3234"/>
      <c r="M55" s="2752">
        <f ca="1">D59</f>
        <v>520</v>
      </c>
      <c r="N55" s="2226" t="str">
        <f>E59</f>
        <v>差额计税</v>
      </c>
      <c r="O55" s="2753">
        <f>F59</f>
        <v>0.01</v>
      </c>
    </row>
    <row r="56" spans="1:35" ht="24.75">
      <c r="A56" s="3181" t="s">
        <v>2042</v>
      </c>
      <c r="B56" s="3182"/>
      <c r="C56" s="3182"/>
      <c r="D56" s="2545">
        <f ca="1">IF(H56="个人住宅",D57,D58)</f>
        <v>30898</v>
      </c>
      <c r="E56" s="2555" t="s">
        <v>2043</v>
      </c>
      <c r="F56" s="2778" t="str">
        <f>IF(H56="正常",F58,"免征")</f>
        <v>免征</v>
      </c>
      <c r="G56" s="2781" t="s">
        <v>2044</v>
      </c>
      <c r="H56" s="2782"/>
      <c r="I56" s="1992"/>
      <c r="J56" s="2747" t="str">
        <f>IF(项目基本情况!K6="上海银行",IF(J55="",4,J55+1),"")</f>
        <v/>
      </c>
      <c r="K56" s="3257" t="str">
        <f>IF(项目基本情况!K6="上海银行","其他处置费用","")</f>
        <v/>
      </c>
      <c r="L56" s="3258"/>
      <c r="M56" s="2749" t="str">
        <f>IF(项目基本情况!K6="上海银行",M69,"")</f>
        <v/>
      </c>
      <c r="N56" s="3257" t="str">
        <f>IF(项目基本情况!K6="上海银行","包含处置中涉及的律师、诉讼、拍卖、评估等费用","")</f>
        <v/>
      </c>
      <c r="O56" s="3260"/>
    </row>
    <row r="57" spans="1:35" ht="12.75">
      <c r="A57" s="2556" t="s">
        <v>2020</v>
      </c>
      <c r="B57" s="3192" t="s">
        <v>2045</v>
      </c>
      <c r="C57" s="3193"/>
      <c r="D57" s="1774">
        <v>0</v>
      </c>
      <c r="E57" s="330" t="s">
        <v>2022</v>
      </c>
      <c r="F57" s="308"/>
      <c r="G57" s="2779"/>
      <c r="H57" s="2783"/>
      <c r="I57" s="1992"/>
      <c r="J57" s="3234">
        <f>IF(AND(J55="",J56=""),4,IF(项目基本情况!K6="上海银行",结果表!J56+1,结果表!J55+1))</f>
        <v>5</v>
      </c>
      <c r="K57" s="3234" t="s">
        <v>2046</v>
      </c>
      <c r="L57" s="2754" t="s">
        <v>2047</v>
      </c>
      <c r="M57" s="2755"/>
      <c r="N57" s="2756">
        <f ca="1">SUMIF(M52:M56,"&lt;9e307")</f>
        <v>31445</v>
      </c>
      <c r="O57" s="2757"/>
      <c r="P57" s="2917">
        <f ca="1">N57/M49</f>
        <v>0.57601069773405877</v>
      </c>
    </row>
    <row r="58" spans="1:35" ht="24.75">
      <c r="A58" s="2556" t="s">
        <v>2031</v>
      </c>
      <c r="B58" s="3192" t="s">
        <v>2048</v>
      </c>
      <c r="C58" s="3166"/>
      <c r="D58" s="2545">
        <f ca="1">IF(H58="转让取得",C81,C97)</f>
        <v>30898</v>
      </c>
      <c r="E58" s="2555" t="s">
        <v>2043</v>
      </c>
      <c r="F58" s="308" t="s">
        <v>34</v>
      </c>
      <c r="G58" s="2779"/>
      <c r="H58" s="2782"/>
      <c r="I58" s="1992"/>
      <c r="J58" s="3234"/>
      <c r="K58" s="3234"/>
      <c r="L58" s="2754" t="s">
        <v>2049</v>
      </c>
      <c r="M58" s="2758"/>
      <c r="N58" s="2759" t="str">
        <f ca="1">NUMBERSTRING(INT(N57*10000),2)&amp;"元整"</f>
        <v>叁亿壹仟肆佰肆拾伍万元整</v>
      </c>
      <c r="O58" s="2760"/>
    </row>
    <row r="59" spans="1:35" ht="24.75" thickBot="1">
      <c r="A59" s="3237" t="s">
        <v>2050</v>
      </c>
      <c r="B59" s="3238"/>
      <c r="C59" s="3238"/>
      <c r="D59" s="2784">
        <f ca="1">IF(H59="非个人房产","——",IF(H59="个人住宅（满五唯一有凭证）",0,IF(H59="个人其他（无凭证）",ROUND(D45*F59,0),ROUND(C67*F59,0))))</f>
        <v>520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2044</v>
      </c>
      <c r="H59" s="2530"/>
      <c r="I59" s="2529" t="s">
        <v>2873</v>
      </c>
      <c r="J59" s="3235">
        <f>J57+1</f>
        <v>6</v>
      </c>
      <c r="K59" s="3234" t="s">
        <v>2051</v>
      </c>
      <c r="L59" s="2747" t="s">
        <v>2047</v>
      </c>
      <c r="M59" s="2761"/>
      <c r="N59" s="2762">
        <f ca="1">M49-N57</f>
        <v>23146</v>
      </c>
      <c r="O59" s="2763"/>
    </row>
    <row r="60" spans="1:35" ht="12" customHeight="1">
      <c r="A60" s="1993"/>
      <c r="B60" s="1931"/>
      <c r="C60" s="1931"/>
      <c r="D60" s="1931"/>
      <c r="E60" s="1762"/>
      <c r="F60" s="1992"/>
      <c r="G60" s="1992"/>
      <c r="H60" s="1994"/>
      <c r="I60" s="134"/>
      <c r="J60" s="3236"/>
      <c r="K60" s="3234"/>
      <c r="L60" s="2754" t="s">
        <v>2049</v>
      </c>
      <c r="M60" s="2758"/>
      <c r="N60" s="2759" t="str">
        <f ca="1">NUMBERSTRING(INT(N59*10000),2)&amp;"元整"</f>
        <v>贰亿叁仟壹佰肆拾陆万元整</v>
      </c>
      <c r="O60" s="2760"/>
    </row>
    <row r="61" spans="1:35" ht="13.5" thickBot="1">
      <c r="A61" s="3179" t="s">
        <v>2052</v>
      </c>
      <c r="B61" s="3179"/>
      <c r="C61" s="3179"/>
      <c r="D61" s="3179"/>
      <c r="E61" s="3179"/>
      <c r="F61" s="1992"/>
      <c r="G61" s="1992"/>
      <c r="H61" s="1994"/>
      <c r="I61" s="134"/>
      <c r="J61" s="2747">
        <f>J59+1</f>
        <v>7</v>
      </c>
      <c r="K61" s="3234" t="s">
        <v>2053</v>
      </c>
      <c r="L61" s="3234"/>
      <c r="M61" s="2764"/>
      <c r="N61" s="2765">
        <f ca="1">ROUND(N59*10000/'数据-汇总表'!E3,0)</f>
        <v>5938</v>
      </c>
      <c r="O61" s="2766"/>
    </row>
    <row r="62" spans="1:35" ht="12.75">
      <c r="A62" s="3197" t="s">
        <v>2054</v>
      </c>
      <c r="B62" s="3198"/>
      <c r="C62" s="2207"/>
      <c r="D62" s="2207" t="s">
        <v>2055</v>
      </c>
      <c r="E62" s="171" t="s">
        <v>2056</v>
      </c>
      <c r="F62" s="1992"/>
      <c r="G62" s="1992"/>
      <c r="H62" s="1994"/>
      <c r="I62" s="134"/>
    </row>
    <row r="63" spans="1:35" ht="12.75">
      <c r="A63" s="178" t="s">
        <v>775</v>
      </c>
      <c r="B63" s="172" t="s">
        <v>2057</v>
      </c>
      <c r="C63" s="2788">
        <f ca="1">ROUND((C64+C65)/(1+'数据-取费表'!C42),0)</f>
        <v>51991</v>
      </c>
      <c r="D63" s="172"/>
      <c r="E63" s="173"/>
      <c r="F63" s="1992"/>
      <c r="G63" s="1992"/>
      <c r="H63" s="1994"/>
      <c r="I63" s="134"/>
      <c r="J63" s="3259" t="s">
        <v>2058</v>
      </c>
      <c r="K63" s="1500" t="s">
        <v>2059</v>
      </c>
      <c r="L63" s="1500">
        <f ca="1">IF(M49&gt;10000,M49*0.5%,IF(AND(M49&gt;1000,M49&lt;=10000),M49*1%,IF(AND(M49&gt;100,M49&lt;=1000),M49*3%,IF(AND(M49&gt;10,M49&lt;=100),M49*5%,M49*8%))))</f>
        <v>272.95499999999998</v>
      </c>
      <c r="M63" s="308">
        <f ca="1">ROUND(L63,1)</f>
        <v>273</v>
      </c>
      <c r="N63" s="2767"/>
      <c r="Z63" s="1936"/>
      <c r="AI63" s="1937"/>
    </row>
    <row r="64" spans="1:35" ht="14.25" customHeight="1">
      <c r="A64" s="174" t="s">
        <v>770</v>
      </c>
      <c r="B64" s="175" t="s">
        <v>2060</v>
      </c>
      <c r="C64" s="2789">
        <f ca="1">D45</f>
        <v>54591</v>
      </c>
      <c r="D64" s="175" t="s">
        <v>32</v>
      </c>
      <c r="E64" s="177"/>
      <c r="F64" s="1992"/>
      <c r="G64" s="1992"/>
      <c r="H64" s="1994"/>
      <c r="I64" s="134"/>
      <c r="J64" s="3259"/>
      <c r="K64" s="1500" t="s">
        <v>2061</v>
      </c>
      <c r="L64" s="1500">
        <f ca="1">IF(M49&gt;2000,M49*0.5%,IF(AND(M49&gt;1000,M49&lt;=2000),M49*0.6%,IF(AND(M49&gt;500,M49&lt;=1000),M49*0.7%,IF(AND(M49&gt;200,M49&lt;=500),M49*0.8%,IF(AND(M49&gt;100,M49&lt;=200),M49*0.9%,IF(AND(M49&gt;50,M49&lt;=100),M49*1%,IF(AND(M49&gt;20,M49&lt;=50),M49*1.5%,IF(AND(M49&gt;10,M49&lt;=20),M49*2%,IF(AND(M49&gt;1,M49&lt;=10),M49*2.5%)))))))))</f>
        <v>272.95499999999998</v>
      </c>
      <c r="M64" s="308">
        <f t="shared" ref="M64:M65" ca="1" si="1">ROUND(L64,1)</f>
        <v>273</v>
      </c>
      <c r="N64" s="2768" t="s">
        <v>2062</v>
      </c>
      <c r="Z64" s="1936"/>
      <c r="AI64" s="1937"/>
    </row>
    <row r="65" spans="1:35" ht="14.25" customHeight="1">
      <c r="A65" s="174" t="s">
        <v>771</v>
      </c>
      <c r="B65" s="175" t="s">
        <v>2063</v>
      </c>
      <c r="C65" s="2790"/>
      <c r="D65" s="175"/>
      <c r="E65" s="177"/>
      <c r="F65" s="1992"/>
      <c r="G65" s="1992"/>
      <c r="H65" s="1994"/>
      <c r="I65" s="134"/>
      <c r="J65" s="3259"/>
      <c r="K65" s="1500" t="s">
        <v>2064</v>
      </c>
      <c r="L65" s="1500">
        <f ca="1">IF(M49&gt;1000,M49*0.1%,IF(AND(M49&gt;500,M49&lt;=1000),M49*0.5%,IF(AND(M49&gt;50,M49&lt;=500),M49*1%,IF(AND(M49&gt;1,M49&lt;=50),M49*1.5%))))</f>
        <v>54.591000000000001</v>
      </c>
      <c r="M65" s="308">
        <f t="shared" ca="1" si="1"/>
        <v>54.6</v>
      </c>
      <c r="N65" s="2768" t="s">
        <v>2062</v>
      </c>
      <c r="Z65" s="1936"/>
      <c r="AI65" s="1937"/>
    </row>
    <row r="66" spans="1:35" ht="14.25" customHeight="1">
      <c r="A66" s="178" t="s">
        <v>772</v>
      </c>
      <c r="B66" s="179" t="s">
        <v>2065</v>
      </c>
      <c r="C66" s="2791"/>
      <c r="D66" s="179" t="s">
        <v>32</v>
      </c>
      <c r="E66" s="1508" t="s">
        <v>1330</v>
      </c>
      <c r="F66" s="1992"/>
      <c r="G66" s="1992"/>
      <c r="H66" s="1994"/>
      <c r="I66" s="134"/>
      <c r="J66" s="3259"/>
      <c r="K66" s="1500" t="s">
        <v>2066</v>
      </c>
      <c r="L66" s="1500">
        <f ca="1">M49*0.5%</f>
        <v>272.95499999999998</v>
      </c>
      <c r="M66" s="308">
        <f ca="1">IF(L66&gt;0.5,0.5,ROUND(L66,0))</f>
        <v>0.5</v>
      </c>
      <c r="N66" s="2768" t="s">
        <v>2067</v>
      </c>
      <c r="Z66" s="1936"/>
      <c r="AI66" s="1937"/>
    </row>
    <row r="67" spans="1:35" ht="14.25" customHeight="1">
      <c r="A67" s="178" t="s">
        <v>773</v>
      </c>
      <c r="B67" s="179" t="s">
        <v>2068</v>
      </c>
      <c r="C67" s="2792">
        <f ca="1">C63-C66</f>
        <v>51991</v>
      </c>
      <c r="D67" s="175" t="s">
        <v>32</v>
      </c>
      <c r="E67" s="177"/>
      <c r="F67" s="1992"/>
      <c r="G67" s="1992"/>
      <c r="H67" s="1994"/>
      <c r="I67" s="134"/>
      <c r="J67" s="3259"/>
      <c r="K67" s="1500" t="s">
        <v>2069</v>
      </c>
      <c r="L67" s="1500">
        <f ca="1">IF(M49&gt;=10000,(8.25+(M49-10000)*0.01%),IF(AND(M49&gt;=8000,M49&lt;10000),(7.85+(M49-8000)*0.02%),IF(AND(M49&gt;=5000,M49&lt;8000),(6.65+(M49-5000)*0.04%),IF(AND(M49&gt;=2000,M49&lt;5000),(4.25+(PM49-2000)*0.08%),IF(AND(M49&gt;=1000,M49&lt;2000),(2.75+(M49-1000)*0.15%),IF(AND(M49&gt;=100,M49&lt;1000),(0.5+(M49-100)*0.25%),IF(AND(M49&gt;0,M49&lt;100),M49*0.5%)))))))</f>
        <v>12.709099999999999</v>
      </c>
      <c r="M67" s="308">
        <f ca="1">ROUND(L67*0.9,1)</f>
        <v>11.4</v>
      </c>
      <c r="N67" s="2767"/>
      <c r="Z67" s="1936"/>
      <c r="AI67" s="1937"/>
    </row>
    <row r="68" spans="1:35" ht="14.25" customHeight="1" thickBot="1">
      <c r="A68" s="181" t="s">
        <v>774</v>
      </c>
      <c r="B68" s="182" t="s">
        <v>2070</v>
      </c>
      <c r="C68" s="2793">
        <f ca="1">IF(C67&lt;=0,0,ROUND(C67*D68,0))</f>
        <v>2911</v>
      </c>
      <c r="D68" s="2794">
        <f>'数据-取费表'!B41</f>
        <v>5.6000000000000001E-2</v>
      </c>
      <c r="E68" s="184"/>
      <c r="F68" s="1992"/>
      <c r="G68" s="1992"/>
      <c r="H68" s="1994"/>
      <c r="I68" s="134"/>
      <c r="J68" s="3259"/>
      <c r="K68" s="1500" t="s">
        <v>2071</v>
      </c>
      <c r="L68" s="1500">
        <f ca="1">IF(M49&gt;10000,M49*0.5%,IF(AND(M49&gt;5000,M49&lt;=10000),M49*1%,IF(AND(M49&gt;1000,M49&lt;=5000),M49*2%,IF(AND(M49&gt;200,M49&lt;=1000),M49*3%,M49*5%))))</f>
        <v>272.95499999999998</v>
      </c>
      <c r="M68" s="308">
        <f ca="1">ROUND(L68,1)</f>
        <v>273</v>
      </c>
      <c r="N68" s="2767"/>
      <c r="Z68" s="1936"/>
      <c r="AI68" s="1937"/>
    </row>
    <row r="69" spans="1:35" s="1956" customFormat="1" ht="16.5" customHeight="1">
      <c r="A69" s="1995"/>
      <c r="B69" s="1996"/>
      <c r="C69" s="1997"/>
      <c r="D69" s="1998"/>
      <c r="E69" s="1999"/>
      <c r="F69" s="1762"/>
      <c r="G69" s="1762"/>
      <c r="H69" s="1761"/>
      <c r="I69" s="1931"/>
      <c r="J69" s="3259"/>
      <c r="K69" s="1500" t="s">
        <v>2072</v>
      </c>
      <c r="L69" s="1500"/>
      <c r="M69" s="308">
        <f ca="1">ROUND(SUM(M63:M68),0)</f>
        <v>886</v>
      </c>
      <c r="N69" s="2769">
        <f ca="1">M69/M49</f>
        <v>1.6229781465809383E-2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18" t="s">
        <v>2073</v>
      </c>
      <c r="B70" s="3219"/>
      <c r="C70" s="3219"/>
      <c r="D70" s="3219"/>
      <c r="E70" s="3219"/>
      <c r="F70" s="3219"/>
      <c r="G70" s="3219"/>
      <c r="H70" s="3219"/>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97" t="s">
        <v>2054</v>
      </c>
      <c r="B71" s="3198"/>
      <c r="C71" s="2207"/>
      <c r="D71" s="2207" t="s">
        <v>2055</v>
      </c>
      <c r="E71" s="185" t="s">
        <v>2056</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2074</v>
      </c>
      <c r="C72" s="2792">
        <f ca="1">ROUND(D45/(1+'数据-取费表'!C42),0)</f>
        <v>51991</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2075</v>
      </c>
      <c r="C73" s="2792">
        <f ca="1">C74+C78</f>
        <v>312</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2076</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2077</v>
      </c>
      <c r="C75" s="2795"/>
      <c r="D75" s="175" t="s">
        <v>32</v>
      </c>
      <c r="E75" s="190" t="s">
        <v>2078</v>
      </c>
      <c r="F75" s="2796"/>
      <c r="G75" s="190" t="s">
        <v>2079</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2080</v>
      </c>
      <c r="C76" s="175">
        <f>IF(F75="购房发票",ROUND(C75*H75*D76,0),0)</f>
        <v>0</v>
      </c>
      <c r="D76" s="2798">
        <v>0.05</v>
      </c>
      <c r="E76" s="3192" t="s">
        <v>2081</v>
      </c>
      <c r="F76" s="3166"/>
      <c r="G76" s="3166"/>
      <c r="H76" s="3217"/>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2082</v>
      </c>
      <c r="C77" s="175">
        <f>ROUND(IF(G77="个人住宅",0,IF(G77="2016年5月1日前购买",C75*D77,C75*D77/(1+'数据-取费表'!C42))),0)</f>
        <v>0</v>
      </c>
      <c r="D77" s="2799">
        <f>'数据-取费表'!B48+'数据-取费表'!B49</f>
        <v>3.0499999999999999E-2</v>
      </c>
      <c r="E77" s="2545" t="s">
        <v>2083</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2084</v>
      </c>
      <c r="C78" s="2800">
        <f ca="1">ROUND(D45*D78/(1+'数据-取费表'!C42),0)</f>
        <v>312</v>
      </c>
      <c r="D78" s="2801">
        <f>'数据-取费表'!B43</f>
        <v>6.000000000000001E-3</v>
      </c>
      <c r="E78" s="3176" t="s">
        <v>2085</v>
      </c>
      <c r="F78" s="3177"/>
      <c r="G78" s="3177"/>
      <c r="H78" s="318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2086</v>
      </c>
      <c r="C79" s="2792">
        <f ca="1">C72-C73</f>
        <v>51679</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2087</v>
      </c>
      <c r="C80" s="2802">
        <f ca="1">IF(C79&lt;=0,0,C79/C73)</f>
        <v>165.63782051282053</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2088</v>
      </c>
      <c r="C81" s="2803">
        <f ca="1">ROUND(IF(C79&lt;=0,0,IF(C80&gt;=200%,C79*60%-C73*35%,IF(C80&gt;=100%,C79*50%-C73*15%,IF(C80&gt;=50%,C79*40%-C73*5%,IF(C80&lt;50%,C79*30%,0))))),0)</f>
        <v>30898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8" t="s">
        <v>2089</v>
      </c>
      <c r="B83" s="3219"/>
      <c r="C83" s="3219"/>
      <c r="D83" s="3219"/>
      <c r="E83" s="3219"/>
      <c r="F83" s="3219"/>
      <c r="G83" s="3219"/>
      <c r="H83" s="321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97" t="s">
        <v>2054</v>
      </c>
      <c r="B84" s="3198"/>
      <c r="C84" s="2207"/>
      <c r="D84" s="2207" t="s">
        <v>2055</v>
      </c>
      <c r="E84" s="185" t="s">
        <v>2056</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2074</v>
      </c>
      <c r="C85" s="2792">
        <f ca="1">ROUND(D45/(1+'数据-取费表'!C42),0)</f>
        <v>51991</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2075</v>
      </c>
      <c r="C86" s="2792">
        <f ca="1">IF(H88="仅含出让金",C87+C90+C91+C92+C93+C94,C87+C91+C92+C93+C94)</f>
        <v>312</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2090</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2091</v>
      </c>
      <c r="C88" s="2806"/>
      <c r="D88" s="2801"/>
      <c r="E88" s="199" t="s">
        <v>2092</v>
      </c>
      <c r="F88" s="2548"/>
      <c r="G88" s="200" t="s">
        <v>2093</v>
      </c>
      <c r="H88" s="2008"/>
      <c r="I88" s="2005"/>
      <c r="J88" s="2745"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2082</v>
      </c>
      <c r="C89" s="2800">
        <f>ROUND(C88*D89,0)</f>
        <v>0</v>
      </c>
      <c r="D89" s="2801">
        <f>'数据-取费表'!B48+'数据-取费表'!B49</f>
        <v>3.0499999999999999E-2</v>
      </c>
      <c r="E89" s="199" t="s">
        <v>2094</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2095</v>
      </c>
      <c r="C90" s="2806"/>
      <c r="D90" s="2801"/>
      <c r="E90" s="199" t="str">
        <f>IF(H88="-","土地取得成本中已包含该笔费用"," ")</f>
        <v xml:space="preserve"> </v>
      </c>
      <c r="F90" s="2548"/>
      <c r="G90" s="3261" t="s">
        <v>2865</v>
      </c>
      <c r="H90" s="3262"/>
      <c r="I90" s="2005"/>
      <c r="J90" s="2745"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2096</v>
      </c>
      <c r="B91" s="175" t="s">
        <v>2097</v>
      </c>
      <c r="C91" s="2800">
        <f>IF(H91="——",成本法!C33,I91)</f>
        <v>0</v>
      </c>
      <c r="D91" s="2801"/>
      <c r="E91" s="3176" t="s">
        <v>2098</v>
      </c>
      <c r="F91" s="3177"/>
      <c r="G91" s="3177"/>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2099</v>
      </c>
      <c r="B92" s="175" t="s">
        <v>2100</v>
      </c>
      <c r="C92" s="2800">
        <f>ROUND((C87+C90+C91)*D92,0)</f>
        <v>0</v>
      </c>
      <c r="D92" s="2807"/>
      <c r="E92" s="3176" t="s">
        <v>2101</v>
      </c>
      <c r="F92" s="3177"/>
      <c r="G92" s="3177"/>
      <c r="H92" s="3186"/>
      <c r="I92" s="2005"/>
      <c r="J92" s="2746"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2102</v>
      </c>
      <c r="B93" s="175" t="s">
        <v>2084</v>
      </c>
      <c r="C93" s="2800">
        <f ca="1">ROUND(D45*D93/(1+'数据-取费表'!C42),0)</f>
        <v>312</v>
      </c>
      <c r="D93" s="2801">
        <f>'数据-取费表'!B43</f>
        <v>6.000000000000001E-3</v>
      </c>
      <c r="E93" s="3176" t="s">
        <v>2085</v>
      </c>
      <c r="F93" s="3177"/>
      <c r="G93" s="3177"/>
      <c r="H93" s="318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2103</v>
      </c>
      <c r="B94" s="175" t="s">
        <v>2104</v>
      </c>
      <c r="C94" s="2806">
        <f>ROUND((C87+C90+C91)*D94,0)</f>
        <v>0</v>
      </c>
      <c r="D94" s="2801">
        <v>0.2</v>
      </c>
      <c r="E94" s="3187" t="s">
        <v>2105</v>
      </c>
      <c r="F94" s="3188"/>
      <c r="G94" s="3188"/>
      <c r="H94" s="3189"/>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2086</v>
      </c>
      <c r="C95" s="2792">
        <f ca="1">ROUND(C85-C86,0)</f>
        <v>51679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2087</v>
      </c>
      <c r="C96" s="2802">
        <f ca="1">IF(C95&lt;=0,0,C95/C86)</f>
        <v>165.63782051282053</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2088</v>
      </c>
      <c r="C97" s="2803">
        <f ca="1">ROUND(IF(C95&lt;=0,0,IF(C96&gt;=200%,C95*60%-C86*35%,IF(C96&gt;=100%,C95*50%-C86*15%,IF(C96&gt;=50%,C95*40%-C86*5%,IF(C96&lt;50%,C95*30%,0))))),0)</f>
        <v>30898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2106</v>
      </c>
      <c r="B99" s="1931"/>
      <c r="C99" s="1931"/>
      <c r="D99" s="1931"/>
      <c r="E99" s="1762"/>
      <c r="F99" s="1762"/>
      <c r="G99" s="1762"/>
      <c r="H99" s="1761"/>
      <c r="I99" s="134"/>
    </row>
    <row r="100" spans="1:35" ht="18.75" customHeight="1">
      <c r="A100" s="3160" t="s">
        <v>2107</v>
      </c>
      <c r="B100" s="3161"/>
      <c r="C100" s="3161"/>
      <c r="D100" s="3178"/>
      <c r="E100" s="3161" t="s">
        <v>2108</v>
      </c>
      <c r="F100" s="3161"/>
      <c r="G100" s="3161"/>
      <c r="H100" s="3178"/>
      <c r="I100" s="134"/>
    </row>
    <row r="101" spans="1:35" ht="18.75" customHeight="1">
      <c r="A101" s="3242" t="s">
        <v>2109</v>
      </c>
      <c r="B101" s="3243"/>
      <c r="C101" s="2809" t="str">
        <f>C4</f>
        <v>成本法</v>
      </c>
      <c r="D101" s="2810" t="str">
        <f>D4</f>
        <v>收益法</v>
      </c>
      <c r="E101" s="3256" t="s">
        <v>2110</v>
      </c>
      <c r="F101" s="3210"/>
      <c r="G101" s="2011" t="s">
        <v>2111</v>
      </c>
      <c r="H101" s="2819">
        <f ca="1">H118</f>
        <v>54591</v>
      </c>
      <c r="I101" s="134"/>
    </row>
    <row r="102" spans="1:35" ht="18.75" customHeight="1">
      <c r="A102" s="3212" t="s">
        <v>2112</v>
      </c>
      <c r="B102" s="2808" t="s">
        <v>2111</v>
      </c>
      <c r="C102" s="2809">
        <f ca="1">C19</f>
        <v>66274</v>
      </c>
      <c r="D102" s="2810">
        <f ca="1">D19</f>
        <v>37067</v>
      </c>
      <c r="E102" s="3256"/>
      <c r="F102" s="3210"/>
      <c r="G102" s="2011" t="s">
        <v>2113</v>
      </c>
      <c r="H102" s="2779">
        <f ca="1">I118</f>
        <v>14004</v>
      </c>
      <c r="I102" s="134"/>
    </row>
    <row r="103" spans="1:35" ht="42.75" customHeight="1">
      <c r="A103" s="3212"/>
      <c r="B103" s="2808" t="s">
        <v>2113</v>
      </c>
      <c r="C103" s="2811">
        <f ca="1">C20</f>
        <v>17001</v>
      </c>
      <c r="D103" s="2812">
        <f ca="1">D20</f>
        <v>9509</v>
      </c>
      <c r="E103" s="3250" t="s">
        <v>2114</v>
      </c>
      <c r="F103" s="3251"/>
      <c r="G103" s="2012" t="s">
        <v>2115</v>
      </c>
      <c r="H103" s="2819">
        <f>IF(D36="正常操作",H104+H105+H106,H105+H106)</f>
        <v>0</v>
      </c>
      <c r="I103" s="134"/>
    </row>
    <row r="104" spans="1:35" ht="18.75" customHeight="1">
      <c r="A104" s="3212" t="s">
        <v>2116</v>
      </c>
      <c r="B104" s="2813" t="s">
        <v>2111</v>
      </c>
      <c r="C104" s="2814">
        <f ca="1">H118</f>
        <v>54591</v>
      </c>
      <c r="D104" s="2815"/>
      <c r="E104" s="1859" t="s">
        <v>2117</v>
      </c>
      <c r="F104" s="1850"/>
      <c r="G104" s="2012" t="s">
        <v>2115</v>
      </c>
      <c r="H104" s="2820">
        <f>IF(D36="同一抵押权人同一抵押物续贷",C36&amp;"（续贷，未扣减，详见特别提示）",C36)</f>
        <v>0</v>
      </c>
      <c r="I104" s="134"/>
    </row>
    <row r="105" spans="1:35" ht="18.75" customHeight="1" thickBot="1">
      <c r="A105" s="3213"/>
      <c r="B105" s="2816" t="s">
        <v>2113</v>
      </c>
      <c r="C105" s="2817">
        <f ca="1">I118</f>
        <v>14004</v>
      </c>
      <c r="D105" s="2818"/>
      <c r="E105" s="1859" t="s">
        <v>2118</v>
      </c>
      <c r="F105" s="1850"/>
      <c r="G105" s="2012" t="s">
        <v>2115</v>
      </c>
      <c r="H105" s="2821">
        <f>C37</f>
        <v>0</v>
      </c>
      <c r="I105" s="134"/>
    </row>
    <row r="106" spans="1:35" ht="18.75" customHeight="1">
      <c r="A106" s="1931" t="s">
        <v>2119</v>
      </c>
      <c r="B106" s="1931"/>
      <c r="C106" s="1931"/>
      <c r="D106" s="1931"/>
      <c r="E106" s="2013" t="s">
        <v>2120</v>
      </c>
      <c r="F106" s="1850"/>
      <c r="G106" s="2012" t="s">
        <v>2115</v>
      </c>
      <c r="H106" s="2821">
        <f>C38</f>
        <v>0</v>
      </c>
      <c r="I106" s="134"/>
    </row>
    <row r="107" spans="1:35" ht="18.75" customHeight="1">
      <c r="A107" s="134"/>
      <c r="B107" s="134"/>
      <c r="C107" s="134"/>
      <c r="D107" s="134"/>
      <c r="E107" s="3209" t="str">
        <f>IF(项目基本情况!E8="已注销","——","3.房地产抵押价值")</f>
        <v>3.房地产抵押价值</v>
      </c>
      <c r="F107" s="3210"/>
      <c r="G107" s="2011" t="s">
        <v>2111</v>
      </c>
      <c r="H107" s="2819">
        <f ca="1">IF(E107="——","——",H101-H103)</f>
        <v>54591</v>
      </c>
      <c r="I107" s="134"/>
    </row>
    <row r="108" spans="1:35" ht="18.75" customHeight="1">
      <c r="A108" s="134"/>
      <c r="B108" s="134"/>
      <c r="C108" s="134"/>
      <c r="D108" s="134"/>
      <c r="E108" s="3209"/>
      <c r="F108" s="3210"/>
      <c r="G108" s="2011" t="s">
        <v>2113</v>
      </c>
      <c r="H108" s="2779">
        <f ca="1">ROUND(H107*10000/'数据-汇总表'!E3,0)</f>
        <v>14004</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210"/>
      <c r="G109" s="2011" t="s">
        <v>2111</v>
      </c>
      <c r="H109" s="2822" t="str">
        <f>IF(E109="——","——",H101-H105-H106)</f>
        <v>——</v>
      </c>
      <c r="I109" s="134"/>
    </row>
    <row r="110" spans="1:35" ht="18.75" customHeight="1">
      <c r="A110" s="134"/>
      <c r="B110" s="134"/>
      <c r="C110" s="134"/>
      <c r="D110" s="134"/>
      <c r="E110" s="3209"/>
      <c r="F110" s="3210"/>
      <c r="G110" s="2011" t="s">
        <v>2113</v>
      </c>
      <c r="H110" s="2779" t="str">
        <f>IF(H109="——","——",ROUND(H109*10000/'数据-汇总表'!E3,0))</f>
        <v>——</v>
      </c>
      <c r="I110" s="134"/>
    </row>
    <row r="111" spans="1:35" ht="18.75" customHeight="1">
      <c r="A111" s="134"/>
      <c r="B111" s="134"/>
      <c r="C111" s="134"/>
      <c r="D111" s="134"/>
      <c r="E111" s="3244" t="str">
        <f>IF(项目基本情况!E9="抵押净值",IF(OR(项目基本情况!E8="已注销",项目基本情况!E8="房地产抵押价值"),"4.抵押净值","5.抵押净值"),"——")</f>
        <v>4.抵押净值</v>
      </c>
      <c r="F111" s="3211"/>
      <c r="G111" s="2011" t="s">
        <v>2111</v>
      </c>
      <c r="H111" s="2819">
        <f ca="1">IF(E111="——","——",N59)</f>
        <v>23146</v>
      </c>
      <c r="I111" s="134"/>
    </row>
    <row r="112" spans="1:35" ht="18.75" customHeight="1" thickBot="1">
      <c r="A112" s="134"/>
      <c r="B112" s="134"/>
      <c r="C112" s="134"/>
      <c r="D112" s="134"/>
      <c r="E112" s="3245"/>
      <c r="F112" s="3246"/>
      <c r="G112" s="2014" t="s">
        <v>2113</v>
      </c>
      <c r="H112" s="2823">
        <f ca="1">IF(E111="——","——",N61)</f>
        <v>5938</v>
      </c>
      <c r="I112" s="134"/>
    </row>
    <row r="113" spans="1:27" ht="18.75" customHeight="1">
      <c r="A113" s="134"/>
      <c r="B113" s="134"/>
      <c r="C113" s="134"/>
      <c r="D113" s="134"/>
      <c r="E113" s="3214" t="s">
        <v>2119</v>
      </c>
      <c r="F113" s="3214"/>
      <c r="G113" s="3214"/>
      <c r="H113" s="3214"/>
      <c r="I113" s="134"/>
    </row>
    <row r="114" spans="1:27" ht="3.75" customHeight="1">
      <c r="A114" s="1931"/>
      <c r="B114" s="1931"/>
      <c r="C114" s="1931"/>
      <c r="D114" s="1931"/>
      <c r="E114" s="1993"/>
      <c r="F114" s="1993"/>
      <c r="G114" s="1993"/>
      <c r="H114" s="1993"/>
      <c r="I114" s="1931"/>
    </row>
    <row r="115" spans="1:27" ht="18.75" customHeight="1">
      <c r="A115" s="3227" t="s">
        <v>2121</v>
      </c>
      <c r="B115" s="3228"/>
      <c r="C115" s="3228"/>
      <c r="D115" s="3228"/>
      <c r="E115" s="3228"/>
      <c r="F115" s="3228"/>
      <c r="G115" s="3228"/>
      <c r="H115" s="3228"/>
      <c r="I115" s="3229"/>
    </row>
    <row r="116" spans="1:27" ht="27" customHeight="1">
      <c r="A116" s="3180" t="s">
        <v>2122</v>
      </c>
      <c r="B116" s="3215" t="s">
        <v>2123</v>
      </c>
      <c r="C116" s="3215" t="s">
        <v>2124</v>
      </c>
      <c r="D116" s="3231" t="s">
        <v>2125</v>
      </c>
      <c r="E116" s="3232"/>
      <c r="F116" s="3223" t="s">
        <v>2126</v>
      </c>
      <c r="G116" s="3223"/>
      <c r="H116" s="3180" t="s">
        <v>2127</v>
      </c>
      <c r="I116" s="3180"/>
    </row>
    <row r="117" spans="1:27" ht="18.75" customHeight="1">
      <c r="A117" s="3180"/>
      <c r="B117" s="3216"/>
      <c r="C117" s="3216"/>
      <c r="D117" s="2550" t="s">
        <v>2128</v>
      </c>
      <c r="E117" s="2550" t="s">
        <v>2129</v>
      </c>
      <c r="F117" s="2550" t="s">
        <v>2128</v>
      </c>
      <c r="G117" s="2550" t="s">
        <v>2130</v>
      </c>
      <c r="H117" s="2550" t="s">
        <v>2128</v>
      </c>
      <c r="I117" s="2550" t="s">
        <v>2130</v>
      </c>
    </row>
    <row r="118" spans="1:27" ht="24.75" customHeight="1">
      <c r="A118" s="2824" t="str">
        <f>项目基本情况!S2</f>
        <v>房地产</v>
      </c>
      <c r="B118" s="2550">
        <f>M18</f>
        <v>38981.680000000008</v>
      </c>
      <c r="C118" s="2550">
        <f>M19</f>
        <v>155390.20000000001</v>
      </c>
      <c r="D118" s="2550">
        <f ca="1">ROUND(IF(D32="总价",C34,E118*B118/10000),0)</f>
        <v>17251</v>
      </c>
      <c r="E118" s="2550">
        <f ca="1">ROUND(IF(C33="自定义",IF(D32="楼面单价",C34,D118*10000/B118),I118-G118),0)</f>
        <v>4425</v>
      </c>
      <c r="F118" s="2550">
        <f ca="1">ROUND(IF(D32="总价",C35,G118*B118/10000),0)</f>
        <v>37340</v>
      </c>
      <c r="G118" s="2550">
        <f ca="1">ROUND(IF(D32="楼面单价",C35,F118*10000/B118),0)</f>
        <v>9579</v>
      </c>
      <c r="H118" s="2550">
        <f ca="1">ROUND(IF(D32="总价",C32,I118*B118/10000),0)</f>
        <v>54591</v>
      </c>
      <c r="I118" s="2550">
        <f ca="1">ROUND(IF(D32="楼面单价",C32,H118*10000/B118),0)</f>
        <v>14004</v>
      </c>
    </row>
    <row r="119" spans="1:27" ht="18.75" customHeight="1">
      <c r="A119" s="3180" t="s">
        <v>2131</v>
      </c>
      <c r="B119" s="3180"/>
      <c r="C119" s="3180"/>
      <c r="D119" s="3220" t="str">
        <f ca="1">NUMBERSTRING(INT(D118*10000),2)&amp;"元整"</f>
        <v>壹亿柒仟贰佰伍拾壹万元整</v>
      </c>
      <c r="E119" s="3222"/>
      <c r="F119" s="3220" t="str">
        <f ca="1">NUMBERSTRING(INT(F118*10000),2)&amp;"元整"</f>
        <v>叁亿柒仟叁佰肆拾万元整</v>
      </c>
      <c r="G119" s="3222"/>
      <c r="H119" s="3220" t="str">
        <f ca="1">NUMBERSTRING(INT(H118*10000),2)&amp;"元整"</f>
        <v>伍亿肆仟伍佰玖拾壹万元整</v>
      </c>
      <c r="I119" s="3222"/>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4" t="s">
        <v>2131</v>
      </c>
      <c r="B121" s="3225"/>
      <c r="C121" s="3226"/>
      <c r="D121" s="3220" t="str">
        <f>IF(D120=0,"零元整",NUMBERSTRING(INT(D120*10000),2)&amp;"元整")</f>
        <v>零元整</v>
      </c>
      <c r="E121" s="3221"/>
      <c r="F121" s="3221"/>
      <c r="G121" s="3221"/>
      <c r="H121" s="3221"/>
      <c r="I121" s="3222"/>
      <c r="AA121" s="734"/>
    </row>
    <row r="122" spans="1:27" ht="18.75" customHeight="1">
      <c r="A122" s="3211" t="str">
        <f>IF(项目基本情况!B9="房地产市场价值","",MID(E107,3,LEN(E107)-2))</f>
        <v>房地产抵押价值</v>
      </c>
      <c r="B122" s="3211"/>
      <c r="C122" s="3211"/>
      <c r="D122" s="3247">
        <f ca="1">H107</f>
        <v>54591</v>
      </c>
      <c r="E122" s="3248"/>
      <c r="F122" s="3248"/>
      <c r="G122" s="3248"/>
      <c r="H122" s="3248"/>
      <c r="I122" s="3249"/>
      <c r="AA122" s="734"/>
    </row>
    <row r="123" spans="1:27" ht="18.75" customHeight="1">
      <c r="A123" s="3180" t="s">
        <v>2131</v>
      </c>
      <c r="B123" s="3180"/>
      <c r="C123" s="3180"/>
      <c r="D123" s="3220" t="str">
        <f ca="1">NUMBERSTRING(INT(D122*10000),2)&amp;"元整"</f>
        <v>伍亿肆仟伍佰玖拾壹万元整</v>
      </c>
      <c r="E123" s="3221"/>
      <c r="F123" s="3221"/>
      <c r="G123" s="3221"/>
      <c r="H123" s="3221"/>
      <c r="I123" s="3222"/>
      <c r="AA123" s="734"/>
    </row>
    <row r="124" spans="1:27" ht="18.75" customHeight="1">
      <c r="A124" s="3211" t="str">
        <f>IF(项目基本情况!B9="房地产市场价值","",MID(E109,3,LEN(E109)-2))</f>
        <v/>
      </c>
      <c r="B124" s="3211"/>
      <c r="C124" s="3211"/>
      <c r="D124" s="3247" t="str">
        <f>H109</f>
        <v>——</v>
      </c>
      <c r="E124" s="3248"/>
      <c r="F124" s="3248"/>
      <c r="G124" s="3248"/>
      <c r="H124" s="3248"/>
      <c r="I124" s="3249"/>
      <c r="AA124" s="734"/>
    </row>
    <row r="125" spans="1:27" ht="18.75" customHeight="1">
      <c r="A125" s="3180" t="s">
        <v>2131</v>
      </c>
      <c r="B125" s="3180"/>
      <c r="C125" s="3180"/>
      <c r="D125" s="3220" t="e">
        <f>NUMBERSTRING(INT(D124*10000),2)&amp;"元整"</f>
        <v>#VALUE!</v>
      </c>
      <c r="E125" s="3221"/>
      <c r="F125" s="3221"/>
      <c r="G125" s="3221"/>
      <c r="H125" s="3221"/>
      <c r="I125" s="3222"/>
      <c r="AA125" s="734"/>
    </row>
    <row r="126" spans="1:27" ht="18.75" customHeight="1">
      <c r="A126" s="3211" t="str">
        <f>IF(项目基本情况!B9="房地产市场价值","",MID(E111,3,LEN(E111)-2))</f>
        <v>抵押净值</v>
      </c>
      <c r="B126" s="3211"/>
      <c r="C126" s="3211"/>
      <c r="D126" s="3247">
        <f ca="1">H111</f>
        <v>23146</v>
      </c>
      <c r="E126" s="3248"/>
      <c r="F126" s="3248"/>
      <c r="G126" s="3248"/>
      <c r="H126" s="3248"/>
      <c r="I126" s="3249"/>
      <c r="AA126" s="734"/>
    </row>
    <row r="127" spans="1:27" ht="18.75" customHeight="1">
      <c r="A127" s="3180" t="s">
        <v>2131</v>
      </c>
      <c r="B127" s="3180"/>
      <c r="C127" s="3180"/>
      <c r="D127" s="3220" t="str">
        <f ca="1">NUMBERSTRING(INT(D126*10000),2)&amp;"元整"</f>
        <v>贰亿叁仟壹佰肆拾陆万元整</v>
      </c>
      <c r="E127" s="3221"/>
      <c r="F127" s="3221"/>
      <c r="G127" s="3221"/>
      <c r="H127" s="3221"/>
      <c r="I127" s="3222"/>
      <c r="AA127" s="734"/>
    </row>
    <row r="128" spans="1:27" ht="21.75" customHeight="1">
      <c r="A128" s="3230" t="s">
        <v>2132</v>
      </c>
      <c r="B128" s="3230"/>
      <c r="C128" s="3230"/>
      <c r="D128" s="3230"/>
      <c r="E128" s="3230"/>
      <c r="F128" s="3230"/>
      <c r="G128" s="3230"/>
      <c r="H128" s="3230"/>
      <c r="I128" s="3230"/>
      <c r="AA128" s="734"/>
    </row>
    <row r="129" spans="1:35" ht="21.75" customHeight="1">
      <c r="A129" s="2015" t="s">
        <v>2133</v>
      </c>
      <c r="B129" s="2016"/>
      <c r="C129" s="2017" t="s">
        <v>2134</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2135</v>
      </c>
      <c r="G135" s="2032"/>
      <c r="H135" s="2032"/>
      <c r="I135" s="2033" t="s">
        <v>2136</v>
      </c>
    </row>
    <row r="136" spans="1:35" ht="21.75" customHeight="1">
      <c r="A136" s="734"/>
      <c r="B136" s="2034" t="s">
        <v>2137</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2138</v>
      </c>
    </row>
    <row r="139" spans="1:35" ht="21.75" customHeight="1">
      <c r="A139" s="734"/>
      <c r="B139" s="2034" t="s">
        <v>2139</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2138</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房地产抵押价值预评估</v>
      </c>
      <c r="C37" s="3074"/>
      <c r="D37" s="3074"/>
      <c r="E37" s="3074"/>
      <c r="F37" s="3074"/>
      <c r="G37" s="3074"/>
      <c r="H37" s="3074"/>
      <c r="I37" s="307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2140</v>
      </c>
      <c r="B1" s="1653" t="s">
        <v>3108</v>
      </c>
      <c r="C1" s="204"/>
      <c r="D1" s="204"/>
      <c r="E1" s="204"/>
      <c r="F1" s="204"/>
      <c r="G1" s="1288">
        <f>MATCH(B1,'数据-取费表'!A6:A16,0)+5</f>
        <v>6</v>
      </c>
    </row>
    <row r="2" spans="1:9" s="206" customFormat="1" ht="18" customHeight="1">
      <c r="A2" s="207" t="s">
        <v>2141</v>
      </c>
      <c r="B2" s="208">
        <f ca="1">IF(D2="——",C52,C52-E2)</f>
        <v>66274</v>
      </c>
      <c r="C2" s="205" t="s">
        <v>2142</v>
      </c>
      <c r="D2" s="2037" t="s">
        <v>70</v>
      </c>
      <c r="E2" s="1331" t="e">
        <f ca="1">SUMIF(INDIRECT("'"&amp;G2&amp;"'"&amp;"!A:A"),"承租人权益价值",INDIRECT("'"&amp;G2&amp;"'"&amp;"!c:c"))</f>
        <v>#REF!</v>
      </c>
      <c r="F2" s="2038" t="s">
        <v>2142</v>
      </c>
      <c r="G2" s="2039"/>
    </row>
    <row r="3" spans="1:9" s="206" customFormat="1" ht="18" customHeight="1" thickBot="1">
      <c r="A3" s="209" t="s">
        <v>2143</v>
      </c>
      <c r="B3" s="210">
        <f ca="1">ROUND(B2*10000/(IF(B1="",'数据-汇总表'!E3,INDIRECT("'数据-取费表'!k"&amp;$G$1))),0)</f>
        <v>17001</v>
      </c>
      <c r="C3" s="205" t="s">
        <v>2144</v>
      </c>
      <c r="D3" s="205"/>
      <c r="E3" s="205"/>
      <c r="F3" s="205"/>
      <c r="G3" s="205"/>
    </row>
    <row r="4" spans="1:9" s="214" customFormat="1" ht="15.75">
      <c r="A4" s="211" t="s">
        <v>2145</v>
      </c>
      <c r="B4" s="212"/>
      <c r="C4" s="212"/>
      <c r="D4" s="212"/>
      <c r="E4" s="212"/>
      <c r="F4" s="212"/>
      <c r="G4" s="213"/>
    </row>
    <row r="5" spans="1:9" s="220" customFormat="1" ht="13.5" customHeight="1">
      <c r="A5" s="261" t="s">
        <v>2146</v>
      </c>
      <c r="B5" s="216" t="s">
        <v>2147</v>
      </c>
      <c r="C5" s="217">
        <f ca="1">C6+C7+C8</f>
        <v>14152</v>
      </c>
      <c r="D5" s="217" t="s">
        <v>2148</v>
      </c>
      <c r="E5" s="218" t="s">
        <v>2149</v>
      </c>
      <c r="F5" s="218" t="s">
        <v>2150</v>
      </c>
      <c r="G5" s="219"/>
    </row>
    <row r="6" spans="1:9" s="220" customFormat="1" ht="13.5" customHeight="1">
      <c r="A6" s="886" t="s">
        <v>2151</v>
      </c>
      <c r="B6" s="221" t="s">
        <v>2152</v>
      </c>
      <c r="C6" s="222">
        <f>'土地比较法-住宅、综合'!B2</f>
        <v>13336</v>
      </c>
      <c r="D6" s="223"/>
      <c r="E6" s="224"/>
      <c r="F6" s="224"/>
      <c r="G6" s="225"/>
    </row>
    <row r="7" spans="1:9" s="220" customFormat="1" ht="13.5" customHeight="1">
      <c r="A7" s="886" t="s">
        <v>2153</v>
      </c>
      <c r="B7" s="221" t="s">
        <v>2154</v>
      </c>
      <c r="C7" s="226">
        <f>ROUND(C6*F7,0)</f>
        <v>407</v>
      </c>
      <c r="D7" s="226"/>
      <c r="E7" s="224"/>
      <c r="F7" s="227">
        <f>IF(项目基本情况!B8="出让",0,'数据-取费表'!B48+'数据-取费表'!B49)</f>
        <v>3.0499999999999999E-2</v>
      </c>
      <c r="G7" s="225"/>
    </row>
    <row r="8" spans="1:9" s="229" customFormat="1">
      <c r="A8" s="886" t="s">
        <v>2155</v>
      </c>
      <c r="B8" s="221" t="s">
        <v>2156</v>
      </c>
      <c r="C8" s="226">
        <f ca="1">IF(G8="已包含在土地购买价格中","0",IF(B1="",'数据-取费表'!B29,IF(G9="全部缴纳",C9+C10,H9)))</f>
        <v>409</v>
      </c>
      <c r="D8" s="228"/>
      <c r="E8" s="226"/>
      <c r="F8" s="227"/>
      <c r="G8" s="2040" t="s">
        <v>3103</v>
      </c>
    </row>
    <row r="9" spans="1:9" s="220" customFormat="1" ht="13.5" customHeight="1">
      <c r="A9" s="887" t="s">
        <v>800</v>
      </c>
      <c r="B9" s="230" t="s">
        <v>2157</v>
      </c>
      <c r="C9" s="231">
        <f ca="1">ROUND(D9*E9/10000,0)</f>
        <v>0</v>
      </c>
      <c r="D9" s="954">
        <f ca="1">IF(B1="",'数据-汇总表'!E5,IF(INDIRECT("'数据-取费表'!c"&amp;$G$1)="住宅",INDIRECT("'数据-取费表'!k"&amp;$G$1),0))</f>
        <v>0</v>
      </c>
      <c r="E9" s="231">
        <f>'数据-取费表'!B27</f>
        <v>105</v>
      </c>
      <c r="F9" s="227"/>
      <c r="G9" s="2041" t="s">
        <v>3104</v>
      </c>
      <c r="H9" s="1299"/>
      <c r="I9" s="2042" t="s">
        <v>2158</v>
      </c>
    </row>
    <row r="10" spans="1:9" s="220" customFormat="1" ht="13.5" customHeight="1">
      <c r="A10" s="887" t="s">
        <v>801</v>
      </c>
      <c r="B10" s="230" t="s">
        <v>2159</v>
      </c>
      <c r="C10" s="231">
        <f ca="1">ROUND(D10*E10/10000,0)</f>
        <v>409</v>
      </c>
      <c r="D10" s="954">
        <f ca="1">IF(B1="",'数据-汇总表'!E6,IF(INDIRECT("'数据-取费表'!c"&amp;$G$1)="住宅",INDIRECT("'数据-取费表'!s"&amp;$G$1),INDIRECT("'数据-取费表'!k"&amp;$G$1)+INDIRECT("'数据-取费表'!s"&amp;$G$1)))</f>
        <v>38981.680000000008</v>
      </c>
      <c r="E10" s="231">
        <f>'数据-取费表'!B28</f>
        <v>105</v>
      </c>
      <c r="F10" s="227"/>
      <c r="G10" s="232"/>
    </row>
    <row r="11" spans="1:9" s="220" customFormat="1" ht="13.5" hidden="1" customHeight="1">
      <c r="A11" s="233" t="s">
        <v>7</v>
      </c>
      <c r="B11" s="221" t="s">
        <v>2160</v>
      </c>
      <c r="C11" s="217"/>
      <c r="D11" s="956"/>
      <c r="E11" s="224"/>
      <c r="F11" s="224"/>
      <c r="G11" s="225"/>
    </row>
    <row r="12" spans="1:9" s="220" customFormat="1" ht="13.5" hidden="1" customHeight="1">
      <c r="A12" s="233" t="s">
        <v>8</v>
      </c>
      <c r="B12" s="221" t="s">
        <v>2161</v>
      </c>
      <c r="C12" s="217">
        <v>0</v>
      </c>
      <c r="D12" s="956"/>
      <c r="E12" s="234"/>
      <c r="F12" s="227">
        <v>3.0499999999999999E-2</v>
      </c>
      <c r="G12" s="225"/>
    </row>
    <row r="13" spans="1:9" s="220" customFormat="1" ht="13.5" hidden="1" customHeight="1">
      <c r="A13" s="233" t="s">
        <v>9</v>
      </c>
      <c r="B13" s="221" t="s">
        <v>2162</v>
      </c>
      <c r="C13" s="217"/>
      <c r="D13" s="956"/>
      <c r="E13" s="224"/>
      <c r="F13" s="224"/>
      <c r="G13" s="225"/>
    </row>
    <row r="14" spans="1:9" s="220" customFormat="1" ht="13.5" hidden="1" customHeight="1">
      <c r="A14" s="233" t="s">
        <v>10</v>
      </c>
      <c r="B14" s="221" t="s">
        <v>2163</v>
      </c>
      <c r="C14" s="217"/>
      <c r="D14" s="956"/>
      <c r="E14" s="224"/>
      <c r="F14" s="224"/>
      <c r="G14" s="225" t="s">
        <v>2164</v>
      </c>
    </row>
    <row r="15" spans="1:9" s="220" customFormat="1" ht="13.5" hidden="1" customHeight="1">
      <c r="A15" s="233" t="s">
        <v>11</v>
      </c>
      <c r="B15" s="221" t="s">
        <v>2165</v>
      </c>
      <c r="C15" s="226"/>
      <c r="D15" s="956"/>
      <c r="E15" s="224"/>
      <c r="F15" s="224"/>
      <c r="G15" s="225" t="s">
        <v>2166</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2167</v>
      </c>
      <c r="C17" s="235"/>
      <c r="D17" s="957"/>
      <c r="E17" s="235"/>
      <c r="F17" s="235"/>
      <c r="G17" s="225" t="s">
        <v>2166</v>
      </c>
    </row>
    <row r="18" spans="1:7" s="220" customFormat="1" ht="13.5" hidden="1" customHeight="1">
      <c r="A18" s="233" t="s">
        <v>14</v>
      </c>
      <c r="B18" s="221" t="s">
        <v>2168</v>
      </c>
      <c r="C18" s="226">
        <v>0</v>
      </c>
      <c r="D18" s="956"/>
      <c r="E18" s="224"/>
      <c r="F18" s="227">
        <v>3.0499999999999999E-2</v>
      </c>
      <c r="G18" s="225" t="s">
        <v>2169</v>
      </c>
    </row>
    <row r="19" spans="1:7" s="229" customFormat="1" ht="13.5" customHeight="1">
      <c r="A19" s="261" t="s">
        <v>2170</v>
      </c>
      <c r="B19" s="216" t="s">
        <v>2171</v>
      </c>
      <c r="C19" s="217" t="str">
        <f>IF(G19="已包含在土地取得成本中","0",ROUND(D19*E19/10000,0))</f>
        <v>0</v>
      </c>
      <c r="D19" s="958">
        <f ca="1">D9+D10</f>
        <v>38981.680000000008</v>
      </c>
      <c r="E19" s="217">
        <f>'数据-取费表'!B31</f>
        <v>200</v>
      </c>
      <c r="F19" s="237"/>
      <c r="G19" s="2040" t="s">
        <v>3105</v>
      </c>
    </row>
    <row r="20" spans="1:7" s="220" customFormat="1" ht="13.5" customHeight="1">
      <c r="A20" s="261" t="s">
        <v>2172</v>
      </c>
      <c r="B20" s="216" t="s">
        <v>2173</v>
      </c>
      <c r="C20" s="238">
        <f ca="1">ROUND((C5+C19)*F20,0)</f>
        <v>283</v>
      </c>
      <c r="D20" s="238"/>
      <c r="E20" s="238"/>
      <c r="F20" s="239">
        <f>'数据-取费表'!B37</f>
        <v>0.02</v>
      </c>
      <c r="G20" s="240" t="s">
        <v>2174</v>
      </c>
    </row>
    <row r="21" spans="1:7" s="220" customFormat="1" ht="13.5" customHeight="1">
      <c r="A21" s="261" t="s">
        <v>2175</v>
      </c>
      <c r="B21" s="216" t="s">
        <v>2176</v>
      </c>
      <c r="C21" s="241">
        <f>F21</f>
        <v>0.02</v>
      </c>
      <c r="D21" s="242" t="s">
        <v>2177</v>
      </c>
      <c r="E21" s="238"/>
      <c r="F21" s="239">
        <f>'数据-取费表'!B38</f>
        <v>0.02</v>
      </c>
      <c r="G21" s="240" t="s">
        <v>2178</v>
      </c>
    </row>
    <row r="22" spans="1:7" s="220" customFormat="1" ht="13.5" customHeight="1">
      <c r="A22" s="261" t="s">
        <v>2179</v>
      </c>
      <c r="B22" s="216" t="s">
        <v>2180</v>
      </c>
      <c r="C22" s="1264">
        <f ca="1">ROUND(SUM(C23:C25),0)</f>
        <v>1947</v>
      </c>
      <c r="D22" s="241">
        <f ca="1">C26</f>
        <v>1.2999999999999999E-3</v>
      </c>
      <c r="E22" s="242" t="s">
        <v>2177</v>
      </c>
      <c r="F22" s="243">
        <f ca="1">'数据-取费表'!B40</f>
        <v>4.3499999999999997E-2</v>
      </c>
      <c r="G22" s="240" t="str">
        <f>IF('数据-取费表'!B22&lt;=1,"单利计息","复利计息")</f>
        <v>复利计息</v>
      </c>
    </row>
    <row r="23" spans="1:7" s="220" customFormat="1" ht="13.5" customHeight="1">
      <c r="A23" s="888" t="s">
        <v>2181</v>
      </c>
      <c r="B23" s="221" t="s">
        <v>2182</v>
      </c>
      <c r="C23" s="1265">
        <f ca="1">ROUND(IF('数据-取费表'!B22&lt;=1,C5*F22*'数据-取费表'!B23,C5*(POWER((1+F22),'数据-取费表'!B23)-1)),0)</f>
        <v>1928</v>
      </c>
      <c r="D23" s="244"/>
      <c r="E23" s="244"/>
      <c r="F23" s="245"/>
      <c r="G23" s="246" t="s">
        <v>2183</v>
      </c>
    </row>
    <row r="24" spans="1:7" s="220" customFormat="1" ht="13.5" customHeight="1">
      <c r="A24" s="888" t="s">
        <v>2184</v>
      </c>
      <c r="B24" s="221" t="s">
        <v>2185</v>
      </c>
      <c r="C24" s="1265">
        <f ca="1">ROUND(IF('数据-取费表'!B22&lt;=1,C19*F22*('数据-取费表'!B19/2+'数据-取费表'!B21),C19*(POWER((1+F22),('数据-取费表'!B19/2+'数据-取费表'!B21))-1)),0)</f>
        <v>0</v>
      </c>
      <c r="D24" s="244"/>
      <c r="E24" s="244"/>
      <c r="F24" s="245"/>
      <c r="G24" s="246" t="s">
        <v>2186</v>
      </c>
    </row>
    <row r="25" spans="1:7" s="220" customFormat="1" ht="24">
      <c r="A25" s="888" t="s">
        <v>2187</v>
      </c>
      <c r="B25" s="221" t="s">
        <v>2188</v>
      </c>
      <c r="C25" s="1265">
        <f ca="1">ROUND(IF('数据-取费表'!B22&lt;=1,C20*F22*'数据-取费表'!B23/2,C20*(POWER((1+F22),'数据-取费表'!B23/2)-1)),0)</f>
        <v>19</v>
      </c>
      <c r="D25" s="244"/>
      <c r="E25" s="247"/>
      <c r="F25" s="245"/>
      <c r="G25" s="248" t="s">
        <v>2189</v>
      </c>
    </row>
    <row r="26" spans="1:7" s="220" customFormat="1">
      <c r="A26" s="888" t="s">
        <v>795</v>
      </c>
      <c r="B26" s="221" t="s">
        <v>2190</v>
      </c>
      <c r="C26" s="244">
        <f ca="1">ROUND(IF('数据-取费表'!B22&lt;=1,F21*F22*'数据-取费表'!B23/2,F21*(POWER((1+F22),'数据-取费表'!B23/2)-1)),4)</f>
        <v>1.2999999999999999E-3</v>
      </c>
      <c r="D26" s="244"/>
      <c r="E26" s="247"/>
      <c r="F26" s="245"/>
      <c r="G26" s="249"/>
    </row>
    <row r="27" spans="1:7" s="220" customFormat="1" ht="24.75">
      <c r="A27" s="261" t="s">
        <v>2191</v>
      </c>
      <c r="B27" s="250" t="s">
        <v>2192</v>
      </c>
      <c r="C27" s="251">
        <f ca="1">C28</f>
        <v>2887</v>
      </c>
      <c r="D27" s="241">
        <f ca="1">C29</f>
        <v>4.0000000000000001E-3</v>
      </c>
      <c r="E27" s="242" t="s">
        <v>2193</v>
      </c>
      <c r="F27" s="252">
        <f ca="1">IF(B1="",'数据-取费表'!Q16,INDIRECT("'数据-取费表'!q"&amp;$G$1))</f>
        <v>0.2</v>
      </c>
      <c r="G27" s="253" t="s">
        <v>2194</v>
      </c>
    </row>
    <row r="28" spans="1:7" s="220" customFormat="1" ht="13.5" customHeight="1">
      <c r="A28" s="888" t="s">
        <v>791</v>
      </c>
      <c r="B28" s="254" t="s">
        <v>2195</v>
      </c>
      <c r="C28" s="255">
        <f ca="1">ROUND((C5+C19+C20)*F27*'数据-取费表'!B21/'数据-取费表'!B20,0)</f>
        <v>2887</v>
      </c>
      <c r="D28" s="241"/>
      <c r="E28" s="242"/>
      <c r="F28" s="252"/>
      <c r="G28" s="253"/>
    </row>
    <row r="29" spans="1:7" s="220" customFormat="1" ht="13.5" customHeight="1">
      <c r="A29" s="888" t="s">
        <v>792</v>
      </c>
      <c r="B29" s="254" t="s">
        <v>2196</v>
      </c>
      <c r="C29" s="244">
        <f ca="1">ROUND(C21*F27*'数据-取费表'!B21/'数据-取费表'!B20,4)</f>
        <v>4.0000000000000001E-3</v>
      </c>
      <c r="D29" s="241"/>
      <c r="E29" s="242"/>
      <c r="F29" s="252"/>
      <c r="G29" s="253"/>
    </row>
    <row r="30" spans="1:7" s="220" customFormat="1" ht="13.5" customHeight="1">
      <c r="A30" s="261" t="s">
        <v>2197</v>
      </c>
      <c r="B30" s="216" t="s">
        <v>2198</v>
      </c>
      <c r="C30" s="241">
        <f>ROUND(F30/(1+'数据-取费表'!C42),4)</f>
        <v>5.33E-2</v>
      </c>
      <c r="D30" s="242" t="s">
        <v>2193</v>
      </c>
      <c r="E30" s="247"/>
      <c r="F30" s="243">
        <f>'数据-取费表'!B41</f>
        <v>5.6000000000000001E-2</v>
      </c>
      <c r="G30" s="240" t="s">
        <v>2199</v>
      </c>
    </row>
    <row r="31" spans="1:7" ht="16.5" customHeight="1">
      <c r="A31" s="215">
        <v>1</v>
      </c>
      <c r="B31" s="216" t="s">
        <v>2200</v>
      </c>
      <c r="C31" s="217">
        <f ca="1">ROUND((C5+C19+C20+C22+C27)/(1-C21-D22-D27-C30),0)</f>
        <v>20913</v>
      </c>
      <c r="D31" s="236"/>
      <c r="E31" s="217"/>
      <c r="F31" s="256"/>
      <c r="G31" s="240" t="s">
        <v>2201</v>
      </c>
    </row>
    <row r="32" spans="1:7" s="214" customFormat="1" ht="15.75">
      <c r="A32" s="258" t="s">
        <v>2202</v>
      </c>
      <c r="B32" s="259"/>
      <c r="C32" s="259"/>
      <c r="D32" s="259"/>
      <c r="E32" s="259"/>
      <c r="F32" s="259"/>
      <c r="G32" s="260"/>
    </row>
    <row r="33" spans="1:7" s="220" customFormat="1" ht="13.5" customHeight="1">
      <c r="A33" s="261" t="s">
        <v>782</v>
      </c>
      <c r="B33" s="216" t="s">
        <v>2203</v>
      </c>
      <c r="C33" s="262">
        <f ca="1">SUM(C34:C38)</f>
        <v>33369</v>
      </c>
      <c r="D33" s="238"/>
      <c r="E33" s="218"/>
      <c r="F33" s="247"/>
      <c r="G33" s="240"/>
    </row>
    <row r="34" spans="1:7" s="264" customFormat="1" ht="13.5" customHeight="1">
      <c r="A34" s="888" t="s">
        <v>791</v>
      </c>
      <c r="B34" s="221" t="s">
        <v>2204</v>
      </c>
      <c r="C34" s="226">
        <f ca="1">IF(B1="",IF(F34=100%,'数据-取费表'!M16,'数据-取费表'!O16),IF(F34=100%,INDIRECT("'数据-取费表'!m"&amp;$G$1)+INDIRECT("'数据-取费表'!t"&amp;$G$1),INDIRECT("'数据-取费表'!o"&amp;$G$1)+INDIRECT("'数据-取费表'!aq"&amp;$G$1)))</f>
        <v>31185</v>
      </c>
      <c r="D34" s="223"/>
      <c r="E34" s="226"/>
      <c r="F34" s="263">
        <f ca="1">IF('数据-取费表'!B24=0,1,IF(B1="",'数据-取费表'!N16,INDIRECT("'数据-取费表'!n"&amp;$G$1)))</f>
        <v>1</v>
      </c>
      <c r="G34" s="225" t="s">
        <v>2205</v>
      </c>
    </row>
    <row r="35" spans="1:7" ht="13.5" customHeight="1">
      <c r="A35" s="888" t="s">
        <v>796</v>
      </c>
      <c r="B35" s="221" t="s">
        <v>2206</v>
      </c>
      <c r="C35" s="226">
        <f ca="1">ROUND(C34*F35,0)</f>
        <v>936</v>
      </c>
      <c r="D35" s="226"/>
      <c r="E35" s="226"/>
      <c r="F35" s="265">
        <f>'数据-取费表'!B33</f>
        <v>0.03</v>
      </c>
      <c r="G35" s="225" t="s">
        <v>2207</v>
      </c>
    </row>
    <row r="36" spans="1:7" ht="24">
      <c r="A36" s="888" t="s">
        <v>797</v>
      </c>
      <c r="B36" s="221" t="s">
        <v>2208</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2209</v>
      </c>
    </row>
    <row r="37" spans="1:7" s="264" customFormat="1" ht="13.5" customHeight="1">
      <c r="A37" s="888" t="s">
        <v>798</v>
      </c>
      <c r="B37" s="221" t="s">
        <v>2210</v>
      </c>
      <c r="C37" s="255">
        <f ca="1">ROUND(E37*D37*F34/10000,0)</f>
        <v>780</v>
      </c>
      <c r="D37" s="223">
        <f ca="1">D19</f>
        <v>38981.680000000008</v>
      </c>
      <c r="E37" s="255">
        <f>'数据-取费表'!B35</f>
        <v>200</v>
      </c>
      <c r="F37" s="265"/>
      <c r="G37" s="267" t="s">
        <v>2211</v>
      </c>
    </row>
    <row r="38" spans="1:7" ht="13.5" customHeight="1">
      <c r="A38" s="888" t="s">
        <v>799</v>
      </c>
      <c r="B38" s="221" t="s">
        <v>2212</v>
      </c>
      <c r="C38" s="226">
        <f ca="1">ROUND(C34*F38,0)</f>
        <v>468</v>
      </c>
      <c r="D38" s="226"/>
      <c r="E38" s="226"/>
      <c r="F38" s="265">
        <f>'数据-取费表'!B36</f>
        <v>1.4999999999999999E-2</v>
      </c>
      <c r="G38" s="225" t="s">
        <v>2207</v>
      </c>
    </row>
    <row r="39" spans="1:7" s="220" customFormat="1" ht="13.5" customHeight="1">
      <c r="A39" s="261" t="s">
        <v>2213</v>
      </c>
      <c r="B39" s="216" t="s">
        <v>2214</v>
      </c>
      <c r="C39" s="238">
        <f ca="1">ROUND(C33*F20,0)</f>
        <v>667</v>
      </c>
      <c r="D39" s="238"/>
      <c r="E39" s="238"/>
      <c r="F39" s="2533">
        <f>F20</f>
        <v>0.02</v>
      </c>
      <c r="G39" s="240" t="s">
        <v>2215</v>
      </c>
    </row>
    <row r="40" spans="1:7" s="220" customFormat="1" ht="13.5" customHeight="1">
      <c r="A40" s="261" t="s">
        <v>2216</v>
      </c>
      <c r="B40" s="216" t="s">
        <v>2217</v>
      </c>
      <c r="C40" s="1494">
        <f>F21</f>
        <v>0.02</v>
      </c>
      <c r="D40" s="242" t="s">
        <v>2218</v>
      </c>
      <c r="E40" s="238"/>
      <c r="F40" s="2533">
        <f>F21</f>
        <v>0.02</v>
      </c>
      <c r="G40" s="240" t="s">
        <v>2219</v>
      </c>
    </row>
    <row r="41" spans="1:7" s="220" customFormat="1" ht="13.5" customHeight="1">
      <c r="A41" s="261" t="s">
        <v>2220</v>
      </c>
      <c r="B41" s="216" t="s">
        <v>2221</v>
      </c>
      <c r="C41" s="238">
        <f ca="1">ROUND(SUM(C42:C43),0)</f>
        <v>2245</v>
      </c>
      <c r="D41" s="241">
        <f ca="1">C44</f>
        <v>1.2999999999999999E-3</v>
      </c>
      <c r="E41" s="242" t="s">
        <v>2218</v>
      </c>
      <c r="F41" s="2534">
        <f ca="1">F22</f>
        <v>4.3499999999999997E-2</v>
      </c>
      <c r="G41" s="240" t="str">
        <f>IF('数据-取费表'!B22&lt;=1,"单利计息","复利计息")</f>
        <v>复利计息</v>
      </c>
    </row>
    <row r="42" spans="1:7" ht="13.5" customHeight="1">
      <c r="A42" s="888" t="s">
        <v>791</v>
      </c>
      <c r="B42" s="221" t="s">
        <v>2222</v>
      </c>
      <c r="C42" s="244">
        <f ca="1">ROUND(IF('数据-取费表'!B22&lt;=1,C33*F22*'数据-取费表'!B21/2,C33*(POWER((1+F22),'数据-取费表'!B21/2)-1)),0)</f>
        <v>2201</v>
      </c>
      <c r="D42" s="244"/>
      <c r="E42" s="244"/>
      <c r="F42" s="245"/>
      <c r="G42" s="3263" t="s">
        <v>2223</v>
      </c>
    </row>
    <row r="43" spans="1:7" ht="13.5" customHeight="1">
      <c r="A43" s="888" t="s">
        <v>792</v>
      </c>
      <c r="B43" s="221" t="s">
        <v>2224</v>
      </c>
      <c r="C43" s="244">
        <f ca="1">ROUND(IF('数据-取费表'!B22&lt;=1,C39*F22*'数据-取费表'!B21/2,C39*(POWER((1+F22),'数据-取费表'!B21/2)-1)),0)</f>
        <v>44</v>
      </c>
      <c r="D43" s="244"/>
      <c r="E43" s="244"/>
      <c r="F43" s="245"/>
      <c r="G43" s="3264"/>
    </row>
    <row r="44" spans="1:7" ht="13.5" customHeight="1">
      <c r="A44" s="888" t="s">
        <v>793</v>
      </c>
      <c r="B44" s="221" t="s">
        <v>2225</v>
      </c>
      <c r="C44" s="244">
        <f ca="1">ROUND(IF('数据-取费表'!B22&lt;=1,C40*F22*'数据-取费表'!B21/2,C40*(POWER((1+F22),'数据-取费表'!B21/2)-1)),4)</f>
        <v>1.2999999999999999E-3</v>
      </c>
      <c r="D44" s="244"/>
      <c r="E44" s="244"/>
      <c r="F44" s="245"/>
      <c r="G44" s="3265"/>
    </row>
    <row r="45" spans="1:7" s="220" customFormat="1" ht="13.5" customHeight="1">
      <c r="A45" s="261" t="s">
        <v>2226</v>
      </c>
      <c r="B45" s="250" t="s">
        <v>2192</v>
      </c>
      <c r="C45" s="251">
        <f ca="1">C46</f>
        <v>6807</v>
      </c>
      <c r="D45" s="241">
        <f ca="1">C47</f>
        <v>4.0000000000000001E-3</v>
      </c>
      <c r="E45" s="242" t="s">
        <v>2218</v>
      </c>
      <c r="F45" s="2535">
        <f ca="1">F27</f>
        <v>0.2</v>
      </c>
      <c r="G45" s="253" t="s">
        <v>2227</v>
      </c>
    </row>
    <row r="46" spans="1:7" s="220" customFormat="1" ht="13.5" customHeight="1">
      <c r="A46" s="888" t="s">
        <v>791</v>
      </c>
      <c r="B46" s="254" t="s">
        <v>2228</v>
      </c>
      <c r="C46" s="255">
        <f ca="1">ROUND((C33+C39)*F27,0)</f>
        <v>6807</v>
      </c>
      <c r="D46" s="269"/>
      <c r="E46" s="242"/>
      <c r="F46" s="252"/>
      <c r="G46" s="253"/>
    </row>
    <row r="47" spans="1:7" s="220" customFormat="1" ht="13.5" customHeight="1">
      <c r="A47" s="888" t="s">
        <v>792</v>
      </c>
      <c r="B47" s="254" t="s">
        <v>2229</v>
      </c>
      <c r="C47" s="244">
        <f ca="1">ROUND(C40*F27,4)</f>
        <v>4.0000000000000001E-3</v>
      </c>
      <c r="D47" s="269"/>
      <c r="E47" s="242"/>
      <c r="F47" s="252"/>
      <c r="G47" s="253"/>
    </row>
    <row r="48" spans="1:7" s="220" customFormat="1" ht="13.5" customHeight="1">
      <c r="A48" s="261" t="s">
        <v>2191</v>
      </c>
      <c r="B48" s="216" t="s">
        <v>2230</v>
      </c>
      <c r="C48" s="1494">
        <f>ROUND(F30/(1+'数据-取费表'!C42),4)</f>
        <v>5.33E-2</v>
      </c>
      <c r="D48" s="242" t="s">
        <v>2218</v>
      </c>
      <c r="E48" s="238"/>
      <c r="F48" s="2534">
        <f>F30</f>
        <v>5.6000000000000001E-2</v>
      </c>
      <c r="G48" s="240" t="s">
        <v>2231</v>
      </c>
    </row>
    <row r="49" spans="1:7" ht="16.5" customHeight="1">
      <c r="A49" s="261" t="s">
        <v>2197</v>
      </c>
      <c r="B49" s="216" t="s">
        <v>2232</v>
      </c>
      <c r="C49" s="238">
        <f ca="1">ROUND((C33+C39+C41+C45)/(1-C40-D41-D45-C48),0)</f>
        <v>46764</v>
      </c>
      <c r="D49" s="238"/>
      <c r="E49" s="238"/>
      <c r="F49" s="270"/>
      <c r="G49" s="240" t="s">
        <v>2233</v>
      </c>
    </row>
    <row r="50" spans="1:7" s="264" customFormat="1" ht="24">
      <c r="A50" s="261" t="s">
        <v>2234</v>
      </c>
      <c r="B50" s="216" t="s">
        <v>2235</v>
      </c>
      <c r="C50" s="238"/>
      <c r="D50" s="238"/>
      <c r="E50" s="238"/>
      <c r="F50" s="270">
        <f>IF('数据-取费表'!B24=0,'数据-取费表'!N16,1)</f>
        <v>0.97</v>
      </c>
      <c r="G50" s="253" t="s">
        <v>2236</v>
      </c>
    </row>
    <row r="51" spans="1:7" ht="16.5" customHeight="1">
      <c r="A51" s="261" t="s">
        <v>2237</v>
      </c>
      <c r="B51" s="216" t="s">
        <v>2238</v>
      </c>
      <c r="C51" s="238">
        <f ca="1">ROUND(C49*F50,0)</f>
        <v>45361</v>
      </c>
      <c r="D51" s="238"/>
      <c r="E51" s="238"/>
      <c r="F51" s="270"/>
      <c r="G51" s="240" t="s">
        <v>2239</v>
      </c>
    </row>
    <row r="52" spans="1:7" s="214" customFormat="1" ht="16.5" thickBot="1">
      <c r="A52" s="271" t="s">
        <v>2240</v>
      </c>
      <c r="B52" s="272"/>
      <c r="C52" s="273">
        <f ca="1">C31+C51</f>
        <v>66274</v>
      </c>
      <c r="D52" s="272"/>
      <c r="E52" s="272"/>
      <c r="F52" s="272"/>
      <c r="G52" s="274"/>
    </row>
    <row r="55" spans="1:7" ht="15">
      <c r="B55" s="276" t="s">
        <v>2241</v>
      </c>
      <c r="C55" s="277"/>
    </row>
    <row r="56" spans="1:7">
      <c r="B56" s="279" t="s">
        <v>1471</v>
      </c>
      <c r="C56" s="281">
        <f ca="1">1-C57</f>
        <v>0.31599999999999995</v>
      </c>
    </row>
    <row r="57" spans="1:7">
      <c r="B57" s="279" t="s">
        <v>1472</v>
      </c>
      <c r="C57" s="280">
        <f ca="1">ROUND(C51/C52,3)</f>
        <v>0.68400000000000005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2140</v>
      </c>
      <c r="B1" s="1653"/>
      <c r="C1" s="2043" t="s">
        <v>2242</v>
      </c>
      <c r="D1" s="204"/>
      <c r="E1" s="204"/>
      <c r="F1" s="204"/>
      <c r="G1" s="1288">
        <f>MATCH(B1,'数据-取费表'!A6:A16,0)+5</f>
        <v>7</v>
      </c>
      <c r="H1" s="1192" t="str">
        <f>IF(ISERROR(FIND("住宅",B1)),"非住宅","住宅")</f>
        <v>非住宅</v>
      </c>
    </row>
    <row r="2" spans="1:8" s="206" customFormat="1" ht="18" customHeight="1">
      <c r="A2" s="207" t="s">
        <v>2141</v>
      </c>
      <c r="B2" s="208">
        <f ca="1">ROUND(IF(D2="——",C52/10000,C52/10000-E2),0)</f>
        <v>47117</v>
      </c>
      <c r="C2" s="205" t="s">
        <v>2142</v>
      </c>
      <c r="D2" s="2037" t="s">
        <v>70</v>
      </c>
      <c r="E2" s="1331" t="e">
        <f ca="1">SUMIF(INDIRECT("'"&amp;G2&amp;"'"&amp;"!A:A"),"承租人权益价值",INDIRECT("'"&amp;G2&amp;"'"&amp;"!c:c"))</f>
        <v>#REF!</v>
      </c>
      <c r="F2" s="2038" t="s">
        <v>2142</v>
      </c>
      <c r="G2" s="2039"/>
    </row>
    <row r="3" spans="1:8" s="206" customFormat="1" ht="18" customHeight="1" thickBot="1">
      <c r="A3" s="209" t="s">
        <v>2143</v>
      </c>
      <c r="B3" s="210">
        <f ca="1">ROUND(B2*10000/(IF(B1="",'数据-汇总表'!E3,INDIRECT("'数据-取费表'!k"&amp;$G$1))),0)</f>
        <v>12087</v>
      </c>
      <c r="C3" s="205" t="s">
        <v>2144</v>
      </c>
      <c r="D3" s="205"/>
      <c r="E3" s="205"/>
      <c r="F3" s="205"/>
      <c r="G3" s="205"/>
    </row>
    <row r="4" spans="1:8" s="214" customFormat="1" ht="15.75">
      <c r="A4" s="211" t="s">
        <v>2145</v>
      </c>
      <c r="B4" s="212"/>
      <c r="C4" s="212"/>
      <c r="D4" s="212"/>
      <c r="E4" s="212"/>
      <c r="F4" s="212"/>
      <c r="G4" s="213"/>
    </row>
    <row r="5" spans="1:8" s="220" customFormat="1" ht="13.5" customHeight="1">
      <c r="A5" s="261" t="s">
        <v>2146</v>
      </c>
      <c r="B5" s="216" t="s">
        <v>2147</v>
      </c>
      <c r="C5" s="217">
        <f ca="1">C6+C7+C8</f>
        <v>4093076</v>
      </c>
      <c r="D5" s="217" t="s">
        <v>2148</v>
      </c>
      <c r="E5" s="218" t="s">
        <v>2149</v>
      </c>
      <c r="F5" s="218" t="s">
        <v>2150</v>
      </c>
      <c r="G5" s="219"/>
    </row>
    <row r="6" spans="1:8" s="220" customFormat="1" ht="13.5" customHeight="1">
      <c r="A6" s="886" t="s">
        <v>2151</v>
      </c>
      <c r="B6" s="221" t="s">
        <v>2152</v>
      </c>
      <c r="C6" s="222"/>
      <c r="D6" s="223"/>
      <c r="E6" s="224"/>
      <c r="F6" s="224"/>
      <c r="G6" s="225"/>
    </row>
    <row r="7" spans="1:8" s="220" customFormat="1" ht="13.5" customHeight="1">
      <c r="A7" s="886" t="s">
        <v>2153</v>
      </c>
      <c r="B7" s="221" t="s">
        <v>2154</v>
      </c>
      <c r="C7" s="226">
        <f>ROUND(C6*F7,0)</f>
        <v>0</v>
      </c>
      <c r="D7" s="226"/>
      <c r="E7" s="224"/>
      <c r="F7" s="227">
        <f>IF(项目基本情况!B8="出让",0,'数据-取费表'!B48+'数据-取费表'!B49)</f>
        <v>3.0499999999999999E-2</v>
      </c>
      <c r="G7" s="225"/>
    </row>
    <row r="8" spans="1:8" s="229" customFormat="1">
      <c r="A8" s="886" t="s">
        <v>2155</v>
      </c>
      <c r="B8" s="221" t="s">
        <v>2156</v>
      </c>
      <c r="C8" s="226">
        <f ca="1">IF(G8="已包含在土地购买价格中",0,C9+C10)</f>
        <v>4093076</v>
      </c>
      <c r="D8" s="228"/>
      <c r="E8" s="226"/>
      <c r="F8" s="227"/>
      <c r="G8" s="2040"/>
    </row>
    <row r="9" spans="1:8" s="220" customFormat="1" ht="13.5" customHeight="1">
      <c r="A9" s="887" t="s">
        <v>800</v>
      </c>
      <c r="B9" s="230" t="s">
        <v>2157</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2159</v>
      </c>
      <c r="C10" s="231">
        <f ca="1">ROUND(D10*E10,0)</f>
        <v>4093076</v>
      </c>
      <c r="D10" s="954">
        <f ca="1">IF(B1="",'数据-汇总表'!E6,IF(INDIRECT("'数据-取费表'!c"&amp;$G$1)="住宅",INDIRECT("'数据-取费表'!s"&amp;$G$1),INDIRECT("'数据-取费表'!k"&amp;$G$1)+INDIRECT("'数据-取费表'!s"&amp;$G$1)))</f>
        <v>38981.680000000008</v>
      </c>
      <c r="E10" s="231">
        <f>'数据-取费表'!B28</f>
        <v>105</v>
      </c>
      <c r="F10" s="227"/>
      <c r="G10" s="232"/>
    </row>
    <row r="11" spans="1:8" s="220" customFormat="1" ht="13.5" hidden="1" customHeight="1">
      <c r="A11" s="233" t="s">
        <v>7</v>
      </c>
      <c r="B11" s="221" t="s">
        <v>2160</v>
      </c>
      <c r="C11" s="217"/>
      <c r="D11" s="956"/>
      <c r="E11" s="224"/>
      <c r="F11" s="224"/>
      <c r="G11" s="225"/>
    </row>
    <row r="12" spans="1:8" s="220" customFormat="1" ht="13.5" hidden="1" customHeight="1">
      <c r="A12" s="233" t="s">
        <v>8</v>
      </c>
      <c r="B12" s="221" t="s">
        <v>2243</v>
      </c>
      <c r="C12" s="217">
        <v>0</v>
      </c>
      <c r="D12" s="956"/>
      <c r="E12" s="234"/>
      <c r="F12" s="227">
        <v>3.0499999999999999E-2</v>
      </c>
      <c r="G12" s="225"/>
    </row>
    <row r="13" spans="1:8" s="220" customFormat="1" ht="13.5" hidden="1" customHeight="1">
      <c r="A13" s="233" t="s">
        <v>9</v>
      </c>
      <c r="B13" s="221" t="s">
        <v>2244</v>
      </c>
      <c r="C13" s="217"/>
      <c r="D13" s="956"/>
      <c r="E13" s="224"/>
      <c r="F13" s="224"/>
      <c r="G13" s="225"/>
    </row>
    <row r="14" spans="1:8" s="220" customFormat="1" ht="13.5" hidden="1" customHeight="1">
      <c r="A14" s="233" t="s">
        <v>10</v>
      </c>
      <c r="B14" s="221" t="s">
        <v>2156</v>
      </c>
      <c r="C14" s="217"/>
      <c r="D14" s="956"/>
      <c r="E14" s="224"/>
      <c r="F14" s="224"/>
      <c r="G14" s="225" t="s">
        <v>2245</v>
      </c>
    </row>
    <row r="15" spans="1:8" s="220" customFormat="1" ht="13.5" hidden="1" customHeight="1">
      <c r="A15" s="233" t="s">
        <v>11</v>
      </c>
      <c r="B15" s="221" t="s">
        <v>2246</v>
      </c>
      <c r="C15" s="226"/>
      <c r="D15" s="956"/>
      <c r="E15" s="224"/>
      <c r="F15" s="224"/>
      <c r="G15" s="225" t="s">
        <v>2247</v>
      </c>
    </row>
    <row r="16" spans="1:8" s="220" customFormat="1" ht="13.5" hidden="1" customHeight="1">
      <c r="A16" s="233" t="s">
        <v>12</v>
      </c>
      <c r="B16" s="221" t="s">
        <v>2156</v>
      </c>
      <c r="C16" s="226"/>
      <c r="D16" s="956"/>
      <c r="E16" s="224"/>
      <c r="F16" s="224"/>
      <c r="G16" s="225"/>
    </row>
    <row r="17" spans="1:7" s="220" customFormat="1" ht="13.5" hidden="1" customHeight="1">
      <c r="A17" s="233" t="s">
        <v>13</v>
      </c>
      <c r="B17" s="221" t="s">
        <v>2248</v>
      </c>
      <c r="C17" s="235"/>
      <c r="D17" s="957"/>
      <c r="E17" s="235"/>
      <c r="F17" s="235"/>
      <c r="G17" s="225" t="s">
        <v>2247</v>
      </c>
    </row>
    <row r="18" spans="1:7" s="220" customFormat="1" ht="13.5" hidden="1" customHeight="1">
      <c r="A18" s="233" t="s">
        <v>14</v>
      </c>
      <c r="B18" s="221" t="s">
        <v>2249</v>
      </c>
      <c r="C18" s="226">
        <v>0</v>
      </c>
      <c r="D18" s="956"/>
      <c r="E18" s="224"/>
      <c r="F18" s="227">
        <v>3.0499999999999999E-2</v>
      </c>
      <c r="G18" s="225" t="s">
        <v>2250</v>
      </c>
    </row>
    <row r="19" spans="1:7" s="229" customFormat="1" ht="13.5" customHeight="1">
      <c r="A19" s="261" t="s">
        <v>2251</v>
      </c>
      <c r="B19" s="216" t="s">
        <v>2252</v>
      </c>
      <c r="C19" s="217">
        <f ca="1">IF(G19="已包含在土地取得成本中","0",ROUND(D19*E19,0))</f>
        <v>7796336</v>
      </c>
      <c r="D19" s="958">
        <f ca="1">D9+D10</f>
        <v>38981.680000000008</v>
      </c>
      <c r="E19" s="217">
        <f>'数据-取费表'!B31</f>
        <v>200</v>
      </c>
      <c r="F19" s="237"/>
      <c r="G19" s="2040"/>
    </row>
    <row r="20" spans="1:7" s="220" customFormat="1" ht="13.5" customHeight="1">
      <c r="A20" s="261" t="s">
        <v>2253</v>
      </c>
      <c r="B20" s="216" t="s">
        <v>2254</v>
      </c>
      <c r="C20" s="238">
        <f ca="1">ROUND((C5+C19)*F20,0)</f>
        <v>237788</v>
      </c>
      <c r="D20" s="238"/>
      <c r="E20" s="238"/>
      <c r="F20" s="239">
        <f>'数据-取费表'!B37</f>
        <v>0.02</v>
      </c>
      <c r="G20" s="240" t="s">
        <v>2255</v>
      </c>
    </row>
    <row r="21" spans="1:7" s="220" customFormat="1" ht="13.5" customHeight="1">
      <c r="A21" s="261" t="s">
        <v>2256</v>
      </c>
      <c r="B21" s="216" t="s">
        <v>2257</v>
      </c>
      <c r="C21" s="241">
        <f>F21</f>
        <v>0.02</v>
      </c>
      <c r="D21" s="242" t="s">
        <v>2258</v>
      </c>
      <c r="E21" s="238"/>
      <c r="F21" s="239">
        <f>'数据-取费表'!B38</f>
        <v>0.02</v>
      </c>
      <c r="G21" s="240" t="s">
        <v>2259</v>
      </c>
    </row>
    <row r="22" spans="1:7" s="220" customFormat="1" ht="13.5" customHeight="1">
      <c r="A22" s="261" t="s">
        <v>2260</v>
      </c>
      <c r="B22" s="216" t="s">
        <v>2261</v>
      </c>
      <c r="C22" s="1289">
        <f ca="1">ROUND(SUM(C23:C25),0)</f>
        <v>1635723</v>
      </c>
      <c r="D22" s="241">
        <f ca="1">C26</f>
        <v>1.2999999999999999E-3</v>
      </c>
      <c r="E22" s="242" t="s">
        <v>2258</v>
      </c>
      <c r="F22" s="243">
        <f ca="1">'数据-取费表'!B40</f>
        <v>4.3499999999999997E-2</v>
      </c>
      <c r="G22" s="240" t="str">
        <f>IF('数据-取费表'!B22&lt;=1,"单利计息","复利计息")</f>
        <v>复利计息</v>
      </c>
    </row>
    <row r="23" spans="1:7" s="220" customFormat="1" ht="13.5" customHeight="1">
      <c r="A23" s="888" t="s">
        <v>2151</v>
      </c>
      <c r="B23" s="221" t="s">
        <v>2262</v>
      </c>
      <c r="C23" s="1290">
        <f ca="1">ROUND(IF('数据-取费表'!B22&lt;=1,C5*F22*'数据-取费表'!B22,C5*(POWER((1+F22),'数据-取费表'!B22)-1)),0)</f>
        <v>557719</v>
      </c>
      <c r="D23" s="244"/>
      <c r="E23" s="244"/>
      <c r="F23" s="245"/>
      <c r="G23" s="246" t="s">
        <v>2263</v>
      </c>
    </row>
    <row r="24" spans="1:7" s="220" customFormat="1" ht="13.5" customHeight="1">
      <c r="A24" s="888" t="s">
        <v>2153</v>
      </c>
      <c r="B24" s="221" t="s">
        <v>2264</v>
      </c>
      <c r="C24" s="1290">
        <f ca="1">ROUND(IF('数据-取费表'!B22&lt;=1,C19*F22*('数据-取费表'!B19/2+'数据-取费表'!B20),C19*(POWER((1+F22),('数据-取费表'!B19/2+'数据-取费表'!B20))-1)),0)</f>
        <v>1062321</v>
      </c>
      <c r="D24" s="244"/>
      <c r="E24" s="244"/>
      <c r="F24" s="245"/>
      <c r="G24" s="246" t="s">
        <v>2265</v>
      </c>
    </row>
    <row r="25" spans="1:7" s="220" customFormat="1" ht="24">
      <c r="A25" s="888" t="s">
        <v>2155</v>
      </c>
      <c r="B25" s="221" t="s">
        <v>2266</v>
      </c>
      <c r="C25" s="1290">
        <f ca="1">ROUND(IF('数据-取费表'!B22&lt;=1,C20*F22*'数据-取费表'!B22/2,C20*(POWER((1+F22),'数据-取费表'!B22/2)-1)),0)</f>
        <v>15683</v>
      </c>
      <c r="D25" s="244"/>
      <c r="E25" s="247"/>
      <c r="F25" s="245"/>
      <c r="G25" s="248" t="s">
        <v>2267</v>
      </c>
    </row>
    <row r="26" spans="1:7" s="220" customFormat="1">
      <c r="A26" s="888" t="s">
        <v>795</v>
      </c>
      <c r="B26" s="221" t="s">
        <v>2190</v>
      </c>
      <c r="C26" s="244">
        <f ca="1">ROUND(IF('数据-取费表'!B22&lt;=1,F21*F22*'数据-取费表'!B22/2,F21*(POWER((1+F22),'数据-取费表'!B22/2)-1)),4)</f>
        <v>1.2999999999999999E-3</v>
      </c>
      <c r="D26" s="244"/>
      <c r="E26" s="247"/>
      <c r="F26" s="245"/>
      <c r="G26" s="249"/>
    </row>
    <row r="27" spans="1:7" s="220" customFormat="1" ht="24.75">
      <c r="A27" s="261" t="s">
        <v>2191</v>
      </c>
      <c r="B27" s="250" t="s">
        <v>2192</v>
      </c>
      <c r="C27" s="251">
        <f ca="1">C28</f>
        <v>2425440</v>
      </c>
      <c r="D27" s="241">
        <f ca="1">C29</f>
        <v>4.0000000000000001E-3</v>
      </c>
      <c r="E27" s="242" t="s">
        <v>2193</v>
      </c>
      <c r="F27" s="252">
        <f ca="1">IF(B1="",'数据-取费表'!Q16,INDIRECT("'数据-取费表'!q"&amp;$G$1))</f>
        <v>0.2</v>
      </c>
      <c r="G27" s="253" t="s">
        <v>2194</v>
      </c>
    </row>
    <row r="28" spans="1:7" s="220" customFormat="1" ht="13.5" customHeight="1">
      <c r="A28" s="888" t="s">
        <v>791</v>
      </c>
      <c r="B28" s="254" t="s">
        <v>2195</v>
      </c>
      <c r="C28" s="255">
        <f ca="1">ROUND((C5+C19+C20)*F27,0)</f>
        <v>2425440</v>
      </c>
      <c r="D28" s="241"/>
      <c r="E28" s="242"/>
      <c r="F28" s="252"/>
      <c r="G28" s="253"/>
    </row>
    <row r="29" spans="1:7" s="220" customFormat="1" ht="13.5" customHeight="1">
      <c r="A29" s="888" t="s">
        <v>792</v>
      </c>
      <c r="B29" s="254" t="s">
        <v>2196</v>
      </c>
      <c r="C29" s="244">
        <f ca="1">ROUND(C21*F27,4)</f>
        <v>4.0000000000000001E-3</v>
      </c>
      <c r="D29" s="241"/>
      <c r="E29" s="242"/>
      <c r="F29" s="252"/>
      <c r="G29" s="253"/>
    </row>
    <row r="30" spans="1:7" s="220" customFormat="1" ht="13.5" customHeight="1">
      <c r="A30" s="261" t="s">
        <v>2197</v>
      </c>
      <c r="B30" s="216" t="s">
        <v>2198</v>
      </c>
      <c r="C30" s="241">
        <f>ROUND(F30/(1+'数据-取费表'!C42),4)</f>
        <v>5.33E-2</v>
      </c>
      <c r="D30" s="242" t="s">
        <v>2193</v>
      </c>
      <c r="E30" s="247"/>
      <c r="F30" s="243">
        <f>'数据-取费表'!B41</f>
        <v>5.6000000000000001E-2</v>
      </c>
      <c r="G30" s="240" t="s">
        <v>2199</v>
      </c>
    </row>
    <row r="31" spans="1:7" ht="16.5" customHeight="1">
      <c r="A31" s="215">
        <v>1</v>
      </c>
      <c r="B31" s="216" t="s">
        <v>2200</v>
      </c>
      <c r="C31" s="217">
        <f ca="1">ROUND((C5+C19+C20+C22+C27)/(1-C21-D22-D27-C30),0)</f>
        <v>17569311</v>
      </c>
      <c r="D31" s="236"/>
      <c r="E31" s="217"/>
      <c r="F31" s="256"/>
      <c r="G31" s="240" t="s">
        <v>2201</v>
      </c>
    </row>
    <row r="32" spans="1:7" s="214" customFormat="1" ht="15.75">
      <c r="A32" s="258" t="s">
        <v>2268</v>
      </c>
      <c r="B32" s="259"/>
      <c r="C32" s="259"/>
      <c r="D32" s="259"/>
      <c r="E32" s="259"/>
      <c r="F32" s="259"/>
      <c r="G32" s="260"/>
    </row>
    <row r="33" spans="1:7" s="220" customFormat="1" ht="13.5" customHeight="1">
      <c r="A33" s="261" t="s">
        <v>782</v>
      </c>
      <c r="B33" s="216" t="s">
        <v>2269</v>
      </c>
      <c r="C33" s="262">
        <f ca="1">SUM(C34:C38)</f>
        <v>333683181</v>
      </c>
      <c r="D33" s="238"/>
      <c r="E33" s="218"/>
      <c r="F33" s="247"/>
      <c r="G33" s="240"/>
    </row>
    <row r="34" spans="1:7" s="264" customFormat="1" ht="13.5" customHeight="1">
      <c r="A34" s="888" t="s">
        <v>791</v>
      </c>
      <c r="B34" s="221" t="s">
        <v>2204</v>
      </c>
      <c r="C34" s="226">
        <f ca="1">ROUND(IF(B1="",SUMPRODUCT('数据-取费表'!K6:K14,'数据-取费表'!L6:L14),INDIRECT("'数据-取费表'!l"&amp;$G$1)*INDIRECT("'数据-取费表'!k"&amp;$G$1)+'数据-取费表'!L14*INDIRECT("'数据-取费表'!S"&amp;$G$1)),0)</f>
        <v>311853440</v>
      </c>
      <c r="D34" s="223"/>
      <c r="E34" s="226"/>
      <c r="F34" s="263"/>
      <c r="G34" s="225"/>
    </row>
    <row r="35" spans="1:7" ht="13.5" customHeight="1">
      <c r="A35" s="888" t="s">
        <v>796</v>
      </c>
      <c r="B35" s="221" t="s">
        <v>2206</v>
      </c>
      <c r="C35" s="226">
        <f ca="1">ROUND(C34*F35,0)</f>
        <v>9355603</v>
      </c>
      <c r="D35" s="226"/>
      <c r="E35" s="226"/>
      <c r="F35" s="265">
        <f>'数据-取费表'!B33</f>
        <v>0.03</v>
      </c>
      <c r="G35" s="225" t="s">
        <v>2207</v>
      </c>
    </row>
    <row r="36" spans="1:7" ht="24">
      <c r="A36" s="888" t="s">
        <v>797</v>
      </c>
      <c r="B36" s="221" t="s">
        <v>2208</v>
      </c>
      <c r="C36" s="226">
        <f ca="1">ROUND(IF(B1="",SUM('数据-取费表'!AP6:AP13)*F36,IF(INDIRECT("'数据-取费表'!c"&amp;$G$1)="住宅",INDIRECT("'数据-取费表'!k"&amp;$G$1)*INDIRECT("'数据-取费表'!l"&amp;$G$1)*F36,0)),0)</f>
        <v>0</v>
      </c>
      <c r="D36" s="226"/>
      <c r="E36" s="226"/>
      <c r="F36" s="265">
        <f>'数据-取费表'!B34</f>
        <v>0</v>
      </c>
      <c r="G36" s="266" t="s">
        <v>2209</v>
      </c>
    </row>
    <row r="37" spans="1:7" s="264" customFormat="1" ht="13.5" customHeight="1">
      <c r="A37" s="888" t="s">
        <v>798</v>
      </c>
      <c r="B37" s="221" t="s">
        <v>2210</v>
      </c>
      <c r="C37" s="255">
        <f ca="1">ROUND(E37*D37,0)</f>
        <v>7796336</v>
      </c>
      <c r="D37" s="223">
        <f ca="1">D19</f>
        <v>38981.680000000008</v>
      </c>
      <c r="E37" s="255">
        <f>'数据-取费表'!B35</f>
        <v>200</v>
      </c>
      <c r="F37" s="265"/>
      <c r="G37" s="267"/>
    </row>
    <row r="38" spans="1:7" ht="13.5" customHeight="1">
      <c r="A38" s="888" t="s">
        <v>799</v>
      </c>
      <c r="B38" s="221" t="s">
        <v>2212</v>
      </c>
      <c r="C38" s="226">
        <f ca="1">ROUND(C34*F38,0)</f>
        <v>4677802</v>
      </c>
      <c r="D38" s="226"/>
      <c r="E38" s="226"/>
      <c r="F38" s="265">
        <f>'数据-取费表'!B36</f>
        <v>1.4999999999999999E-2</v>
      </c>
      <c r="G38" s="225" t="s">
        <v>2207</v>
      </c>
    </row>
    <row r="39" spans="1:7" s="220" customFormat="1" ht="13.5" customHeight="1">
      <c r="A39" s="261" t="s">
        <v>2213</v>
      </c>
      <c r="B39" s="216" t="s">
        <v>2214</v>
      </c>
      <c r="C39" s="238">
        <f ca="1">ROUND(C33*F20,0)</f>
        <v>6673664</v>
      </c>
      <c r="D39" s="238"/>
      <c r="E39" s="238"/>
      <c r="F39" s="2533">
        <f>F20</f>
        <v>0.02</v>
      </c>
      <c r="G39" s="240" t="s">
        <v>2215</v>
      </c>
    </row>
    <row r="40" spans="1:7" s="220" customFormat="1" ht="13.5" customHeight="1">
      <c r="A40" s="261" t="s">
        <v>2216</v>
      </c>
      <c r="B40" s="216" t="s">
        <v>2217</v>
      </c>
      <c r="C40" s="1494">
        <f>F21</f>
        <v>0.02</v>
      </c>
      <c r="D40" s="242" t="s">
        <v>2218</v>
      </c>
      <c r="E40" s="238"/>
      <c r="F40" s="2533">
        <f>F21</f>
        <v>0.02</v>
      </c>
      <c r="G40" s="240" t="s">
        <v>2219</v>
      </c>
    </row>
    <row r="41" spans="1:7" s="220" customFormat="1" ht="13.5" customHeight="1">
      <c r="A41" s="261" t="s">
        <v>2220</v>
      </c>
      <c r="B41" s="216" t="s">
        <v>2221</v>
      </c>
      <c r="C41" s="238">
        <f ca="1">ROUND(SUM(C42:C43),0)</f>
        <v>22448076</v>
      </c>
      <c r="D41" s="241">
        <f ca="1">C44</f>
        <v>1.2999999999999999E-3</v>
      </c>
      <c r="E41" s="242" t="s">
        <v>2218</v>
      </c>
      <c r="F41" s="2534">
        <f ca="1">F22</f>
        <v>4.3499999999999997E-2</v>
      </c>
      <c r="G41" s="240" t="str">
        <f>IF('数据-取费表'!B22&lt;=1,"单利计息","复利计息")</f>
        <v>复利计息</v>
      </c>
    </row>
    <row r="42" spans="1:7" ht="13.5" customHeight="1">
      <c r="A42" s="888" t="s">
        <v>791</v>
      </c>
      <c r="B42" s="221" t="s">
        <v>2222</v>
      </c>
      <c r="C42" s="244">
        <f ca="1">ROUND(IF('数据-取费表'!B22&lt;=1,C33*F22*'数据-取费表'!B20/2,C33*(POWER((1+F22),'数据-取费表'!B20/2)-1)),0)</f>
        <v>22007918</v>
      </c>
      <c r="D42" s="244"/>
      <c r="E42" s="244"/>
      <c r="F42" s="245"/>
      <c r="G42" s="3263" t="s">
        <v>2270</v>
      </c>
    </row>
    <row r="43" spans="1:7" ht="13.5" customHeight="1">
      <c r="A43" s="888" t="s">
        <v>792</v>
      </c>
      <c r="B43" s="221" t="s">
        <v>2224</v>
      </c>
      <c r="C43" s="244">
        <f ca="1">ROUND(IF('数据-取费表'!B22&lt;=1,C39*F22*'数据-取费表'!B20/2,C39*(POWER((1+F22),'数据-取费表'!B20/2)-1)),0)</f>
        <v>440158</v>
      </c>
      <c r="D43" s="244"/>
      <c r="E43" s="244"/>
      <c r="F43" s="245"/>
      <c r="G43" s="3264"/>
    </row>
    <row r="44" spans="1:7" ht="13.5" customHeight="1">
      <c r="A44" s="888" t="s">
        <v>793</v>
      </c>
      <c r="B44" s="221" t="s">
        <v>2225</v>
      </c>
      <c r="C44" s="244">
        <f ca="1">ROUND(IF('数据-取费表'!B22&lt;=1,C40*F22*'数据-取费表'!B20/2,C40*(POWER((1+F22),'数据-取费表'!B20/2)-1)),4)</f>
        <v>1.2999999999999999E-3</v>
      </c>
      <c r="D44" s="244"/>
      <c r="E44" s="244"/>
      <c r="F44" s="245"/>
      <c r="G44" s="3265"/>
    </row>
    <row r="45" spans="1:7" s="220" customFormat="1" ht="13.5" customHeight="1">
      <c r="A45" s="261" t="s">
        <v>2226</v>
      </c>
      <c r="B45" s="250" t="s">
        <v>2192</v>
      </c>
      <c r="C45" s="251">
        <f ca="1">C46</f>
        <v>68071369</v>
      </c>
      <c r="D45" s="241">
        <f ca="1">C47</f>
        <v>4.0000000000000001E-3</v>
      </c>
      <c r="E45" s="242" t="s">
        <v>2218</v>
      </c>
      <c r="F45" s="2535">
        <f ca="1">F27</f>
        <v>0.2</v>
      </c>
      <c r="G45" s="253" t="s">
        <v>2227</v>
      </c>
    </row>
    <row r="46" spans="1:7" s="220" customFormat="1" ht="13.5" customHeight="1">
      <c r="A46" s="888" t="s">
        <v>791</v>
      </c>
      <c r="B46" s="254" t="s">
        <v>2228</v>
      </c>
      <c r="C46" s="255">
        <f ca="1">ROUND((C33+C39)*F27,0)</f>
        <v>68071369</v>
      </c>
      <c r="D46" s="269"/>
      <c r="E46" s="242"/>
      <c r="F46" s="252"/>
      <c r="G46" s="253"/>
    </row>
    <row r="47" spans="1:7" s="220" customFormat="1" ht="13.5" customHeight="1">
      <c r="A47" s="888" t="s">
        <v>792</v>
      </c>
      <c r="B47" s="254" t="s">
        <v>2229</v>
      </c>
      <c r="C47" s="244">
        <f ca="1">ROUND(C40*F27,4)</f>
        <v>4.0000000000000001E-3</v>
      </c>
      <c r="D47" s="269"/>
      <c r="E47" s="242"/>
      <c r="F47" s="252"/>
      <c r="G47" s="253"/>
    </row>
    <row r="48" spans="1:7" s="220" customFormat="1" ht="13.5" customHeight="1">
      <c r="A48" s="261" t="s">
        <v>2191</v>
      </c>
      <c r="B48" s="216" t="s">
        <v>2230</v>
      </c>
      <c r="C48" s="268">
        <f>ROUND(F30/(1+'数据-取费表'!C42),4)</f>
        <v>5.33E-2</v>
      </c>
      <c r="D48" s="242" t="s">
        <v>2218</v>
      </c>
      <c r="E48" s="238"/>
      <c r="F48" s="2534">
        <f>F30</f>
        <v>5.6000000000000001E-2</v>
      </c>
      <c r="G48" s="240" t="s">
        <v>2231</v>
      </c>
    </row>
    <row r="49" spans="1:7" ht="16.5" customHeight="1">
      <c r="A49" s="261" t="s">
        <v>2197</v>
      </c>
      <c r="B49" s="216" t="s">
        <v>2271</v>
      </c>
      <c r="C49" s="238">
        <f ca="1">ROUND((C33+C39+C41+C45)/(1-C40-D41-D45-C48),0)</f>
        <v>467632179</v>
      </c>
      <c r="D49" s="238"/>
      <c r="E49" s="238"/>
      <c r="F49" s="270"/>
      <c r="G49" s="240" t="s">
        <v>2233</v>
      </c>
    </row>
    <row r="50" spans="1:7" s="264" customFormat="1">
      <c r="A50" s="261" t="s">
        <v>2234</v>
      </c>
      <c r="B50" s="216" t="s">
        <v>2235</v>
      </c>
      <c r="C50" s="238"/>
      <c r="D50" s="238"/>
      <c r="E50" s="238"/>
      <c r="F50" s="270">
        <f>IF('数据-取费表'!B24=0,'数据-取费表'!N16,1)</f>
        <v>0.97</v>
      </c>
      <c r="G50" s="253"/>
    </row>
    <row r="51" spans="1:7" ht="16.5" customHeight="1">
      <c r="A51" s="261" t="s">
        <v>2237</v>
      </c>
      <c r="B51" s="216" t="s">
        <v>2272</v>
      </c>
      <c r="C51" s="238">
        <f ca="1">ROUND(C49*F50,0)</f>
        <v>453603214</v>
      </c>
      <c r="D51" s="238"/>
      <c r="E51" s="238"/>
      <c r="F51" s="270"/>
      <c r="G51" s="240" t="s">
        <v>2239</v>
      </c>
    </row>
    <row r="52" spans="1:7" s="214" customFormat="1" ht="16.5" thickBot="1">
      <c r="A52" s="271" t="s">
        <v>2240</v>
      </c>
      <c r="B52" s="272"/>
      <c r="C52" s="273">
        <f ca="1">C31+C51</f>
        <v>471172525</v>
      </c>
      <c r="D52" s="272"/>
      <c r="E52" s="272"/>
      <c r="F52" s="272"/>
      <c r="G52" s="274"/>
    </row>
    <row r="55" spans="1:7" ht="15">
      <c r="B55" s="276" t="s">
        <v>2241</v>
      </c>
      <c r="C55" s="277"/>
    </row>
    <row r="56" spans="1:7">
      <c r="B56" s="279" t="s">
        <v>1471</v>
      </c>
      <c r="C56" s="281">
        <f ca="1">1-C57</f>
        <v>3.7000000000000033E-2</v>
      </c>
    </row>
    <row r="57" spans="1:7">
      <c r="B57" s="279" t="s">
        <v>1472</v>
      </c>
      <c r="C57" s="280">
        <f ca="1">ROUND(C51/C52,3)</f>
        <v>0.96299999999999997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2273</v>
      </c>
      <c r="B1" s="1352"/>
      <c r="C1" s="1353"/>
      <c r="D1" s="1351"/>
      <c r="E1" s="3035"/>
      <c r="F1" s="3035"/>
      <c r="G1" s="2898"/>
      <c r="H1" s="3035"/>
      <c r="I1" s="3035"/>
      <c r="J1" s="3035"/>
      <c r="K1" s="3036">
        <f>MATCH(C1,'数据-取费表'!A6:A16,0)+5</f>
        <v>7</v>
      </c>
    </row>
    <row r="2" spans="1:33" ht="18" customHeight="1">
      <c r="A2" s="207" t="s">
        <v>2141</v>
      </c>
      <c r="B2" s="210">
        <f ca="1">C32</f>
        <v>0</v>
      </c>
      <c r="C2" s="282" t="s">
        <v>2274</v>
      </c>
      <c r="D2" s="282"/>
      <c r="E2" s="3035"/>
      <c r="F2" s="3035"/>
      <c r="G2" s="3035"/>
      <c r="H2" s="3035"/>
      <c r="I2" s="3035"/>
      <c r="J2" s="3035"/>
      <c r="K2" s="3035"/>
    </row>
    <row r="3" spans="1:33" ht="18" customHeight="1" thickBot="1">
      <c r="A3" s="209" t="s">
        <v>2143</v>
      </c>
      <c r="B3" s="210">
        <f ca="1">ROUND(B2*10000/IF(C1="",'数据-汇总表'!E3,INDIRECT("'数据-取费表'!K"&amp;$K$1)),0)</f>
        <v>0</v>
      </c>
      <c r="C3" s="282" t="s">
        <v>2275</v>
      </c>
      <c r="D3" s="282"/>
      <c r="E3" s="3035"/>
      <c r="F3" s="3035"/>
      <c r="G3" s="3035"/>
      <c r="H3" s="3035"/>
      <c r="I3" s="3035"/>
      <c r="J3" s="3035"/>
      <c r="K3" s="3035"/>
    </row>
    <row r="4" spans="1:33" s="893" customFormat="1" ht="16.5" customHeight="1">
      <c r="A4" s="890" t="s">
        <v>2276</v>
      </c>
      <c r="B4" s="891"/>
      <c r="C4" s="933">
        <f>SUM(C8:K8)</f>
        <v>0</v>
      </c>
      <c r="D4" s="891"/>
      <c r="E4" s="891"/>
      <c r="F4" s="891"/>
      <c r="G4" s="891"/>
      <c r="H4" s="891"/>
      <c r="I4" s="891"/>
      <c r="J4" s="891"/>
      <c r="K4" s="892"/>
    </row>
    <row r="5" spans="1:33" s="897" customFormat="1" ht="24.75">
      <c r="A5" s="894" t="s">
        <v>2277</v>
      </c>
      <c r="B5" s="895" t="s">
        <v>2278</v>
      </c>
      <c r="C5" s="2044" t="s">
        <v>2279</v>
      </c>
      <c r="D5" s="2044" t="s">
        <v>2280</v>
      </c>
      <c r="E5" s="2044" t="s">
        <v>2281</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2282</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2283</v>
      </c>
      <c r="B7" s="136" t="s">
        <v>2284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2285</v>
      </c>
      <c r="B8" s="169" t="s">
        <v>2286</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2287</v>
      </c>
      <c r="B9" s="891"/>
      <c r="C9" s="891"/>
      <c r="D9" s="891"/>
      <c r="E9" s="891"/>
      <c r="F9" s="891"/>
      <c r="G9" s="891"/>
      <c r="H9" s="891"/>
      <c r="I9" s="891"/>
      <c r="J9" s="891"/>
      <c r="K9" s="892"/>
    </row>
    <row r="10" spans="1:33" s="907" customFormat="1" ht="13.5" customHeight="1">
      <c r="A10" s="894" t="s">
        <v>2288</v>
      </c>
      <c r="B10" s="8" t="s">
        <v>2289</v>
      </c>
      <c r="C10" s="903" t="s">
        <v>2290</v>
      </c>
      <c r="D10" s="904" t="s">
        <v>2291</v>
      </c>
      <c r="E10" s="904" t="s">
        <v>2292</v>
      </c>
      <c r="F10" s="904" t="s">
        <v>2293</v>
      </c>
      <c r="G10" s="8"/>
      <c r="H10" s="905"/>
      <c r="I10" s="905"/>
      <c r="J10" s="905"/>
      <c r="K10" s="906"/>
    </row>
    <row r="11" spans="1:33" s="912" customFormat="1" ht="13.5" customHeight="1">
      <c r="A11" s="908" t="s">
        <v>1293</v>
      </c>
      <c r="B11" s="909" t="s">
        <v>2294</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1294</v>
      </c>
      <c r="B12" s="909" t="s">
        <v>2295</v>
      </c>
      <c r="C12" s="24">
        <f ca="1">ROUND(C11*F12,0)</f>
        <v>0</v>
      </c>
      <c r="D12" s="910"/>
      <c r="E12" s="335"/>
      <c r="F12" s="913">
        <f>'数据-取费表'!B33</f>
        <v>0.03</v>
      </c>
      <c r="G12" s="8" t="s">
        <v>2296</v>
      </c>
      <c r="H12" s="905"/>
      <c r="I12" s="905"/>
      <c r="J12" s="905"/>
      <c r="K12" s="906"/>
    </row>
    <row r="13" spans="1:33" s="912" customFormat="1" ht="13.5" customHeight="1">
      <c r="A13" s="908" t="s">
        <v>1295</v>
      </c>
      <c r="B13" s="909" t="s">
        <v>2297</v>
      </c>
      <c r="C13" s="24">
        <f ca="1">ROUND(IF(C1="",SUMIF('数据-取费表'!C:C,"住宅",'数据-取费表'!P:P)*F13,IF(INDIRECT("'数据-取费表'!c"&amp;$K$1)="住宅",INDIRECT("'数据-取费表'!P"&amp;$K$1)*F13,0)),0)</f>
        <v>0</v>
      </c>
      <c r="D13" s="955"/>
      <c r="E13" s="335"/>
      <c r="F13" s="913">
        <f>'数据-取费表'!B34</f>
        <v>0</v>
      </c>
      <c r="G13" s="8" t="s">
        <v>2298</v>
      </c>
      <c r="H13" s="905"/>
      <c r="I13" s="905"/>
      <c r="J13" s="905"/>
      <c r="K13" s="906"/>
    </row>
    <row r="14" spans="1:33" s="914" customFormat="1" ht="13.5" customHeight="1">
      <c r="A14" s="908" t="s">
        <v>1296</v>
      </c>
      <c r="B14" s="909" t="s">
        <v>2299</v>
      </c>
      <c r="C14" s="24">
        <f ca="1">ROUND(D14*E14*F11/10000,0)</f>
        <v>0</v>
      </c>
      <c r="D14" s="955">
        <f ca="1">IF(C1="",'数据-汇总表'!E3,INDIRECT("'数据-取费表'!K"&amp;$K$1)+INDIRECT("'数据-取费表'!S"&amp;$K$1))</f>
        <v>38981.680000000008</v>
      </c>
      <c r="E14" s="24">
        <f>'数据-取费表'!B35</f>
        <v>200</v>
      </c>
      <c r="F14" s="913"/>
      <c r="G14" s="8" t="s">
        <v>2300</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1297</v>
      </c>
      <c r="B15" s="909" t="s">
        <v>2301</v>
      </c>
      <c r="C15" s="920">
        <f ca="1">ROUND(C11*F15,0)</f>
        <v>0</v>
      </c>
      <c r="D15" s="915"/>
      <c r="E15" s="920"/>
      <c r="F15" s="921">
        <f>'数据-取费表'!B36</f>
        <v>1.4999999999999999E-2</v>
      </c>
      <c r="G15" s="136" t="s">
        <v>2302</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2303</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2304</v>
      </c>
      <c r="C17" s="24">
        <f ca="1">ROUND(D17*E17/10000,0)</f>
        <v>0</v>
      </c>
      <c r="D17" s="955">
        <f ca="1">D14</f>
        <v>38981.680000000008</v>
      </c>
      <c r="E17" s="24">
        <f>'数据-取费表'!B32</f>
        <v>0</v>
      </c>
      <c r="F17" s="915"/>
      <c r="G17" s="136" t="s">
        <v>2305</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1298</v>
      </c>
      <c r="B18" s="909" t="s">
        <v>2306</v>
      </c>
      <c r="C18" s="24">
        <f ca="1">C19+C20-IF(C1="",'数据-取费表'!B29,IF(G18="已全部缴纳",C19+C20,H18))</f>
        <v>0</v>
      </c>
      <c r="D18" s="955"/>
      <c r="E18" s="24"/>
      <c r="F18" s="913"/>
      <c r="G18" s="2046"/>
      <c r="H18" s="1348"/>
      <c r="I18" s="2047" t="s">
        <v>2307</v>
      </c>
      <c r="J18" s="916"/>
      <c r="K18" s="917"/>
    </row>
    <row r="19" spans="1:33" s="912" customFormat="1" ht="13.5" customHeight="1">
      <c r="A19" s="908" t="s">
        <v>805</v>
      </c>
      <c r="B19" s="909" t="s">
        <v>2308</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2309</v>
      </c>
      <c r="C20" s="24">
        <f ca="1">ROUND(D20*E20/10000,0)</f>
        <v>409</v>
      </c>
      <c r="D20" s="955">
        <f ca="1">IF(C1="",'数据-汇总表'!E6,IF(INDIRECT("'数据-取费表'!c"&amp;$K$1)="住宅",INDIRECT("'数据-取费表'!s"&amp;$K$1),INDIRECT("'数据-取费表'!k"&amp;$K$1)+INDIRECT("'数据-取费表'!s"&amp;$K$1)))</f>
        <v>38981.680000000008</v>
      </c>
      <c r="E20" s="24">
        <f>'数据-取费表'!B28</f>
        <v>105</v>
      </c>
      <c r="F20" s="913"/>
      <c r="G20" s="15"/>
      <c r="H20" s="918"/>
      <c r="I20" s="918"/>
      <c r="J20" s="918"/>
      <c r="K20" s="919"/>
    </row>
    <row r="21" spans="1:33" s="912" customFormat="1" ht="13.5" customHeight="1">
      <c r="A21" s="898" t="s">
        <v>802</v>
      </c>
      <c r="B21" s="922" t="s">
        <v>2310</v>
      </c>
      <c r="C21" s="923">
        <f ca="1">C16+C17+C18</f>
        <v>0</v>
      </c>
      <c r="D21" s="924"/>
      <c r="E21" s="287"/>
      <c r="F21" s="287"/>
      <c r="G21" s="136" t="s">
        <v>2311</v>
      </c>
      <c r="H21" s="916"/>
      <c r="I21" s="916"/>
      <c r="J21" s="916"/>
      <c r="K21" s="917"/>
    </row>
    <row r="22" spans="1:33" s="912" customFormat="1" ht="13.5" customHeight="1">
      <c r="A22" s="898" t="s">
        <v>2283</v>
      </c>
      <c r="B22" s="922" t="s">
        <v>2312</v>
      </c>
      <c r="C22" s="923">
        <f ca="1">ROUND(C21*F22,0)</f>
        <v>0</v>
      </c>
      <c r="D22" s="287"/>
      <c r="E22" s="287"/>
      <c r="F22" s="925">
        <f>'数据-取费表'!B37</f>
        <v>0.02</v>
      </c>
      <c r="G22" s="8" t="s">
        <v>2313</v>
      </c>
      <c r="H22" s="905"/>
      <c r="I22" s="905"/>
      <c r="J22" s="905"/>
      <c r="K22" s="906"/>
    </row>
    <row r="23" spans="1:33" s="912" customFormat="1" ht="13.5" customHeight="1">
      <c r="A23" s="898" t="s">
        <v>2285</v>
      </c>
      <c r="B23" s="922" t="s">
        <v>2314</v>
      </c>
      <c r="C23" s="923">
        <f ca="1">ROUND(C4*F23*F11,0)</f>
        <v>0</v>
      </c>
      <c r="D23" s="287"/>
      <c r="E23" s="287"/>
      <c r="F23" s="925">
        <f>'数据-取费表'!B38</f>
        <v>0.02</v>
      </c>
      <c r="G23" s="8" t="s">
        <v>2315</v>
      </c>
      <c r="H23" s="905"/>
      <c r="I23" s="905"/>
      <c r="J23" s="905"/>
      <c r="K23" s="906"/>
    </row>
    <row r="24" spans="1:33" s="912" customFormat="1" ht="13.5" customHeight="1">
      <c r="A24" s="898" t="s">
        <v>2316</v>
      </c>
      <c r="B24" s="922" t="s">
        <v>2317</v>
      </c>
      <c r="C24" s="286">
        <f>ROUND(F24/(1+'数据-取费表'!C42),4)</f>
        <v>2.9000000000000001E-2</v>
      </c>
      <c r="D24" s="287" t="s">
        <v>15</v>
      </c>
      <c r="E24" s="287"/>
      <c r="F24" s="925">
        <f>IF(项目基本情况!B8="出让",0,'数据-取费表'!B48+'数据-取费表'!B49)</f>
        <v>3.0499999999999999E-2</v>
      </c>
      <c r="G24" s="8" t="s">
        <v>2318</v>
      </c>
      <c r="H24" s="927"/>
      <c r="I24" s="927"/>
      <c r="J24" s="927"/>
      <c r="K24" s="928"/>
    </row>
    <row r="25" spans="1:33" s="912" customFormat="1" ht="13.5" customHeight="1">
      <c r="A25" s="898" t="s">
        <v>2319</v>
      </c>
      <c r="B25" s="924" t="s">
        <v>2320</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2321</v>
      </c>
      <c r="C26" s="1267">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2322</v>
      </c>
      <c r="C27" s="1268">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2323</v>
      </c>
      <c r="B28" s="2049" t="s">
        <v>2324</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2325</v>
      </c>
      <c r="C29" s="290">
        <f ca="1">ROUND((1+C24)*F28*'数据-取费表'!B24/'数据-取费表'!B20,4)</f>
        <v>0</v>
      </c>
      <c r="D29" s="290"/>
      <c r="E29" s="291"/>
      <c r="F29" s="296"/>
      <c r="G29" s="136" t="s">
        <v>2326</v>
      </c>
      <c r="H29" s="916"/>
      <c r="I29" s="916"/>
      <c r="J29" s="916"/>
      <c r="K29" s="917"/>
    </row>
    <row r="30" spans="1:33" s="297" customFormat="1" ht="13.5" customHeight="1">
      <c r="A30" s="908" t="s">
        <v>804</v>
      </c>
      <c r="B30" s="931" t="s">
        <v>2327</v>
      </c>
      <c r="C30" s="298">
        <f ca="1">ROUND((C21+C22+C23)*F28,0)</f>
        <v>0</v>
      </c>
      <c r="D30" s="290"/>
      <c r="E30" s="291"/>
      <c r="F30" s="296"/>
      <c r="G30" s="136"/>
      <c r="H30" s="916"/>
      <c r="I30" s="916"/>
      <c r="J30" s="916"/>
      <c r="K30" s="917"/>
    </row>
    <row r="31" spans="1:33" s="912" customFormat="1" ht="13.5" customHeight="1" thickBot="1">
      <c r="A31" s="2050" t="s">
        <v>2328</v>
      </c>
      <c r="B31" s="942" t="s">
        <v>2329</v>
      </c>
      <c r="C31" s="943">
        <f>ROUND(C4*F31/(1+'数据-取费表'!C42),0)</f>
        <v>0</v>
      </c>
      <c r="D31" s="944"/>
      <c r="E31" s="945"/>
      <c r="F31" s="946">
        <f>'数据-取费表'!B41</f>
        <v>5.6000000000000001E-2</v>
      </c>
      <c r="G31" s="947" t="s">
        <v>2330</v>
      </c>
      <c r="H31" s="948"/>
      <c r="I31" s="948"/>
      <c r="J31" s="948"/>
      <c r="K31" s="949"/>
    </row>
    <row r="32" spans="1:33" s="907" customFormat="1" ht="13.5" customHeight="1" thickBot="1">
      <c r="A32" s="937" t="s">
        <v>2331</v>
      </c>
      <c r="B32" s="938"/>
      <c r="C32" s="939">
        <f ca="1">ROUND((C4-C21-C22-C23-C25-C28-C31)/(1+C24+D25+D28),0)</f>
        <v>0</v>
      </c>
      <c r="D32" s="938"/>
      <c r="E32" s="938"/>
      <c r="F32" s="938"/>
      <c r="G32" s="940" t="s">
        <v>2332</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D43" sqref="D4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2558</v>
      </c>
      <c r="B1" s="355"/>
      <c r="C1" s="356" t="s">
        <v>2559</v>
      </c>
      <c r="D1" s="695"/>
      <c r="E1" s="695"/>
      <c r="F1" s="694" t="s">
        <v>2457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2141</v>
      </c>
      <c r="B2" s="627">
        <f>F66</f>
        <v>13336</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2143</v>
      </c>
      <c r="B3" s="566">
        <f>ROUND(IF(D3="",B2*10000/'数据-汇总表'!E3,B2*10000/D3),0)</f>
        <v>4051</v>
      </c>
      <c r="C3" s="209" t="s">
        <v>2560</v>
      </c>
      <c r="D3" s="1354">
        <f>'数据-基础表'!I13</f>
        <v>32920.199999999997</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2459</v>
      </c>
      <c r="B4" s="362"/>
      <c r="C4" s="3270" t="s">
        <v>2460</v>
      </c>
      <c r="D4" s="3283"/>
      <c r="E4" s="3284" t="s">
        <v>2461</v>
      </c>
      <c r="F4" s="3285"/>
      <c r="G4" s="3270" t="s">
        <v>2462</v>
      </c>
      <c r="H4" s="3283"/>
      <c r="I4" s="3270" t="s">
        <v>2463</v>
      </c>
      <c r="J4" s="3283"/>
      <c r="K4" s="567" t="s">
        <v>2464</v>
      </c>
      <c r="L4" s="2942"/>
      <c r="M4" s="2943"/>
      <c r="N4" s="2943"/>
      <c r="O4" s="2943"/>
      <c r="P4" s="3286" t="s">
        <v>2465</v>
      </c>
      <c r="Q4" s="3287"/>
      <c r="R4" s="3292" t="s">
        <v>2461</v>
      </c>
      <c r="S4" s="3293"/>
      <c r="T4" s="3292" t="s">
        <v>2462</v>
      </c>
      <c r="U4" s="3293"/>
      <c r="V4" s="3279" t="s">
        <v>2463</v>
      </c>
      <c r="W4" s="3279"/>
      <c r="X4" s="1538"/>
      <c r="Y4" s="3292" t="s">
        <v>2465</v>
      </c>
      <c r="Z4" s="3293"/>
      <c r="AA4" s="3280" t="s">
        <v>2461</v>
      </c>
      <c r="AB4" s="3281" t="s">
        <v>2462</v>
      </c>
      <c r="AC4" s="3280" t="s">
        <v>2463</v>
      </c>
    </row>
    <row r="5" spans="1:30" ht="15">
      <c r="A5" s="364"/>
      <c r="B5" s="365"/>
      <c r="C5" s="3300" t="s">
        <v>2356</v>
      </c>
      <c r="D5" s="3301"/>
      <c r="E5" s="3307" t="str">
        <f>土地案例!A2</f>
        <v>经开区观山路与贡湖大道交叉口东北侧</v>
      </c>
      <c r="F5" s="3308"/>
      <c r="G5" s="3300" t="str">
        <f>土地案例!A3</f>
        <v>经开区吴都路与清舒道交叉口西南侧</v>
      </c>
      <c r="H5" s="3301"/>
      <c r="I5" s="3300" t="str">
        <f>土地案例!A11</f>
        <v>滨湖区立信大道与周新路交叉口东南侧</v>
      </c>
      <c r="J5" s="3301"/>
      <c r="K5" s="567"/>
      <c r="L5" s="2942"/>
      <c r="M5" s="2943"/>
      <c r="N5" s="2943"/>
      <c r="O5" s="2943"/>
      <c r="P5" s="3288"/>
      <c r="Q5" s="3289"/>
      <c r="R5" s="3294"/>
      <c r="S5" s="3295"/>
      <c r="T5" s="3294"/>
      <c r="U5" s="3295"/>
      <c r="V5" s="3279"/>
      <c r="W5" s="3279"/>
      <c r="X5" s="1538"/>
      <c r="Y5" s="3294"/>
      <c r="Z5" s="3295"/>
      <c r="AA5" s="3281"/>
      <c r="AB5" s="3281"/>
      <c r="AC5" s="3281"/>
    </row>
    <row r="6" spans="1:30" ht="15.75" thickBot="1">
      <c r="A6" s="366"/>
      <c r="B6" s="367"/>
      <c r="C6" s="3298" t="s">
        <v>2360</v>
      </c>
      <c r="D6" s="3299"/>
      <c r="E6" s="3305" t="s">
        <v>2360</v>
      </c>
      <c r="F6" s="3306"/>
      <c r="G6" s="3298" t="s">
        <v>2360</v>
      </c>
      <c r="H6" s="3299"/>
      <c r="I6" s="3298" t="s">
        <v>2360</v>
      </c>
      <c r="J6" s="3299"/>
      <c r="K6" s="567" t="s">
        <v>2361</v>
      </c>
      <c r="L6" s="2942"/>
      <c r="M6" s="2943"/>
      <c r="N6" s="2943"/>
      <c r="O6" s="2943"/>
      <c r="P6" s="3290"/>
      <c r="Q6" s="3291"/>
      <c r="R6" s="3294"/>
      <c r="S6" s="3295"/>
      <c r="T6" s="3296"/>
      <c r="U6" s="3297"/>
      <c r="V6" s="3279"/>
      <c r="W6" s="3279"/>
      <c r="X6" s="1538"/>
      <c r="Y6" s="3296"/>
      <c r="Z6" s="3297"/>
      <c r="AA6" s="3282"/>
      <c r="AB6" s="3282"/>
      <c r="AC6" s="3282"/>
    </row>
    <row r="7" spans="1:30" s="113" customFormat="1" ht="15.75" thickBot="1">
      <c r="A7" s="368" t="s">
        <v>2362</v>
      </c>
      <c r="B7" s="369"/>
      <c r="C7" s="370">
        <f>'数据-取费表'!B2</f>
        <v>44322</v>
      </c>
      <c r="D7" s="371">
        <v>100</v>
      </c>
      <c r="E7" s="372" t="str">
        <f>土地案例!K2</f>
        <v>2020-10-13</v>
      </c>
      <c r="F7" s="373">
        <f>SUMIF(70:70,YEAR(E7)&amp;"-"&amp;INT((MONTH(E7)+2)/3),71:71)</f>
        <v>100</v>
      </c>
      <c r="G7" s="2158" t="str">
        <f>土地案例!K3</f>
        <v>2020-03-31</v>
      </c>
      <c r="H7" s="371">
        <f>SUMIF(70:70,YEAR(G7)&amp;"-"&amp;INT((MONTH(G7)+2)/3),71:71)</f>
        <v>100</v>
      </c>
      <c r="I7" s="2158" t="str">
        <f>土地案例!K11</f>
        <v>2018-07-31</v>
      </c>
      <c r="J7" s="371">
        <f>SUMIF(70:70,YEAR(I7)&amp;"-"&amp;INT((MONTH(I7)+2)/3),71:71)</f>
        <v>100</v>
      </c>
      <c r="K7" s="568"/>
      <c r="L7" s="2944"/>
      <c r="M7" s="2945"/>
      <c r="N7" s="2945"/>
      <c r="O7" s="2945"/>
      <c r="P7" s="3302" t="s">
        <v>2363</v>
      </c>
      <c r="Q7" s="3304"/>
      <c r="R7" s="710" t="s">
        <v>17</v>
      </c>
      <c r="S7" s="711">
        <f t="shared" ref="S7:S15" si="0">F7</f>
        <v>100</v>
      </c>
      <c r="T7" s="710" t="s">
        <v>17</v>
      </c>
      <c r="U7" s="711">
        <f t="shared" ref="U7:U15" si="1">H7</f>
        <v>100</v>
      </c>
      <c r="V7" s="710" t="s">
        <v>17</v>
      </c>
      <c r="W7" s="711">
        <f t="shared" ref="W7:W15" si="2">J7</f>
        <v>100</v>
      </c>
      <c r="X7" s="712"/>
      <c r="Y7" s="3302" t="s">
        <v>2363</v>
      </c>
      <c r="Z7" s="3303"/>
      <c r="AA7" s="713">
        <f>D7/F7</f>
        <v>1</v>
      </c>
      <c r="AB7" s="713">
        <f>D7/H7</f>
        <v>1</v>
      </c>
      <c r="AC7" s="713">
        <f>D7/J7</f>
        <v>1</v>
      </c>
    </row>
    <row r="8" spans="1:30" s="113" customFormat="1" ht="15.75" thickBot="1">
      <c r="A8" s="368" t="s">
        <v>2364</v>
      </c>
      <c r="B8" s="369"/>
      <c r="C8" s="374" t="s">
        <v>2365</v>
      </c>
      <c r="D8" s="371">
        <v>100</v>
      </c>
      <c r="E8" s="374" t="s">
        <v>3189</v>
      </c>
      <c r="F8" s="373">
        <f>SUMIF(73:73,E8,74:74)-SUMIF(73:73,C8,74:74)+100</f>
        <v>100</v>
      </c>
      <c r="G8" s="374" t="s">
        <v>3189</v>
      </c>
      <c r="H8" s="371">
        <f>SUMIF(73:73,G8,74:74)-SUMIF(73:73,C8,74:74)+100</f>
        <v>100</v>
      </c>
      <c r="I8" s="374" t="s">
        <v>3189</v>
      </c>
      <c r="J8" s="371">
        <f>SUMIF(73:73,I8,74:74)-SUMIF(73:73,C8,74:74)+100</f>
        <v>100</v>
      </c>
      <c r="K8" s="568"/>
      <c r="L8" s="2944"/>
      <c r="M8" s="2945"/>
      <c r="N8" s="2945"/>
      <c r="O8" s="2945"/>
      <c r="P8" s="3302" t="s">
        <v>2366</v>
      </c>
      <c r="Q8" s="3303"/>
      <c r="R8" s="710" t="s">
        <v>17</v>
      </c>
      <c r="S8" s="711">
        <f t="shared" si="0"/>
        <v>100</v>
      </c>
      <c r="T8" s="710" t="s">
        <v>17</v>
      </c>
      <c r="U8" s="711">
        <f t="shared" si="1"/>
        <v>100</v>
      </c>
      <c r="V8" s="710" t="s">
        <v>17</v>
      </c>
      <c r="W8" s="711">
        <f t="shared" si="2"/>
        <v>100</v>
      </c>
      <c r="X8" s="712"/>
      <c r="Y8" s="3302" t="s">
        <v>2366</v>
      </c>
      <c r="Z8" s="3303"/>
      <c r="AA8" s="713">
        <f t="shared" ref="AA8:AA45" si="3">D8/F8</f>
        <v>1</v>
      </c>
      <c r="AB8" s="713">
        <f t="shared" ref="AB8:AB45" si="4">D8/H8</f>
        <v>1</v>
      </c>
      <c r="AC8" s="713">
        <f t="shared" ref="AC8:AC45" si="5">D8/J8</f>
        <v>1</v>
      </c>
    </row>
    <row r="9" spans="1:30" s="113" customFormat="1">
      <c r="A9" s="375" t="s">
        <v>2367</v>
      </c>
      <c r="B9" s="67" t="s">
        <v>2368</v>
      </c>
      <c r="C9" s="2161" t="s">
        <v>1336</v>
      </c>
      <c r="D9" s="131">
        <v>100</v>
      </c>
      <c r="E9" s="2161" t="s">
        <v>1336</v>
      </c>
      <c r="F9" s="131">
        <f>SUMIF(75:75,E9,76:76)-SUMIF(75:75,C9,76:76)+100</f>
        <v>100</v>
      </c>
      <c r="G9" s="2161" t="s">
        <v>1336</v>
      </c>
      <c r="H9" s="131">
        <f>SUMIF(75:75,G9,76:76)-SUMIF(75:75,C9,76:76)+100</f>
        <v>100</v>
      </c>
      <c r="I9" s="2161" t="s">
        <v>1336</v>
      </c>
      <c r="J9" s="131">
        <f>SUMIF(75:75,I9,76:76)-SUMIF(75:75,C9,76:76)+100</f>
        <v>100</v>
      </c>
      <c r="K9" s="568"/>
      <c r="L9" s="2944"/>
      <c r="M9" s="2945"/>
      <c r="N9" s="2945"/>
      <c r="O9" s="2999"/>
      <c r="P9" s="3273"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713">
        <f t="shared" si="5"/>
        <v>1</v>
      </c>
    </row>
    <row r="10" spans="1:30" s="386" customFormat="1" ht="27">
      <c r="A10" s="380"/>
      <c r="B10" s="381" t="s">
        <v>2371</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73"/>
      <c r="Q10" s="1526" t="str">
        <f t="shared" si="6"/>
        <v>土地使用年限（年）</v>
      </c>
      <c r="R10" s="710" t="s">
        <v>17</v>
      </c>
      <c r="S10" s="711">
        <f t="shared" si="0"/>
        <v>106</v>
      </c>
      <c r="T10" s="710" t="s">
        <v>17</v>
      </c>
      <c r="U10" s="711">
        <f t="shared" si="1"/>
        <v>106</v>
      </c>
      <c r="V10" s="710" t="s">
        <v>17</v>
      </c>
      <c r="W10" s="711">
        <f t="shared" si="2"/>
        <v>106</v>
      </c>
      <c r="X10" s="712"/>
      <c r="Y10" s="3167"/>
      <c r="Z10" s="55" t="str">
        <f t="shared" si="7"/>
        <v>土地使用年限（年）</v>
      </c>
      <c r="AA10" s="713">
        <f t="shared" si="3"/>
        <v>0.94339622641509435</v>
      </c>
      <c r="AB10" s="713">
        <f t="shared" si="4"/>
        <v>0.94339622641509435</v>
      </c>
      <c r="AC10" s="713">
        <f t="shared" si="5"/>
        <v>0.94339622641509435</v>
      </c>
    </row>
    <row r="11" spans="1:30" ht="15">
      <c r="A11" s="387"/>
      <c r="B11" s="381" t="s">
        <v>2372</v>
      </c>
      <c r="C11" s="388">
        <f>'数据-汇总表'!I6</f>
        <v>0.21</v>
      </c>
      <c r="D11" s="132">
        <v>100</v>
      </c>
      <c r="E11" s="388">
        <v>1.5</v>
      </c>
      <c r="F11" s="132">
        <f>LOOKUP(E11,80:80,81:81)-LOOKUP(C11,80:80,81:81)+100</f>
        <v>98</v>
      </c>
      <c r="G11" s="389">
        <v>1.2</v>
      </c>
      <c r="H11" s="132">
        <f>LOOKUP(G11,80:80,81:81)-LOOKUP(C11,80:80,81:81)+100</f>
        <v>98</v>
      </c>
      <c r="I11" s="388">
        <v>0.7</v>
      </c>
      <c r="J11" s="132">
        <f>LOOKUP(I11,80:80,81:81)-LOOKUP(C11,80:80,81:81)+100</f>
        <v>100</v>
      </c>
      <c r="K11" s="629">
        <v>2</v>
      </c>
      <c r="L11" s="2948"/>
      <c r="M11" s="2943"/>
      <c r="N11" s="2943"/>
      <c r="O11" s="3001"/>
      <c r="P11" s="3273"/>
      <c r="Q11" s="1526" t="str">
        <f t="shared" si="6"/>
        <v>容积率</v>
      </c>
      <c r="R11" s="710" t="s">
        <v>17</v>
      </c>
      <c r="S11" s="711">
        <f t="shared" si="0"/>
        <v>98</v>
      </c>
      <c r="T11" s="710" t="s">
        <v>17</v>
      </c>
      <c r="U11" s="711">
        <f t="shared" si="1"/>
        <v>98</v>
      </c>
      <c r="V11" s="710" t="s">
        <v>17</v>
      </c>
      <c r="W11" s="711">
        <f t="shared" si="2"/>
        <v>100</v>
      </c>
      <c r="X11" s="712"/>
      <c r="Y11" s="3167"/>
      <c r="Z11" s="55" t="str">
        <f t="shared" si="7"/>
        <v>容积率</v>
      </c>
      <c r="AA11" s="713">
        <f t="shared" si="3"/>
        <v>1.0204081632653061</v>
      </c>
      <c r="AB11" s="713">
        <f t="shared" si="4"/>
        <v>1.0204081632653061</v>
      </c>
      <c r="AC11" s="713">
        <f t="shared" si="5"/>
        <v>1</v>
      </c>
    </row>
    <row r="12" spans="1:30" s="113" customFormat="1" ht="15">
      <c r="A12" s="390"/>
      <c r="B12" s="2077" t="s">
        <v>2561</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3"/>
      <c r="Q12" s="1526" t="str">
        <f t="shared" si="6"/>
        <v>配建</v>
      </c>
      <c r="R12" s="710" t="s">
        <v>17</v>
      </c>
      <c r="S12" s="711">
        <f t="shared" si="0"/>
        <v>100</v>
      </c>
      <c r="T12" s="710" t="s">
        <v>17</v>
      </c>
      <c r="U12" s="711">
        <f t="shared" si="1"/>
        <v>100</v>
      </c>
      <c r="V12" s="710" t="s">
        <v>17</v>
      </c>
      <c r="W12" s="711">
        <f t="shared" si="2"/>
        <v>100</v>
      </c>
      <c r="X12" s="712"/>
      <c r="Y12" s="3167"/>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3"/>
      <c r="Q13" s="1526">
        <f t="shared" si="6"/>
        <v>111</v>
      </c>
      <c r="R13" s="710" t="s">
        <v>17</v>
      </c>
      <c r="S13" s="711">
        <f t="shared" si="0"/>
        <v>100</v>
      </c>
      <c r="T13" s="710" t="s">
        <v>17</v>
      </c>
      <c r="U13" s="711">
        <f t="shared" si="1"/>
        <v>100</v>
      </c>
      <c r="V13" s="710" t="s">
        <v>17</v>
      </c>
      <c r="W13" s="711">
        <f t="shared" si="2"/>
        <v>100</v>
      </c>
      <c r="X13" s="712"/>
      <c r="Y13" s="3167"/>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3"/>
      <c r="Q14" s="1526">
        <f t="shared" si="6"/>
        <v>111</v>
      </c>
      <c r="R14" s="710" t="s">
        <v>17</v>
      </c>
      <c r="S14" s="711">
        <f t="shared" si="0"/>
        <v>100</v>
      </c>
      <c r="T14" s="710" t="s">
        <v>17</v>
      </c>
      <c r="U14" s="711">
        <f t="shared" si="1"/>
        <v>100</v>
      </c>
      <c r="V14" s="710" t="s">
        <v>17</v>
      </c>
      <c r="W14" s="711">
        <f t="shared" si="2"/>
        <v>100</v>
      </c>
      <c r="X14" s="712"/>
      <c r="Y14" s="3167"/>
      <c r="Z14" s="55">
        <f t="shared" si="7"/>
        <v>111</v>
      </c>
      <c r="AA14" s="713">
        <f>D14/F14</f>
        <v>1</v>
      </c>
      <c r="AB14" s="713">
        <f>D14/H14</f>
        <v>1</v>
      </c>
      <c r="AC14" s="713">
        <f>D14/J14</f>
        <v>1</v>
      </c>
    </row>
    <row r="15" spans="1:30" ht="99.75">
      <c r="A15" s="399" t="s">
        <v>2373</v>
      </c>
      <c r="B15" s="65" t="s">
        <v>1936</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75" t="s">
        <v>2374</v>
      </c>
      <c r="Q15" s="1535" t="str">
        <f t="shared" si="6"/>
        <v>居住社区成熟度</v>
      </c>
      <c r="R15" s="714" t="s">
        <v>17</v>
      </c>
      <c r="S15" s="715">
        <f t="shared" si="0"/>
        <v>100</v>
      </c>
      <c r="T15" s="714" t="s">
        <v>17</v>
      </c>
      <c r="U15" s="715">
        <f t="shared" si="1"/>
        <v>100</v>
      </c>
      <c r="V15" s="714" t="s">
        <v>17</v>
      </c>
      <c r="W15" s="715">
        <f t="shared" si="2"/>
        <v>100</v>
      </c>
      <c r="X15" s="1538"/>
      <c r="Y15" s="3275" t="s">
        <v>2374</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276"/>
      <c r="Q16" s="1535"/>
      <c r="R16" s="714"/>
      <c r="S16" s="715"/>
      <c r="T16" s="714"/>
      <c r="U16" s="715"/>
      <c r="V16" s="714"/>
      <c r="W16" s="715"/>
      <c r="X16" s="1538"/>
      <c r="Y16" s="3276"/>
      <c r="Z16" s="1539"/>
      <c r="AA16" s="1536">
        <v>1</v>
      </c>
      <c r="AB16" s="1536">
        <v>1</v>
      </c>
      <c r="AC16" s="1536">
        <v>1</v>
      </c>
    </row>
    <row r="17" spans="1:29" ht="71.25">
      <c r="A17" s="387"/>
      <c r="B17" s="410" t="s">
        <v>2467</v>
      </c>
      <c r="C17" s="2139" t="str">
        <f>估价对象房地状况!C16</f>
        <v>估价对象位于XX商圈，周边商业氛围成熟，人流量大，商业繁华度好</v>
      </c>
      <c r="D17" s="409">
        <v>100</v>
      </c>
      <c r="E17" s="411"/>
      <c r="F17" s="409">
        <f>SUMIF(90:90,E18,91:91)-SUMIF(90:90,C18,91:91)+100</f>
        <v>102</v>
      </c>
      <c r="G17" s="411"/>
      <c r="H17" s="414">
        <f>SUMIF(90:90,G18,91:91)-SUMIF(90:90,C18,91:91)+100</f>
        <v>102</v>
      </c>
      <c r="I17" s="413"/>
      <c r="J17" s="414">
        <f>SUMIF(90:90,I18,91:91)-SUMIF(90:90,C18,91:91)+100</f>
        <v>102</v>
      </c>
      <c r="K17" s="629">
        <v>2</v>
      </c>
      <c r="L17" s="2949"/>
      <c r="M17" s="2943"/>
      <c r="N17" s="2943"/>
      <c r="O17" s="3001"/>
      <c r="P17" s="3276"/>
      <c r="Q17" s="1535" t="str">
        <f>B17</f>
        <v>商业繁华度</v>
      </c>
      <c r="R17" s="714" t="s">
        <v>17</v>
      </c>
      <c r="S17" s="715">
        <f>F17</f>
        <v>102</v>
      </c>
      <c r="T17" s="714" t="s">
        <v>17</v>
      </c>
      <c r="U17" s="715">
        <f>H17</f>
        <v>102</v>
      </c>
      <c r="V17" s="714" t="s">
        <v>17</v>
      </c>
      <c r="W17" s="715">
        <f>J17</f>
        <v>102</v>
      </c>
      <c r="X17" s="1538"/>
      <c r="Y17" s="3276"/>
      <c r="Z17" s="1539" t="str">
        <f>Q17</f>
        <v>商业繁华度</v>
      </c>
      <c r="AA17" s="1536">
        <f t="shared" si="3"/>
        <v>0.98039215686274506</v>
      </c>
      <c r="AB17" s="1536">
        <f t="shared" si="4"/>
        <v>0.98039215686274506</v>
      </c>
      <c r="AC17" s="1536">
        <f t="shared" si="5"/>
        <v>0.98039215686274506</v>
      </c>
    </row>
    <row r="18" spans="1:29" ht="15">
      <c r="A18" s="387"/>
      <c r="B18" s="415"/>
      <c r="C18" s="2085" t="s">
        <v>3200</v>
      </c>
      <c r="D18" s="409"/>
      <c r="E18" s="2087" t="s">
        <v>3198</v>
      </c>
      <c r="F18" s="409"/>
      <c r="G18" s="2087" t="s">
        <v>3198</v>
      </c>
      <c r="H18" s="407"/>
      <c r="I18" s="2087" t="s">
        <v>3198</v>
      </c>
      <c r="J18" s="407"/>
      <c r="K18" s="628"/>
      <c r="L18" s="2949"/>
      <c r="M18" s="2943"/>
      <c r="N18" s="2943"/>
      <c r="O18" s="3001"/>
      <c r="P18" s="3276"/>
      <c r="Q18" s="1535"/>
      <c r="R18" s="714"/>
      <c r="S18" s="715"/>
      <c r="T18" s="714"/>
      <c r="U18" s="715"/>
      <c r="V18" s="714"/>
      <c r="W18" s="715"/>
      <c r="X18" s="1538"/>
      <c r="Y18" s="3276"/>
      <c r="Z18" s="1539"/>
      <c r="AA18" s="1536">
        <v>1</v>
      </c>
      <c r="AB18" s="1536">
        <v>1</v>
      </c>
      <c r="AC18" s="1536">
        <v>1</v>
      </c>
    </row>
    <row r="19" spans="1:29" ht="71.25">
      <c r="A19" s="387"/>
      <c r="B19" s="410" t="s">
        <v>2501</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76"/>
      <c r="Q19" s="1535" t="str">
        <f>B19</f>
        <v>办公集聚程度</v>
      </c>
      <c r="R19" s="714" t="s">
        <v>17</v>
      </c>
      <c r="S19" s="715">
        <f>F19</f>
        <v>100</v>
      </c>
      <c r="T19" s="714" t="s">
        <v>17</v>
      </c>
      <c r="U19" s="715">
        <f>H19</f>
        <v>100</v>
      </c>
      <c r="V19" s="714" t="s">
        <v>17</v>
      </c>
      <c r="W19" s="715">
        <f>J19</f>
        <v>100</v>
      </c>
      <c r="X19" s="1538"/>
      <c r="Y19" s="3276"/>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276"/>
      <c r="Q20" s="1535"/>
      <c r="R20" s="714"/>
      <c r="S20" s="715"/>
      <c r="T20" s="714"/>
      <c r="U20" s="715"/>
      <c r="V20" s="714"/>
      <c r="W20" s="715"/>
      <c r="X20" s="1538"/>
      <c r="Y20" s="3276"/>
      <c r="Z20" s="1539"/>
      <c r="AA20" s="1536">
        <v>1</v>
      </c>
      <c r="AB20" s="1536">
        <v>1</v>
      </c>
      <c r="AC20" s="1536">
        <v>1</v>
      </c>
    </row>
    <row r="21" spans="1:29" ht="85.5">
      <c r="A21" s="387"/>
      <c r="B21" s="410" t="s">
        <v>2523</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98</v>
      </c>
      <c r="K21" s="629">
        <v>2</v>
      </c>
      <c r="L21" s="2949"/>
      <c r="M21" s="2943"/>
      <c r="N21" s="2943"/>
      <c r="O21" s="3001"/>
      <c r="P21" s="3276"/>
      <c r="Q21" s="1535" t="str">
        <f>B21</f>
        <v>交通便捷度</v>
      </c>
      <c r="R21" s="714" t="s">
        <v>17</v>
      </c>
      <c r="S21" s="715">
        <f>F21</f>
        <v>100</v>
      </c>
      <c r="T21" s="714" t="s">
        <v>17</v>
      </c>
      <c r="U21" s="715">
        <f>H21</f>
        <v>100</v>
      </c>
      <c r="V21" s="714" t="s">
        <v>17</v>
      </c>
      <c r="W21" s="715">
        <f>J21</f>
        <v>98</v>
      </c>
      <c r="X21" s="1538"/>
      <c r="Y21" s="3276"/>
      <c r="Z21" s="1539" t="str">
        <f>Q21</f>
        <v>交通便捷度</v>
      </c>
      <c r="AA21" s="1536">
        <f t="shared" si="3"/>
        <v>1</v>
      </c>
      <c r="AB21" s="1536">
        <f t="shared" si="4"/>
        <v>1</v>
      </c>
      <c r="AC21" s="1536">
        <f t="shared" si="5"/>
        <v>1.0204081632653061</v>
      </c>
    </row>
    <row r="22" spans="1:29" ht="15">
      <c r="A22" s="387"/>
      <c r="B22" s="1293"/>
      <c r="C22" s="406" t="s">
        <v>3198</v>
      </c>
      <c r="D22" s="409"/>
      <c r="E22" s="406" t="s">
        <v>3198</v>
      </c>
      <c r="F22" s="407"/>
      <c r="G22" s="406" t="s">
        <v>3198</v>
      </c>
      <c r="H22" s="407"/>
      <c r="I22" s="406" t="s">
        <v>3200</v>
      </c>
      <c r="J22" s="407"/>
      <c r="K22" s="628"/>
      <c r="L22" s="2949"/>
      <c r="M22" s="2943"/>
      <c r="N22" s="2943"/>
      <c r="O22" s="3001"/>
      <c r="P22" s="3276"/>
      <c r="Q22" s="1535"/>
      <c r="R22" s="714"/>
      <c r="S22" s="715"/>
      <c r="T22" s="714"/>
      <c r="U22" s="715"/>
      <c r="V22" s="714"/>
      <c r="W22" s="715"/>
      <c r="X22" s="1538"/>
      <c r="Y22" s="3276"/>
      <c r="Z22" s="1539"/>
      <c r="AA22" s="1536">
        <v>1</v>
      </c>
      <c r="AB22" s="1536">
        <v>1</v>
      </c>
      <c r="AC22" s="1536">
        <v>1</v>
      </c>
    </row>
    <row r="23" spans="1:29" ht="15">
      <c r="A23" s="364"/>
      <c r="B23" s="410" t="s">
        <v>2562</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76"/>
      <c r="Q23" s="1535" t="str">
        <f t="shared" ref="Q23:Q37" si="8">B23</f>
        <v>区域土地利用方向</v>
      </c>
      <c r="R23" s="714" t="s">
        <v>17</v>
      </c>
      <c r="S23" s="715">
        <f>F23</f>
        <v>100</v>
      </c>
      <c r="T23" s="714" t="s">
        <v>17</v>
      </c>
      <c r="U23" s="715">
        <f>H23</f>
        <v>100</v>
      </c>
      <c r="V23" s="714" t="s">
        <v>17</v>
      </c>
      <c r="W23" s="715">
        <f>J23</f>
        <v>100</v>
      </c>
      <c r="X23" s="1538"/>
      <c r="Y23" s="3276"/>
      <c r="Z23" s="1539" t="str">
        <f>Q23</f>
        <v>区域土地利用方向</v>
      </c>
      <c r="AA23" s="1536">
        <f t="shared" si="3"/>
        <v>1</v>
      </c>
      <c r="AB23" s="1536">
        <f t="shared" si="4"/>
        <v>1</v>
      </c>
      <c r="AC23" s="1536">
        <f t="shared" si="5"/>
        <v>1</v>
      </c>
    </row>
    <row r="24" spans="1:29" ht="15">
      <c r="A24" s="364"/>
      <c r="B24" s="415"/>
      <c r="C24" s="573" t="s">
        <v>3198</v>
      </c>
      <c r="D24" s="407"/>
      <c r="E24" s="573" t="s">
        <v>3198</v>
      </c>
      <c r="F24" s="407"/>
      <c r="G24" s="573" t="s">
        <v>3198</v>
      </c>
      <c r="H24" s="407"/>
      <c r="I24" s="573" t="s">
        <v>3198</v>
      </c>
      <c r="J24" s="407"/>
      <c r="K24" s="751"/>
      <c r="L24" s="2949"/>
      <c r="M24" s="2943"/>
      <c r="N24" s="2943"/>
      <c r="O24" s="3001"/>
      <c r="P24" s="3276"/>
      <c r="Q24" s="1535"/>
      <c r="R24" s="714"/>
      <c r="S24" s="715"/>
      <c r="T24" s="714"/>
      <c r="U24" s="715"/>
      <c r="V24" s="714"/>
      <c r="W24" s="715"/>
      <c r="X24" s="1538"/>
      <c r="Y24" s="3276"/>
      <c r="Z24" s="1539"/>
      <c r="AA24" s="1536"/>
      <c r="AB24" s="1536"/>
      <c r="AC24" s="1536"/>
    </row>
    <row r="25" spans="1:29" ht="57">
      <c r="A25" s="364"/>
      <c r="B25" s="1293" t="s">
        <v>2563</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98</v>
      </c>
      <c r="K25" s="629">
        <v>2</v>
      </c>
      <c r="L25" s="2949"/>
      <c r="M25" s="2943"/>
      <c r="N25" s="2943"/>
      <c r="O25" s="3001"/>
      <c r="P25" s="3276"/>
      <c r="Q25" s="1535" t="str">
        <f t="shared" si="8"/>
        <v>自然及人文环境状况</v>
      </c>
      <c r="R25" s="714" t="s">
        <v>17</v>
      </c>
      <c r="S25" s="715">
        <f>F25</f>
        <v>100</v>
      </c>
      <c r="T25" s="714" t="s">
        <v>17</v>
      </c>
      <c r="U25" s="715">
        <f>H25</f>
        <v>100</v>
      </c>
      <c r="V25" s="714" t="s">
        <v>17</v>
      </c>
      <c r="W25" s="715">
        <f>J25</f>
        <v>98</v>
      </c>
      <c r="X25" s="1538"/>
      <c r="Y25" s="3276"/>
      <c r="Z25" s="1539" t="str">
        <f>Q25</f>
        <v>自然及人文环境状况</v>
      </c>
      <c r="AA25" s="1536">
        <f t="shared" si="3"/>
        <v>1</v>
      </c>
      <c r="AB25" s="1536">
        <f t="shared" si="4"/>
        <v>1</v>
      </c>
      <c r="AC25" s="1536">
        <f t="shared" si="5"/>
        <v>1.0204081632653061</v>
      </c>
    </row>
    <row r="26" spans="1:29" ht="15">
      <c r="A26" s="364"/>
      <c r="B26" s="415"/>
      <c r="C26" s="406" t="s">
        <v>3198</v>
      </c>
      <c r="D26" s="407"/>
      <c r="E26" s="2088" t="s">
        <v>3198</v>
      </c>
      <c r="F26" s="407"/>
      <c r="G26" s="2088" t="s">
        <v>3198</v>
      </c>
      <c r="H26" s="407"/>
      <c r="I26" s="2088" t="s">
        <v>3200</v>
      </c>
      <c r="J26" s="407"/>
      <c r="K26" s="628"/>
      <c r="L26" s="2949"/>
      <c r="M26" s="2943"/>
      <c r="N26" s="2943"/>
      <c r="O26" s="3001"/>
      <c r="P26" s="3276"/>
      <c r="Q26" s="1535"/>
      <c r="R26" s="714"/>
      <c r="S26" s="715"/>
      <c r="T26" s="714"/>
      <c r="U26" s="715"/>
      <c r="V26" s="714"/>
      <c r="W26" s="715"/>
      <c r="X26" s="1538"/>
      <c r="Y26" s="3276"/>
      <c r="Z26" s="1539"/>
      <c r="AA26" s="1536">
        <v>1</v>
      </c>
      <c r="AB26" s="1536">
        <v>1</v>
      </c>
      <c r="AC26" s="1536">
        <v>1</v>
      </c>
    </row>
    <row r="27" spans="1:29" s="113" customFormat="1" ht="42.75">
      <c r="A27" s="605"/>
      <c r="B27" s="1293" t="s">
        <v>2468</v>
      </c>
      <c r="C27" s="2084" t="str">
        <f>估价对象房地状况!C21</f>
        <v>估价对象所在区域公共配套设施齐备情况</v>
      </c>
      <c r="D27" s="409">
        <v>100</v>
      </c>
      <c r="E27" s="411"/>
      <c r="F27" s="409">
        <f>SUMIF(100:100,E28,101:101)-SUMIF(100:100,C28,101:101)+100</f>
        <v>102</v>
      </c>
      <c r="G27" s="411"/>
      <c r="H27" s="409">
        <f>SUMIF(100:100,G28,101:101)-SUMIF(100:100,C28,101:101)+100</f>
        <v>102</v>
      </c>
      <c r="I27" s="413"/>
      <c r="J27" s="409">
        <f>SUMIF(100:100,I28,101:101)-SUMIF(100:100,C28,101:101)+100</f>
        <v>102</v>
      </c>
      <c r="K27" s="629">
        <v>2</v>
      </c>
      <c r="L27" s="2944"/>
      <c r="M27" s="2945"/>
      <c r="N27" s="2945"/>
      <c r="O27" s="2999"/>
      <c r="P27" s="3276"/>
      <c r="Q27" s="1526" t="str">
        <f t="shared" si="8"/>
        <v>公共配套设施</v>
      </c>
      <c r="R27" s="710" t="s">
        <v>17</v>
      </c>
      <c r="S27" s="711">
        <f>F27</f>
        <v>102</v>
      </c>
      <c r="T27" s="710" t="s">
        <v>17</v>
      </c>
      <c r="U27" s="711">
        <f>H27</f>
        <v>102</v>
      </c>
      <c r="V27" s="710" t="s">
        <v>17</v>
      </c>
      <c r="W27" s="711">
        <f>J27</f>
        <v>102</v>
      </c>
      <c r="X27" s="712"/>
      <c r="Y27" s="3276"/>
      <c r="Z27" s="55" t="str">
        <f>Q27</f>
        <v>公共配套设施</v>
      </c>
      <c r="AA27" s="1536">
        <f>D27/F27</f>
        <v>0.98039215686274506</v>
      </c>
      <c r="AB27" s="1536">
        <f>D27/H27</f>
        <v>0.98039215686274506</v>
      </c>
      <c r="AC27" s="1536">
        <f>D27/J27</f>
        <v>0.98039215686274506</v>
      </c>
    </row>
    <row r="28" spans="1:29" s="113" customFormat="1" ht="15">
      <c r="A28" s="605"/>
      <c r="B28" s="415"/>
      <c r="C28" s="2162" t="s">
        <v>3200</v>
      </c>
      <c r="D28" s="407"/>
      <c r="E28" s="2088" t="s">
        <v>3198</v>
      </c>
      <c r="F28" s="407"/>
      <c r="G28" s="2088" t="s">
        <v>3198</v>
      </c>
      <c r="H28" s="407"/>
      <c r="I28" s="2088" t="s">
        <v>3198</v>
      </c>
      <c r="J28" s="407"/>
      <c r="K28" s="628"/>
      <c r="L28" s="2944"/>
      <c r="M28" s="2945"/>
      <c r="N28" s="2945"/>
      <c r="O28" s="2999"/>
      <c r="P28" s="3276"/>
      <c r="Q28" s="1526"/>
      <c r="R28" s="710"/>
      <c r="S28" s="711"/>
      <c r="T28" s="710"/>
      <c r="U28" s="711"/>
      <c r="V28" s="710"/>
      <c r="W28" s="711"/>
      <c r="X28" s="712"/>
      <c r="Y28" s="3276"/>
      <c r="Z28" s="55"/>
      <c r="AA28" s="1536">
        <v>1</v>
      </c>
      <c r="AB28" s="1536">
        <v>1</v>
      </c>
      <c r="AC28" s="1536">
        <v>1</v>
      </c>
    </row>
    <row r="29" spans="1:29" s="113" customFormat="1" ht="28.5">
      <c r="A29" s="605"/>
      <c r="B29" s="1293" t="s">
        <v>2469</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276"/>
      <c r="Q29" s="1526" t="str">
        <f t="shared" ref="Q29" si="9">B29</f>
        <v>基础设施水平</v>
      </c>
      <c r="R29" s="710" t="s">
        <v>17</v>
      </c>
      <c r="S29" s="711">
        <f>F29</f>
        <v>100</v>
      </c>
      <c r="T29" s="710" t="s">
        <v>17</v>
      </c>
      <c r="U29" s="711">
        <f>H29</f>
        <v>100</v>
      </c>
      <c r="V29" s="710" t="s">
        <v>17</v>
      </c>
      <c r="W29" s="711">
        <f>J29</f>
        <v>100</v>
      </c>
      <c r="X29" s="712"/>
      <c r="Y29" s="3276"/>
      <c r="Z29" s="55" t="str">
        <f>Q29</f>
        <v>基础设施水平</v>
      </c>
      <c r="AA29" s="1536">
        <f>D29/F29</f>
        <v>1</v>
      </c>
      <c r="AB29" s="1536">
        <f>D29/H29</f>
        <v>1</v>
      </c>
      <c r="AC29" s="1536">
        <f>D29/J29</f>
        <v>1</v>
      </c>
    </row>
    <row r="30" spans="1:29" s="113" customFormat="1" ht="15">
      <c r="A30" s="605"/>
      <c r="B30" s="415"/>
      <c r="C30" s="2162" t="s">
        <v>3211</v>
      </c>
      <c r="D30" s="407"/>
      <c r="E30" s="2162" t="s">
        <v>3211</v>
      </c>
      <c r="F30" s="407"/>
      <c r="G30" s="2162" t="s">
        <v>3211</v>
      </c>
      <c r="H30" s="407"/>
      <c r="I30" s="2162" t="s">
        <v>3211</v>
      </c>
      <c r="J30" s="407"/>
      <c r="K30" s="628"/>
      <c r="L30" s="2944"/>
      <c r="M30" s="2945"/>
      <c r="N30" s="2945"/>
      <c r="O30" s="2999"/>
      <c r="P30" s="3276"/>
      <c r="Q30" s="1526"/>
      <c r="R30" s="710"/>
      <c r="S30" s="711"/>
      <c r="T30" s="710"/>
      <c r="U30" s="711"/>
      <c r="V30" s="710"/>
      <c r="W30" s="711"/>
      <c r="X30" s="712"/>
      <c r="Y30" s="3276"/>
      <c r="Z30" s="55"/>
      <c r="AA30" s="1536">
        <v>1</v>
      </c>
      <c r="AB30" s="1536">
        <v>1</v>
      </c>
      <c r="AC30" s="1536">
        <v>1</v>
      </c>
    </row>
    <row r="31" spans="1:29" ht="15">
      <c r="A31" s="387"/>
      <c r="B31" s="415" t="s">
        <v>2470</v>
      </c>
      <c r="C31" s="573" t="s">
        <v>3212</v>
      </c>
      <c r="D31" s="394">
        <v>100</v>
      </c>
      <c r="E31" s="590" t="s">
        <v>3213</v>
      </c>
      <c r="F31" s="394">
        <f>SUMIF(104:104,E31,105:105)-SUMIF(104:104,C31,105:105)+100</f>
        <v>98</v>
      </c>
      <c r="G31" s="590" t="s">
        <v>3212</v>
      </c>
      <c r="H31" s="394">
        <f>SUMIF(104:104,G31,105:105)-SUMIF(104:104,C31,105:105)+100</f>
        <v>100</v>
      </c>
      <c r="I31" s="590" t="s">
        <v>3218</v>
      </c>
      <c r="J31" s="394">
        <f>SUMIF(104:104,I31,105:105)-SUMIF(104:104,C31,105:105)+100</f>
        <v>96</v>
      </c>
      <c r="K31" s="629">
        <v>2</v>
      </c>
      <c r="L31" s="2949"/>
      <c r="M31" s="2943"/>
      <c r="N31" s="2943"/>
      <c r="O31" s="3001"/>
      <c r="P31" s="3276"/>
      <c r="Q31" s="1535" t="str">
        <f t="shared" si="8"/>
        <v>临街状况</v>
      </c>
      <c r="R31" s="714" t="s">
        <v>17</v>
      </c>
      <c r="S31" s="715">
        <f t="shared" ref="S31:S45" si="10">F31</f>
        <v>98</v>
      </c>
      <c r="T31" s="714" t="s">
        <v>17</v>
      </c>
      <c r="U31" s="715">
        <f t="shared" ref="U31:U45" si="11">H31</f>
        <v>100</v>
      </c>
      <c r="V31" s="714" t="s">
        <v>17</v>
      </c>
      <c r="W31" s="715">
        <f t="shared" ref="W31:W45" si="12">J31</f>
        <v>96</v>
      </c>
      <c r="X31" s="1538"/>
      <c r="Y31" s="3276"/>
      <c r="Z31" s="1539" t="str">
        <f t="shared" ref="Z31:Z45" si="13">Q31</f>
        <v>临街状况</v>
      </c>
      <c r="AA31" s="1536">
        <f t="shared" si="3"/>
        <v>1.0204081632653061</v>
      </c>
      <c r="AB31" s="1536">
        <f t="shared" si="4"/>
        <v>1</v>
      </c>
      <c r="AC31" s="1536">
        <f t="shared" si="5"/>
        <v>1.0416666666666667</v>
      </c>
    </row>
    <row r="32" spans="1:29" ht="27">
      <c r="A32" s="387"/>
      <c r="B32" s="1293" t="s">
        <v>2505</v>
      </c>
      <c r="C32" s="413"/>
      <c r="D32" s="409">
        <v>100</v>
      </c>
      <c r="E32" s="411"/>
      <c r="F32" s="409">
        <f>SUMIF(106:106,E33,107:107)-SUMIF(106:106,C33,107:107)+100</f>
        <v>100</v>
      </c>
      <c r="G32" s="411"/>
      <c r="H32" s="409">
        <f>SUMIF(106:106,G33,107:107)-SUMIF(106:106,C33,107:107)+100</f>
        <v>98</v>
      </c>
      <c r="I32" s="413"/>
      <c r="J32" s="409">
        <f>SUMIF(106:106,I33,107:107)-SUMIF(106:106,C33,107:107)+100</f>
        <v>98</v>
      </c>
      <c r="K32" s="629">
        <v>2</v>
      </c>
      <c r="L32" s="2949"/>
      <c r="M32" s="2943"/>
      <c r="N32" s="2943"/>
      <c r="O32" s="3001"/>
      <c r="P32" s="3276"/>
      <c r="Q32" s="1535" t="str">
        <f t="shared" si="8"/>
        <v>毗邻道路的类型与等级</v>
      </c>
      <c r="R32" s="714" t="s">
        <v>17</v>
      </c>
      <c r="S32" s="715">
        <f t="shared" si="10"/>
        <v>100</v>
      </c>
      <c r="T32" s="714" t="s">
        <v>17</v>
      </c>
      <c r="U32" s="715">
        <f t="shared" si="11"/>
        <v>98</v>
      </c>
      <c r="V32" s="714" t="s">
        <v>17</v>
      </c>
      <c r="W32" s="715">
        <f t="shared" si="12"/>
        <v>98</v>
      </c>
      <c r="X32" s="1538"/>
      <c r="Y32" s="3276"/>
      <c r="Z32" s="1539" t="str">
        <f t="shared" si="13"/>
        <v>毗邻道路的类型与等级</v>
      </c>
      <c r="AA32" s="1536">
        <f t="shared" si="3"/>
        <v>1</v>
      </c>
      <c r="AB32" s="1536">
        <f t="shared" si="4"/>
        <v>1.0204081632653061</v>
      </c>
      <c r="AC32" s="1536">
        <f t="shared" si="5"/>
        <v>1.0204081632653061</v>
      </c>
    </row>
    <row r="33" spans="1:29" ht="15">
      <c r="A33" s="387"/>
      <c r="B33" s="415"/>
      <c r="C33" s="406" t="s">
        <v>3205</v>
      </c>
      <c r="D33" s="407"/>
      <c r="E33" s="2088" t="s">
        <v>3205</v>
      </c>
      <c r="F33" s="407"/>
      <c r="G33" s="2088" t="s">
        <v>3207</v>
      </c>
      <c r="H33" s="407"/>
      <c r="I33" s="406" t="s">
        <v>3207</v>
      </c>
      <c r="J33" s="407"/>
      <c r="K33" s="570"/>
      <c r="L33" s="2949"/>
      <c r="M33" s="2943"/>
      <c r="N33" s="2943"/>
      <c r="O33" s="3001"/>
      <c r="P33" s="3276"/>
      <c r="Q33" s="1535"/>
      <c r="R33" s="714"/>
      <c r="S33" s="715"/>
      <c r="T33" s="714"/>
      <c r="U33" s="715"/>
      <c r="V33" s="714"/>
      <c r="W33" s="715"/>
      <c r="X33" s="1538"/>
      <c r="Y33" s="3276"/>
      <c r="Z33" s="1539"/>
      <c r="AA33" s="1536">
        <v>1</v>
      </c>
      <c r="AB33" s="1536">
        <v>1</v>
      </c>
      <c r="AC33" s="1536">
        <v>1</v>
      </c>
    </row>
    <row r="34" spans="1:29" ht="15">
      <c r="A34" s="387"/>
      <c r="B34" s="381" t="s">
        <v>2564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76"/>
      <c r="Q34" s="1535" t="str">
        <f t="shared" si="8"/>
        <v>土地级别</v>
      </c>
      <c r="R34" s="714" t="s">
        <v>17</v>
      </c>
      <c r="S34" s="715">
        <f t="shared" si="10"/>
        <v>100</v>
      </c>
      <c r="T34" s="714" t="s">
        <v>17</v>
      </c>
      <c r="U34" s="715">
        <f t="shared" si="11"/>
        <v>100</v>
      </c>
      <c r="V34" s="714" t="s">
        <v>17</v>
      </c>
      <c r="W34" s="715">
        <f t="shared" si="12"/>
        <v>100</v>
      </c>
      <c r="X34" s="1538"/>
      <c r="Y34" s="3276"/>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76"/>
      <c r="Q35" s="1535">
        <f t="shared" si="8"/>
        <v>111</v>
      </c>
      <c r="R35" s="714" t="s">
        <v>17</v>
      </c>
      <c r="S35" s="715">
        <f t="shared" si="10"/>
        <v>100</v>
      </c>
      <c r="T35" s="714" t="s">
        <v>17</v>
      </c>
      <c r="U35" s="715">
        <f t="shared" si="11"/>
        <v>100</v>
      </c>
      <c r="V35" s="714" t="s">
        <v>17</v>
      </c>
      <c r="W35" s="715">
        <f t="shared" si="12"/>
        <v>100</v>
      </c>
      <c r="X35" s="1538"/>
      <c r="Y35" s="3276"/>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77" t="s">
        <v>2379</v>
      </c>
      <c r="Q36" s="1535">
        <f t="shared" si="8"/>
        <v>111</v>
      </c>
      <c r="R36" s="714" t="s">
        <v>17</v>
      </c>
      <c r="S36" s="715">
        <f t="shared" si="10"/>
        <v>100</v>
      </c>
      <c r="T36" s="714" t="s">
        <v>17</v>
      </c>
      <c r="U36" s="715">
        <f t="shared" si="11"/>
        <v>100</v>
      </c>
      <c r="V36" s="714" t="s">
        <v>17</v>
      </c>
      <c r="W36" s="715">
        <f t="shared" si="12"/>
        <v>100</v>
      </c>
      <c r="X36" s="1538"/>
      <c r="Y36" s="3278" t="s">
        <v>2379</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78"/>
      <c r="Q37" s="1535">
        <f t="shared" si="8"/>
        <v>111</v>
      </c>
      <c r="R37" s="717" t="s">
        <v>17</v>
      </c>
      <c r="S37" s="718">
        <f t="shared" si="10"/>
        <v>100</v>
      </c>
      <c r="T37" s="717" t="s">
        <v>17</v>
      </c>
      <c r="U37" s="718">
        <f t="shared" si="11"/>
        <v>100</v>
      </c>
      <c r="V37" s="717" t="s">
        <v>17</v>
      </c>
      <c r="W37" s="718">
        <f t="shared" si="12"/>
        <v>100</v>
      </c>
      <c r="X37" s="719"/>
      <c r="Y37" s="3278"/>
      <c r="Z37" s="720">
        <f t="shared" si="13"/>
        <v>111</v>
      </c>
      <c r="AA37" s="1536">
        <f t="shared" si="3"/>
        <v>1</v>
      </c>
      <c r="AB37" s="1536">
        <f t="shared" si="4"/>
        <v>1</v>
      </c>
      <c r="AC37" s="1536">
        <f t="shared" si="5"/>
        <v>1</v>
      </c>
    </row>
    <row r="38" spans="1:29" ht="15">
      <c r="A38" s="431" t="s">
        <v>2377</v>
      </c>
      <c r="B38" s="415" t="s">
        <v>2565</v>
      </c>
      <c r="C38" s="635">
        <f>'数据-基础表'!A3</f>
        <v>155390.20000000001</v>
      </c>
      <c r="D38" s="426">
        <v>100</v>
      </c>
      <c r="E38" s="635">
        <f>土地案例!D2</f>
        <v>24472.3</v>
      </c>
      <c r="F38" s="426">
        <f>LOOKUP(E38,117:117,118:118)-LOOKUP(C38,117:117,118:118)+100</f>
        <v>97</v>
      </c>
      <c r="G38" s="635">
        <f>土地案例!D3</f>
        <v>113531</v>
      </c>
      <c r="H38" s="426">
        <f>LOOKUP(G38,117:117,118:118)-LOOKUP(C38,117:117,118:118)+100</f>
        <v>99</v>
      </c>
      <c r="I38" s="487">
        <f>土地案例!D11</f>
        <v>6273.1</v>
      </c>
      <c r="J38" s="426">
        <f>LOOKUP(I38,117:117,118:118)-LOOKUP(C38,117:117,118:118)+100</f>
        <v>97</v>
      </c>
      <c r="K38" s="570"/>
      <c r="L38" s="2949"/>
      <c r="M38" s="2943"/>
      <c r="N38" s="2943"/>
      <c r="O38" s="3001"/>
      <c r="P38" s="3278"/>
      <c r="Q38" s="1535" t="str">
        <f>B38</f>
        <v>宗地面积</v>
      </c>
      <c r="R38" s="714" t="s">
        <v>17</v>
      </c>
      <c r="S38" s="715">
        <f t="shared" si="10"/>
        <v>97</v>
      </c>
      <c r="T38" s="714" t="s">
        <v>17</v>
      </c>
      <c r="U38" s="715">
        <f t="shared" si="11"/>
        <v>99</v>
      </c>
      <c r="V38" s="714" t="s">
        <v>17</v>
      </c>
      <c r="W38" s="715">
        <f t="shared" si="12"/>
        <v>97</v>
      </c>
      <c r="X38" s="1538"/>
      <c r="Y38" s="3278"/>
      <c r="Z38" s="1539" t="str">
        <f t="shared" si="13"/>
        <v>宗地面积</v>
      </c>
      <c r="AA38" s="1536">
        <f t="shared" si="3"/>
        <v>1.0309278350515463</v>
      </c>
      <c r="AB38" s="1536">
        <f t="shared" si="4"/>
        <v>1.0101010101010102</v>
      </c>
      <c r="AC38" s="1536">
        <f t="shared" si="5"/>
        <v>1.0309278350515463</v>
      </c>
    </row>
    <row r="39" spans="1:29" ht="15">
      <c r="A39" s="431"/>
      <c r="B39" s="381" t="s">
        <v>2566</v>
      </c>
      <c r="C39" s="2090" t="s">
        <v>3192</v>
      </c>
      <c r="D39" s="394">
        <v>100</v>
      </c>
      <c r="E39" s="2090" t="s">
        <v>3195</v>
      </c>
      <c r="F39" s="394">
        <f>SUMIF(119:119,E39,120:120)-SUMIF(119:119,C39,120:120)+100</f>
        <v>96</v>
      </c>
      <c r="G39" s="2090" t="s">
        <v>3192</v>
      </c>
      <c r="H39" s="394">
        <f>SUMIF(119:119,G39,120:120)-SUMIF(119:119,C39,120:120)+100</f>
        <v>100</v>
      </c>
      <c r="I39" s="2090" t="s">
        <v>3195</v>
      </c>
      <c r="J39" s="394">
        <f>SUMIF(119:119,I39,120:120)-SUMIF(119:119,C39,120:120)+100</f>
        <v>96</v>
      </c>
      <c r="K39" s="569">
        <v>2</v>
      </c>
      <c r="L39" s="2949"/>
      <c r="M39" s="2943"/>
      <c r="N39" s="2943"/>
      <c r="O39" s="3001"/>
      <c r="P39" s="3278"/>
      <c r="Q39" s="1535" t="str">
        <f t="shared" ref="Q39:Q45" si="14">B39</f>
        <v>宗地形状</v>
      </c>
      <c r="R39" s="714" t="s">
        <v>17</v>
      </c>
      <c r="S39" s="715">
        <f t="shared" si="10"/>
        <v>96</v>
      </c>
      <c r="T39" s="714" t="s">
        <v>17</v>
      </c>
      <c r="U39" s="715">
        <f t="shared" si="11"/>
        <v>100</v>
      </c>
      <c r="V39" s="714" t="s">
        <v>17</v>
      </c>
      <c r="W39" s="715">
        <f t="shared" si="12"/>
        <v>96</v>
      </c>
      <c r="X39" s="1538"/>
      <c r="Y39" s="3278"/>
      <c r="Z39" s="1539" t="str">
        <f t="shared" si="13"/>
        <v>宗地形状</v>
      </c>
      <c r="AA39" s="1536">
        <f t="shared" si="3"/>
        <v>1.0416666666666667</v>
      </c>
      <c r="AB39" s="1536">
        <f t="shared" si="4"/>
        <v>1</v>
      </c>
      <c r="AC39" s="1536">
        <f t="shared" si="5"/>
        <v>1.0416666666666667</v>
      </c>
    </row>
    <row r="40" spans="1:29" ht="15">
      <c r="A40" s="431"/>
      <c r="B40" s="381" t="s">
        <v>2567</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78"/>
      <c r="Q40" s="1535" t="str">
        <f t="shared" si="14"/>
        <v>临街宽度及深度</v>
      </c>
      <c r="R40" s="714" t="s">
        <v>17</v>
      </c>
      <c r="S40" s="715">
        <f t="shared" si="10"/>
        <v>100</v>
      </c>
      <c r="T40" s="714" t="s">
        <v>17</v>
      </c>
      <c r="U40" s="715">
        <f t="shared" si="11"/>
        <v>100</v>
      </c>
      <c r="V40" s="714" t="s">
        <v>17</v>
      </c>
      <c r="W40" s="715">
        <f t="shared" si="12"/>
        <v>100</v>
      </c>
      <c r="X40" s="1538"/>
      <c r="Y40" s="3278"/>
      <c r="Z40" s="1539" t="str">
        <f t="shared" si="13"/>
        <v>临街宽度及深度</v>
      </c>
      <c r="AA40" s="1536">
        <f t="shared" si="3"/>
        <v>1</v>
      </c>
      <c r="AB40" s="1536">
        <f t="shared" si="4"/>
        <v>1</v>
      </c>
      <c r="AC40" s="1536">
        <f t="shared" si="5"/>
        <v>1</v>
      </c>
    </row>
    <row r="41" spans="1:29" s="113" customFormat="1" ht="15">
      <c r="A41" s="432"/>
      <c r="B41" s="381" t="s">
        <v>2568</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v>1</v>
      </c>
      <c r="L41" s="2944"/>
      <c r="M41" s="2945"/>
      <c r="N41" s="2945"/>
      <c r="O41" s="2999"/>
      <c r="P41" s="3278"/>
      <c r="Q41" s="1535" t="str">
        <f t="shared" si="14"/>
        <v>宗地开发程度</v>
      </c>
      <c r="R41" s="710" t="s">
        <v>17</v>
      </c>
      <c r="S41" s="711">
        <f t="shared" si="10"/>
        <v>100</v>
      </c>
      <c r="T41" s="710" t="s">
        <v>17</v>
      </c>
      <c r="U41" s="711">
        <f t="shared" si="11"/>
        <v>100</v>
      </c>
      <c r="V41" s="710" t="s">
        <v>17</v>
      </c>
      <c r="W41" s="711">
        <f t="shared" si="12"/>
        <v>100</v>
      </c>
      <c r="X41" s="712"/>
      <c r="Y41" s="3278"/>
      <c r="Z41" s="55" t="str">
        <f t="shared" si="13"/>
        <v>宗地开发程度</v>
      </c>
      <c r="AA41" s="713">
        <f t="shared" si="3"/>
        <v>1</v>
      </c>
      <c r="AB41" s="713">
        <f t="shared" si="4"/>
        <v>1</v>
      </c>
      <c r="AC41" s="713">
        <f t="shared" si="5"/>
        <v>1</v>
      </c>
    </row>
    <row r="42" spans="1:29" ht="15">
      <c r="A42" s="431"/>
      <c r="B42" s="381" t="s">
        <v>2569</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v>2</v>
      </c>
      <c r="L42" s="2949"/>
      <c r="M42" s="2943"/>
      <c r="N42" s="2943"/>
      <c r="O42" s="3001"/>
      <c r="P42" s="3278" t="s">
        <v>2379</v>
      </c>
      <c r="Q42" s="1535" t="str">
        <f t="shared" si="14"/>
        <v>工程地质条件</v>
      </c>
      <c r="R42" s="714" t="s">
        <v>17</v>
      </c>
      <c r="S42" s="715">
        <f t="shared" si="10"/>
        <v>100</v>
      </c>
      <c r="T42" s="714" t="s">
        <v>17</v>
      </c>
      <c r="U42" s="715">
        <f t="shared" si="11"/>
        <v>100</v>
      </c>
      <c r="V42" s="714" t="s">
        <v>17</v>
      </c>
      <c r="W42" s="715">
        <f t="shared" si="12"/>
        <v>100</v>
      </c>
      <c r="X42" s="1538"/>
      <c r="Y42" s="3278" t="s">
        <v>2379</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78"/>
      <c r="Q43" s="1535">
        <f t="shared" si="14"/>
        <v>111</v>
      </c>
      <c r="R43" s="714" t="s">
        <v>17</v>
      </c>
      <c r="S43" s="715">
        <f t="shared" si="10"/>
        <v>100</v>
      </c>
      <c r="T43" s="714" t="s">
        <v>17</v>
      </c>
      <c r="U43" s="715">
        <f t="shared" si="11"/>
        <v>100</v>
      </c>
      <c r="V43" s="714" t="s">
        <v>17</v>
      </c>
      <c r="W43" s="715">
        <f t="shared" si="12"/>
        <v>100</v>
      </c>
      <c r="X43" s="1538"/>
      <c r="Y43" s="3278"/>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78"/>
      <c r="Q44" s="1535">
        <f t="shared" si="14"/>
        <v>111</v>
      </c>
      <c r="R44" s="714" t="s">
        <v>17</v>
      </c>
      <c r="S44" s="715">
        <f t="shared" si="10"/>
        <v>100</v>
      </c>
      <c r="T44" s="714" t="s">
        <v>17</v>
      </c>
      <c r="U44" s="715">
        <f t="shared" si="11"/>
        <v>100</v>
      </c>
      <c r="V44" s="714" t="s">
        <v>17</v>
      </c>
      <c r="W44" s="715">
        <f t="shared" si="12"/>
        <v>100</v>
      </c>
      <c r="X44" s="1538"/>
      <c r="Y44" s="3278"/>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78"/>
      <c r="Q45" s="1535">
        <f t="shared" si="14"/>
        <v>111</v>
      </c>
      <c r="R45" s="717" t="s">
        <v>17</v>
      </c>
      <c r="S45" s="718">
        <f t="shared" si="10"/>
        <v>100</v>
      </c>
      <c r="T45" s="717" t="s">
        <v>17</v>
      </c>
      <c r="U45" s="718">
        <f t="shared" si="11"/>
        <v>100</v>
      </c>
      <c r="V45" s="717" t="s">
        <v>17</v>
      </c>
      <c r="W45" s="718">
        <f t="shared" si="12"/>
        <v>100</v>
      </c>
      <c r="X45" s="719"/>
      <c r="Y45" s="3278"/>
      <c r="Z45" s="720">
        <f t="shared" si="13"/>
        <v>111</v>
      </c>
      <c r="AA45" s="1536">
        <f t="shared" si="3"/>
        <v>1</v>
      </c>
      <c r="AB45" s="1536">
        <f t="shared" si="4"/>
        <v>1</v>
      </c>
      <c r="AC45" s="1536">
        <f t="shared" si="5"/>
        <v>1</v>
      </c>
    </row>
    <row r="46" spans="1:29" ht="15">
      <c r="A46" s="438" t="s">
        <v>2534</v>
      </c>
      <c r="B46" s="2166" t="s">
        <v>2570</v>
      </c>
      <c r="C46" s="638" t="s">
        <v>1</v>
      </c>
      <c r="D46" s="440"/>
      <c r="E46" s="441">
        <v>3157</v>
      </c>
      <c r="F46" s="442"/>
      <c r="G46" s="443">
        <v>3130</v>
      </c>
      <c r="H46" s="444"/>
      <c r="I46" s="441">
        <v>5536</v>
      </c>
      <c r="J46" s="444"/>
      <c r="K46" s="723"/>
      <c r="L46" s="2951"/>
      <c r="M46" s="2952"/>
      <c r="N46" s="2943"/>
      <c r="O46" s="2952"/>
      <c r="P46" s="3273" t="str">
        <f>A46</f>
        <v>成交单价</v>
      </c>
      <c r="Q46" s="3273"/>
      <c r="R46" s="3279">
        <f>E46</f>
        <v>3157</v>
      </c>
      <c r="S46" s="3279"/>
      <c r="T46" s="3279">
        <f>G46</f>
        <v>3130</v>
      </c>
      <c r="U46" s="3279"/>
      <c r="V46" s="3279">
        <f>I46</f>
        <v>5536</v>
      </c>
      <c r="W46" s="3279"/>
      <c r="X46" s="699"/>
      <c r="Y46" s="721"/>
      <c r="Z46" s="699"/>
      <c r="AA46" s="699"/>
      <c r="AB46" s="699"/>
      <c r="AC46" s="699"/>
    </row>
    <row r="47" spans="1:29" ht="15.75" thickBot="1">
      <c r="A47" s="445" t="s">
        <v>2483</v>
      </c>
      <c r="B47" s="639"/>
      <c r="C47" s="448">
        <f>R48</f>
        <v>4051</v>
      </c>
      <c r="D47" s="2536" t="s">
        <v>2874</v>
      </c>
      <c r="E47" s="448">
        <f>R47</f>
        <v>3201</v>
      </c>
      <c r="F47" s="2537"/>
      <c r="G47" s="447">
        <f>T47</f>
        <v>2985</v>
      </c>
      <c r="H47" s="2537"/>
      <c r="I47" s="448">
        <f>V47</f>
        <v>5966</v>
      </c>
      <c r="J47" s="2537"/>
      <c r="K47" s="2539">
        <f>F47+H47+J47</f>
        <v>0</v>
      </c>
      <c r="L47" s="2951"/>
      <c r="M47" s="2952"/>
      <c r="N47" s="2952"/>
      <c r="O47" s="2952"/>
      <c r="P47" s="3273" t="str">
        <f>A47</f>
        <v>比较价值（元/平方米）</v>
      </c>
      <c r="Q47" s="3273"/>
      <c r="R47" s="3266">
        <f>ROUND(PRODUCT(R46,AA7:AA45),0)</f>
        <v>3201</v>
      </c>
      <c r="S47" s="3266"/>
      <c r="T47" s="3266">
        <f>ROUND(PRODUCT(T46,AB7:AB45),0)</f>
        <v>2985</v>
      </c>
      <c r="U47" s="3266"/>
      <c r="V47" s="3266">
        <f>ROUND(PRODUCT(V46,AC7:AC45),0)</f>
        <v>5966</v>
      </c>
      <c r="W47" s="3266"/>
      <c r="X47" s="699"/>
      <c r="Y47" s="699"/>
      <c r="Z47" s="699"/>
      <c r="AA47" s="699"/>
      <c r="AB47" s="699"/>
      <c r="AC47" s="699"/>
    </row>
    <row r="48" spans="1:29" ht="15.75" thickBot="1">
      <c r="A48" s="449" t="s">
        <v>2571</v>
      </c>
      <c r="B48" s="450"/>
      <c r="C48" s="451">
        <f>R48</f>
        <v>4051</v>
      </c>
      <c r="D48" s="451"/>
      <c r="E48" s="451"/>
      <c r="F48" s="451"/>
      <c r="G48" s="451"/>
      <c r="H48" s="451"/>
      <c r="I48" s="451"/>
      <c r="J48" s="451"/>
      <c r="K48" s="724"/>
      <c r="L48" s="2951"/>
      <c r="M48" s="2952"/>
      <c r="N48" s="2952"/>
      <c r="O48" s="2952"/>
      <c r="P48" s="3267" t="str">
        <f>A48</f>
        <v>估价对象XX用房的比较价值（楼面单价，元/平方米）</v>
      </c>
      <c r="Q48" s="3268"/>
      <c r="R48" s="3269">
        <f>ROUND(IF(D47="简单平均",AVERAGE(R47:W47),R47*F47+T47*H47+V47*J47),0)</f>
        <v>4051</v>
      </c>
      <c r="S48" s="3269"/>
      <c r="T48" s="3269"/>
      <c r="U48" s="3269"/>
      <c r="V48" s="3269"/>
      <c r="W48" s="326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2485</v>
      </c>
      <c r="D51" s="455"/>
      <c r="E51" s="456">
        <f>IF(E46&lt;E47,E47/E46-1,E46/E47-1)</f>
        <v>1.3937282229965264E-2</v>
      </c>
      <c r="F51" s="457" t="str">
        <f>IF(OR(E51&gt;=0.3,E51&lt;=-0.3),"超过30%","")</f>
        <v/>
      </c>
      <c r="G51" s="456">
        <f>IF(G46&lt;G47,G47/G46-1,G46/G47-1)</f>
        <v>4.8576214405360085E-2</v>
      </c>
      <c r="H51" s="457" t="str">
        <f>IF(OR(G51&gt;=0.3,G51&lt;=-0.3),"超过30%","")</f>
        <v/>
      </c>
      <c r="I51" s="456">
        <f>IF(I46&lt;I47,I47/I46-1,I46/I47-1)</f>
        <v>7.7673410404624388E-2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2486</v>
      </c>
      <c r="D52" s="458"/>
      <c r="E52" s="456">
        <f>IF(E47&lt;G47,G47/E47-1,E47/G47-1)</f>
        <v>7.2361809045226044E-2</v>
      </c>
      <c r="F52" s="457" t="str">
        <f>IF(OR(E52&gt;=0.2,E52&lt;=-0.2),"超过20%","")</f>
        <v/>
      </c>
      <c r="G52" s="456">
        <f>IF(G47&lt;I47,I47/G47-1,G47/I47-1)</f>
        <v>0.99865996649916244</v>
      </c>
      <c r="H52" s="457" t="str">
        <f>IF(OR(G52&gt;=0.2,G52&lt;=-0.2),"超过20%","")</f>
        <v>超过20%</v>
      </c>
      <c r="I52" s="456">
        <f>IF(I47&lt;E47,E47/I47-1,I47/E47-1)</f>
        <v>0.86379256482349276</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2487</v>
      </c>
      <c r="D53" s="458"/>
      <c r="E53" s="456">
        <f>IF(E46&lt;G46,G46/E46-1,E46/G46-1)</f>
        <v>8.6261980830670826E-3</v>
      </c>
      <c r="F53" s="457" t="str">
        <f>IF(OR(E53&gt;=0.3,E53&lt;=-0.3),"超过30%","")</f>
        <v/>
      </c>
      <c r="G53" s="456">
        <f>IF(G46&lt;I46,I46/G46-1,G46/I46-1)</f>
        <v>0.76869009584664538</v>
      </c>
      <c r="H53" s="457" t="str">
        <f>IF(OR(G53&gt;=0.3,G53&lt;=-0.3),"超过30%","")</f>
        <v>超过30%</v>
      </c>
      <c r="I53" s="456">
        <f>IF(I46&lt;E46,E46/I46-1,I46/E46-1)</f>
        <v>0.75356350966107066</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2572</v>
      </c>
      <c r="B55" s="641" t="s">
        <v>2573</v>
      </c>
      <c r="C55" s="2167" t="s">
        <v>2574</v>
      </c>
      <c r="D55" s="2168" t="s">
        <v>2575</v>
      </c>
      <c r="E55" s="642" t="s">
        <v>2576</v>
      </c>
      <c r="F55" s="1021" t="s">
        <v>2577</v>
      </c>
      <c r="G55" s="3270" t="s">
        <v>2578</v>
      </c>
      <c r="H55" s="3271"/>
      <c r="I55" s="140" t="s">
        <v>2579</v>
      </c>
      <c r="J55" s="2169">
        <f>项目基本情况!F35</f>
        <v>0</v>
      </c>
      <c r="K55" s="2170" t="s">
        <v>2580</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2581</v>
      </c>
      <c r="B56" s="645">
        <f>C48</f>
        <v>4051</v>
      </c>
      <c r="C56" s="646">
        <v>1</v>
      </c>
      <c r="D56" s="1075">
        <v>1</v>
      </c>
      <c r="E56" s="646">
        <f>'数据-汇总表'!E8+'数据-汇总表'!E9</f>
        <v>32920.199999999997</v>
      </c>
      <c r="F56" s="1017">
        <f t="shared" ref="F56:F65" si="15">ROUND(B56*E56/10000,0)</f>
        <v>13336</v>
      </c>
      <c r="G56" s="3272"/>
      <c r="H56" s="3273"/>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2582</v>
      </c>
      <c r="B57" s="224">
        <f>ROUND($C$48*C57*D57,0)</f>
        <v>0</v>
      </c>
      <c r="C57" s="176">
        <f t="shared" ref="C57:C65" si="16">IF($C$55="北京市系数",I57,J57)</f>
        <v>0</v>
      </c>
      <c r="D57" s="1076">
        <v>0.25</v>
      </c>
      <c r="E57" s="650"/>
      <c r="F57" s="1017">
        <f t="shared" si="15"/>
        <v>0</v>
      </c>
      <c r="G57" s="3274" t="s">
        <v>2583</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2584</v>
      </c>
      <c r="B58" s="224">
        <f t="shared" ref="B58:B65" si="17">ROUND($C$48*C58*D58,0)</f>
        <v>0</v>
      </c>
      <c r="C58" s="176">
        <f t="shared" si="16"/>
        <v>0</v>
      </c>
      <c r="D58" s="1076">
        <v>0.25</v>
      </c>
      <c r="E58" s="650"/>
      <c r="F58" s="1017">
        <f t="shared" si="15"/>
        <v>0</v>
      </c>
      <c r="G58" s="327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2585</v>
      </c>
      <c r="B59" s="224">
        <f t="shared" si="17"/>
        <v>0</v>
      </c>
      <c r="C59" s="176">
        <f t="shared" si="16"/>
        <v>0</v>
      </c>
      <c r="D59" s="1076">
        <v>0.25</v>
      </c>
      <c r="E59" s="650"/>
      <c r="F59" s="1017">
        <f t="shared" si="15"/>
        <v>0</v>
      </c>
      <c r="G59" s="327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2586</v>
      </c>
      <c r="B60" s="224">
        <f t="shared" si="17"/>
        <v>0</v>
      </c>
      <c r="C60" s="176">
        <f t="shared" si="16"/>
        <v>0</v>
      </c>
      <c r="D60" s="1076">
        <v>0.25</v>
      </c>
      <c r="E60" s="650"/>
      <c r="F60" s="1017">
        <f t="shared" si="15"/>
        <v>0</v>
      </c>
      <c r="G60" s="327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2587</v>
      </c>
      <c r="B61" s="224">
        <f t="shared" si="17"/>
        <v>0</v>
      </c>
      <c r="C61" s="176">
        <f t="shared" si="16"/>
        <v>0</v>
      </c>
      <c r="D61" s="1076">
        <v>0.25</v>
      </c>
      <c r="E61" s="223">
        <f>'数据-汇总表'!E11</f>
        <v>0</v>
      </c>
      <c r="F61" s="1017">
        <f t="shared" si="15"/>
        <v>0</v>
      </c>
      <c r="G61" s="2171" t="s">
        <v>2588</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2589</v>
      </c>
      <c r="B62" s="224">
        <f t="shared" si="17"/>
        <v>0</v>
      </c>
      <c r="C62" s="176">
        <f t="shared" si="16"/>
        <v>0</v>
      </c>
      <c r="D62" s="1076">
        <v>0.25</v>
      </c>
      <c r="E62" s="223">
        <f>'数据-汇总表'!E12</f>
        <v>0</v>
      </c>
      <c r="F62" s="1017">
        <f t="shared" si="15"/>
        <v>0</v>
      </c>
      <c r="G62" s="1023" t="s">
        <v>2590</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2591</v>
      </c>
      <c r="B63" s="224">
        <f t="shared" si="17"/>
        <v>0</v>
      </c>
      <c r="C63" s="176">
        <f t="shared" si="16"/>
        <v>0</v>
      </c>
      <c r="D63" s="1076">
        <v>0.25</v>
      </c>
      <c r="E63" s="223">
        <f>'数据-汇总表'!E13</f>
        <v>0</v>
      </c>
      <c r="F63" s="1017">
        <f t="shared" si="15"/>
        <v>0</v>
      </c>
      <c r="G63" s="1023" t="s">
        <v>2592</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2593</v>
      </c>
      <c r="B64" s="224">
        <f t="shared" si="17"/>
        <v>0</v>
      </c>
      <c r="C64" s="176">
        <f t="shared" si="16"/>
        <v>0</v>
      </c>
      <c r="D64" s="1076">
        <v>0.25</v>
      </c>
      <c r="E64" s="223">
        <f>'数据-汇总表'!E14</f>
        <v>0</v>
      </c>
      <c r="F64" s="1017">
        <f t="shared" si="15"/>
        <v>0</v>
      </c>
      <c r="G64" s="2171" t="s">
        <v>2583</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2594</v>
      </c>
      <c r="B65" s="224">
        <f t="shared" si="17"/>
        <v>0</v>
      </c>
      <c r="C65" s="176">
        <f t="shared" si="16"/>
        <v>0</v>
      </c>
      <c r="D65" s="1076">
        <v>0.25</v>
      </c>
      <c r="E65" s="223">
        <f>'数据-汇总表'!E15</f>
        <v>0</v>
      </c>
      <c r="F65" s="1017">
        <f t="shared" si="15"/>
        <v>0</v>
      </c>
      <c r="G65" s="2172" t="s">
        <v>2588</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2595</v>
      </c>
      <c r="B66" s="652" t="s">
        <v>28</v>
      </c>
      <c r="C66" s="652" t="s">
        <v>29</v>
      </c>
      <c r="D66" s="652" t="s">
        <v>997</v>
      </c>
      <c r="E66" s="652">
        <f>IF(B46="楼面地价",SUM(E56:E65),'数据-汇总表'!D3)</f>
        <v>32920.199999999997</v>
      </c>
      <c r="F66" s="653">
        <f>IF(B46="楼面地价",SUM(F56:F65),ROUND(C48*E66/10000,0))</f>
        <v>13336</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2488</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2596</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2597</v>
      </c>
      <c r="B71" s="294" t="str">
        <f>"北京市平均增长率"&amp;TEXT(SUMIF(基准地价修正!N21:N25,A71,基准地价修正!P21:P25),"0.00%")</f>
        <v>北京市平均增长率1.90%</v>
      </c>
      <c r="C71" s="560">
        <v>100</v>
      </c>
      <c r="D71" s="552">
        <f>C71-$C$72</f>
        <v>100</v>
      </c>
      <c r="E71" s="552">
        <f t="shared" ref="E71:O71" si="20">D71-$C$72</f>
        <v>100</v>
      </c>
      <c r="F71" s="552">
        <f t="shared" si="20"/>
        <v>100</v>
      </c>
      <c r="G71" s="552">
        <f t="shared" si="20"/>
        <v>100</v>
      </c>
      <c r="H71" s="552">
        <f t="shared" si="20"/>
        <v>100</v>
      </c>
      <c r="I71" s="552">
        <f t="shared" si="20"/>
        <v>100</v>
      </c>
      <c r="J71" s="552">
        <f t="shared" si="20"/>
        <v>100</v>
      </c>
      <c r="K71" s="552">
        <f t="shared" si="20"/>
        <v>100</v>
      </c>
      <c r="L71" s="552">
        <f t="shared" si="20"/>
        <v>100</v>
      </c>
      <c r="M71" s="552">
        <f t="shared" si="20"/>
        <v>100</v>
      </c>
      <c r="N71" s="552">
        <f t="shared" si="20"/>
        <v>100</v>
      </c>
      <c r="O71" s="552">
        <f t="shared" si="20"/>
        <v>100</v>
      </c>
      <c r="P71" s="2966"/>
      <c r="Q71" s="2886"/>
      <c r="R71" s="2886"/>
      <c r="S71" s="2886"/>
      <c r="T71" s="2886"/>
      <c r="U71" s="2886"/>
      <c r="V71" s="2886"/>
      <c r="W71" s="2886"/>
      <c r="X71" s="2886"/>
      <c r="Y71" s="2886"/>
      <c r="Z71" s="2886"/>
      <c r="AA71" s="2886"/>
      <c r="AB71" s="2886"/>
      <c r="AC71" s="2886"/>
    </row>
    <row r="72" spans="1:29" s="113" customFormat="1" ht="15.75" thickBot="1">
      <c r="A72" s="472" t="s">
        <v>2399</v>
      </c>
      <c r="B72" s="473"/>
      <c r="C72" s="474">
        <v>0</v>
      </c>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2364</v>
      </c>
      <c r="B73" s="467"/>
      <c r="C73" s="479" t="s">
        <v>2466</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2402</v>
      </c>
      <c r="B75" s="485" t="s">
        <v>2368</v>
      </c>
      <c r="C75" s="3064" t="s">
        <v>3190</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2371</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2372</v>
      </c>
      <c r="C79" s="504" t="str">
        <f>C80&amp;"（含）"&amp;"-"&amp;D80</f>
        <v>0（含）-1</v>
      </c>
      <c r="D79" s="504" t="str">
        <f t="shared" ref="D79:L79" si="21">D80&amp;"（含）"&amp;"-"&amp;E80</f>
        <v>1（含）-2</v>
      </c>
      <c r="E79" s="504" t="str">
        <f t="shared" si="21"/>
        <v>2（含）-3</v>
      </c>
      <c r="F79" s="504" t="str">
        <f t="shared" si="21"/>
        <v>3（含）-4</v>
      </c>
      <c r="G79" s="504" t="str">
        <f t="shared" si="21"/>
        <v>4（含）-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2</v>
      </c>
      <c r="F80" s="506">
        <v>3</v>
      </c>
      <c r="G80" s="506">
        <v>4</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2373</v>
      </c>
      <c r="B88" s="485" t="s">
        <v>2410</v>
      </c>
      <c r="C88" s="530" t="s">
        <v>2411</v>
      </c>
      <c r="D88" s="530" t="s">
        <v>2412</v>
      </c>
      <c r="E88" s="530" t="s">
        <v>2413</v>
      </c>
      <c r="F88" s="530" t="s">
        <v>2414</v>
      </c>
      <c r="G88" s="530" t="s">
        <v>2415</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2598</v>
      </c>
      <c r="C90" s="535" t="s">
        <v>2411</v>
      </c>
      <c r="D90" s="535" t="s">
        <v>2412</v>
      </c>
      <c r="E90" s="535" t="s">
        <v>2413</v>
      </c>
      <c r="F90" s="535" t="s">
        <v>2414</v>
      </c>
      <c r="G90" s="535" t="s">
        <v>2415</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2511</v>
      </c>
      <c r="C92" s="535" t="s">
        <v>2411</v>
      </c>
      <c r="D92" s="535" t="s">
        <v>2412</v>
      </c>
      <c r="E92" s="535" t="s">
        <v>2413</v>
      </c>
      <c r="F92" s="535" t="s">
        <v>2414</v>
      </c>
      <c r="G92" s="535" t="s">
        <v>2415</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2416</v>
      </c>
      <c r="C94" s="535" t="s">
        <v>2411</v>
      </c>
      <c r="D94" s="535" t="s">
        <v>2412</v>
      </c>
      <c r="E94" s="535" t="s">
        <v>2413</v>
      </c>
      <c r="F94" s="535" t="s">
        <v>2414</v>
      </c>
      <c r="G94" s="535" t="s">
        <v>2415</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2599</v>
      </c>
      <c r="C96" s="535" t="s">
        <v>2411</v>
      </c>
      <c r="D96" s="535" t="s">
        <v>2412</v>
      </c>
      <c r="E96" s="535" t="s">
        <v>2413</v>
      </c>
      <c r="F96" s="535" t="s">
        <v>2414</v>
      </c>
      <c r="G96" s="535" t="s">
        <v>2415</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2600</v>
      </c>
      <c r="C98" s="530" t="s">
        <v>2411</v>
      </c>
      <c r="D98" s="530" t="s">
        <v>2412</v>
      </c>
      <c r="E98" s="530" t="s">
        <v>2413</v>
      </c>
      <c r="F98" s="530" t="s">
        <v>2414</v>
      </c>
      <c r="G98" s="530" t="s">
        <v>2415</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2468</v>
      </c>
      <c r="C100" s="530" t="s">
        <v>2411</v>
      </c>
      <c r="D100" s="530" t="s">
        <v>2412</v>
      </c>
      <c r="E100" s="530" t="s">
        <v>2413</v>
      </c>
      <c r="F100" s="530" t="s">
        <v>2414</v>
      </c>
      <c r="G100" s="530" t="s">
        <v>2415</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2469</v>
      </c>
      <c r="C102" s="616" t="s">
        <v>2489</v>
      </c>
      <c r="D102" s="616" t="s">
        <v>2490</v>
      </c>
      <c r="E102" s="616" t="s">
        <v>2491</v>
      </c>
      <c r="F102" s="616" t="s">
        <v>2492</v>
      </c>
      <c r="G102" s="616" t="s">
        <v>2493</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2601</v>
      </c>
      <c r="D104" s="496" t="s">
        <v>2602</v>
      </c>
      <c r="E104" s="496" t="s">
        <v>2603</v>
      </c>
      <c r="F104" s="496" t="s">
        <v>2604</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2505</v>
      </c>
      <c r="C106" s="3066" t="s">
        <v>3204</v>
      </c>
      <c r="D106" s="3066" t="s">
        <v>3214</v>
      </c>
      <c r="E106" s="3066" t="s">
        <v>3206</v>
      </c>
      <c r="F106" s="3066" t="s">
        <v>3208</v>
      </c>
      <c r="G106" s="3066" t="s">
        <v>3209</v>
      </c>
      <c r="H106" s="3066" t="s">
        <v>3210</v>
      </c>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2564</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2377</v>
      </c>
      <c r="B116" s="485" t="s">
        <v>2605</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50000</v>
      </c>
      <c r="E117" s="552">
        <v>100000</v>
      </c>
      <c r="F117" s="552">
        <v>150000</v>
      </c>
      <c r="G117" s="552">
        <v>200000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2606</v>
      </c>
      <c r="C119" s="3065" t="s">
        <v>3191</v>
      </c>
      <c r="D119" s="3065" t="s">
        <v>3193</v>
      </c>
      <c r="E119" s="3065" t="s">
        <v>3194</v>
      </c>
      <c r="F119" s="3065" t="s">
        <v>3196</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2607</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2608</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2609</v>
      </c>
      <c r="C125" s="3066" t="s">
        <v>3197</v>
      </c>
      <c r="D125" s="3066" t="s">
        <v>3199</v>
      </c>
      <c r="E125" s="3065" t="s">
        <v>3201</v>
      </c>
      <c r="F125" s="3065" t="s">
        <v>3202</v>
      </c>
      <c r="G125" s="3065" t="s">
        <v>3203</v>
      </c>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4"/>
  <sheetViews>
    <sheetView workbookViewId="0">
      <selection activeCell="L27" sqref="L27"/>
    </sheetView>
  </sheetViews>
  <sheetFormatPr defaultRowHeight="12.75"/>
  <cols>
    <col min="1" max="1" width="29.125" style="3062" customWidth="1"/>
    <col min="2" max="2" width="6.25" style="3062" customWidth="1"/>
    <col min="3" max="3" width="11.75" style="3062" customWidth="1"/>
    <col min="4" max="4" width="10.875" style="3062" customWidth="1"/>
    <col min="5" max="5" width="10.625" style="3062" customWidth="1"/>
    <col min="6" max="6" width="10" style="3062" customWidth="1"/>
    <col min="7" max="7" width="7.875" style="3062" customWidth="1"/>
    <col min="8" max="8" width="19.5" style="3062" customWidth="1"/>
    <col min="9" max="9" width="5.375" style="3062" customWidth="1"/>
    <col min="10" max="11" width="9" style="3062" customWidth="1"/>
    <col min="12" max="12" width="8.375" style="3062" customWidth="1"/>
    <col min="13" max="13" width="7.5" style="3062" customWidth="1"/>
    <col min="14" max="14" width="14.375" style="3062" customWidth="1"/>
    <col min="15" max="15" width="6.25" style="3062" customWidth="1"/>
    <col min="16" max="16" width="27.75" style="3062" customWidth="1"/>
    <col min="17" max="17" width="7.875" style="3062" customWidth="1"/>
    <col min="18" max="256" width="9" style="3062"/>
    <col min="257" max="257" width="29.125" style="3062" customWidth="1"/>
    <col min="258" max="258" width="6.25" style="3062" customWidth="1"/>
    <col min="259" max="259" width="11.75" style="3062" customWidth="1"/>
    <col min="260" max="260" width="10.875" style="3062" customWidth="1"/>
    <col min="261" max="261" width="10.625" style="3062" customWidth="1"/>
    <col min="262" max="262" width="10" style="3062" customWidth="1"/>
    <col min="263" max="263" width="7.875" style="3062" customWidth="1"/>
    <col min="264" max="264" width="19.5" style="3062" customWidth="1"/>
    <col min="265" max="265" width="5.375" style="3062" customWidth="1"/>
    <col min="266" max="267" width="9" style="3062" customWidth="1"/>
    <col min="268" max="268" width="8.375" style="3062" customWidth="1"/>
    <col min="269" max="269" width="7.5" style="3062" customWidth="1"/>
    <col min="270" max="270" width="14.375" style="3062" customWidth="1"/>
    <col min="271" max="271" width="6.25" style="3062" customWidth="1"/>
    <col min="272" max="272" width="27.75" style="3062" customWidth="1"/>
    <col min="273" max="273" width="7.875" style="3062" customWidth="1"/>
    <col min="274" max="512" width="9" style="3062"/>
    <col min="513" max="513" width="29.125" style="3062" customWidth="1"/>
    <col min="514" max="514" width="6.25" style="3062" customWidth="1"/>
    <col min="515" max="515" width="11.75" style="3062" customWidth="1"/>
    <col min="516" max="516" width="10.875" style="3062" customWidth="1"/>
    <col min="517" max="517" width="10.625" style="3062" customWidth="1"/>
    <col min="518" max="518" width="10" style="3062" customWidth="1"/>
    <col min="519" max="519" width="7.875" style="3062" customWidth="1"/>
    <col min="520" max="520" width="19.5" style="3062" customWidth="1"/>
    <col min="521" max="521" width="5.375" style="3062" customWidth="1"/>
    <col min="522" max="523" width="9" style="3062" customWidth="1"/>
    <col min="524" max="524" width="8.375" style="3062" customWidth="1"/>
    <col min="525" max="525" width="7.5" style="3062" customWidth="1"/>
    <col min="526" max="526" width="14.375" style="3062" customWidth="1"/>
    <col min="527" max="527" width="6.25" style="3062" customWidth="1"/>
    <col min="528" max="528" width="27.75" style="3062" customWidth="1"/>
    <col min="529" max="529" width="7.875" style="3062" customWidth="1"/>
    <col min="530" max="768" width="9" style="3062"/>
    <col min="769" max="769" width="29.125" style="3062" customWidth="1"/>
    <col min="770" max="770" width="6.25" style="3062" customWidth="1"/>
    <col min="771" max="771" width="11.75" style="3062" customWidth="1"/>
    <col min="772" max="772" width="10.875" style="3062" customWidth="1"/>
    <col min="773" max="773" width="10.625" style="3062" customWidth="1"/>
    <col min="774" max="774" width="10" style="3062" customWidth="1"/>
    <col min="775" max="775" width="7.875" style="3062" customWidth="1"/>
    <col min="776" max="776" width="19.5" style="3062" customWidth="1"/>
    <col min="777" max="777" width="5.375" style="3062" customWidth="1"/>
    <col min="778" max="779" width="9" style="3062" customWidth="1"/>
    <col min="780" max="780" width="8.375" style="3062" customWidth="1"/>
    <col min="781" max="781" width="7.5" style="3062" customWidth="1"/>
    <col min="782" max="782" width="14.375" style="3062" customWidth="1"/>
    <col min="783" max="783" width="6.25" style="3062" customWidth="1"/>
    <col min="784" max="784" width="27.75" style="3062" customWidth="1"/>
    <col min="785" max="785" width="7.875" style="3062" customWidth="1"/>
    <col min="786" max="1024" width="9" style="3062"/>
    <col min="1025" max="1025" width="29.125" style="3062" customWidth="1"/>
    <col min="1026" max="1026" width="6.25" style="3062" customWidth="1"/>
    <col min="1027" max="1027" width="11.75" style="3062" customWidth="1"/>
    <col min="1028" max="1028" width="10.875" style="3062" customWidth="1"/>
    <col min="1029" max="1029" width="10.625" style="3062" customWidth="1"/>
    <col min="1030" max="1030" width="10" style="3062" customWidth="1"/>
    <col min="1031" max="1031" width="7.875" style="3062" customWidth="1"/>
    <col min="1032" max="1032" width="19.5" style="3062" customWidth="1"/>
    <col min="1033" max="1033" width="5.375" style="3062" customWidth="1"/>
    <col min="1034" max="1035" width="9" style="3062" customWidth="1"/>
    <col min="1036" max="1036" width="8.375" style="3062" customWidth="1"/>
    <col min="1037" max="1037" width="7.5" style="3062" customWidth="1"/>
    <col min="1038" max="1038" width="14.375" style="3062" customWidth="1"/>
    <col min="1039" max="1039" width="6.25" style="3062" customWidth="1"/>
    <col min="1040" max="1040" width="27.75" style="3062" customWidth="1"/>
    <col min="1041" max="1041" width="7.875" style="3062" customWidth="1"/>
    <col min="1042" max="1280" width="9" style="3062"/>
    <col min="1281" max="1281" width="29.125" style="3062" customWidth="1"/>
    <col min="1282" max="1282" width="6.25" style="3062" customWidth="1"/>
    <col min="1283" max="1283" width="11.75" style="3062" customWidth="1"/>
    <col min="1284" max="1284" width="10.875" style="3062" customWidth="1"/>
    <col min="1285" max="1285" width="10.625" style="3062" customWidth="1"/>
    <col min="1286" max="1286" width="10" style="3062" customWidth="1"/>
    <col min="1287" max="1287" width="7.875" style="3062" customWidth="1"/>
    <col min="1288" max="1288" width="19.5" style="3062" customWidth="1"/>
    <col min="1289" max="1289" width="5.375" style="3062" customWidth="1"/>
    <col min="1290" max="1291" width="9" style="3062" customWidth="1"/>
    <col min="1292" max="1292" width="8.375" style="3062" customWidth="1"/>
    <col min="1293" max="1293" width="7.5" style="3062" customWidth="1"/>
    <col min="1294" max="1294" width="14.375" style="3062" customWidth="1"/>
    <col min="1295" max="1295" width="6.25" style="3062" customWidth="1"/>
    <col min="1296" max="1296" width="27.75" style="3062" customWidth="1"/>
    <col min="1297" max="1297" width="7.875" style="3062" customWidth="1"/>
    <col min="1298" max="1536" width="9" style="3062"/>
    <col min="1537" max="1537" width="29.125" style="3062" customWidth="1"/>
    <col min="1538" max="1538" width="6.25" style="3062" customWidth="1"/>
    <col min="1539" max="1539" width="11.75" style="3062" customWidth="1"/>
    <col min="1540" max="1540" width="10.875" style="3062" customWidth="1"/>
    <col min="1541" max="1541" width="10.625" style="3062" customWidth="1"/>
    <col min="1542" max="1542" width="10" style="3062" customWidth="1"/>
    <col min="1543" max="1543" width="7.875" style="3062" customWidth="1"/>
    <col min="1544" max="1544" width="19.5" style="3062" customWidth="1"/>
    <col min="1545" max="1545" width="5.375" style="3062" customWidth="1"/>
    <col min="1546" max="1547" width="9" style="3062" customWidth="1"/>
    <col min="1548" max="1548" width="8.375" style="3062" customWidth="1"/>
    <col min="1549" max="1549" width="7.5" style="3062" customWidth="1"/>
    <col min="1550" max="1550" width="14.375" style="3062" customWidth="1"/>
    <col min="1551" max="1551" width="6.25" style="3062" customWidth="1"/>
    <col min="1552" max="1552" width="27.75" style="3062" customWidth="1"/>
    <col min="1553" max="1553" width="7.875" style="3062" customWidth="1"/>
    <col min="1554" max="1792" width="9" style="3062"/>
    <col min="1793" max="1793" width="29.125" style="3062" customWidth="1"/>
    <col min="1794" max="1794" width="6.25" style="3062" customWidth="1"/>
    <col min="1795" max="1795" width="11.75" style="3062" customWidth="1"/>
    <col min="1796" max="1796" width="10.875" style="3062" customWidth="1"/>
    <col min="1797" max="1797" width="10.625" style="3062" customWidth="1"/>
    <col min="1798" max="1798" width="10" style="3062" customWidth="1"/>
    <col min="1799" max="1799" width="7.875" style="3062" customWidth="1"/>
    <col min="1800" max="1800" width="19.5" style="3062" customWidth="1"/>
    <col min="1801" max="1801" width="5.375" style="3062" customWidth="1"/>
    <col min="1802" max="1803" width="9" style="3062" customWidth="1"/>
    <col min="1804" max="1804" width="8.375" style="3062" customWidth="1"/>
    <col min="1805" max="1805" width="7.5" style="3062" customWidth="1"/>
    <col min="1806" max="1806" width="14.375" style="3062" customWidth="1"/>
    <col min="1807" max="1807" width="6.25" style="3062" customWidth="1"/>
    <col min="1808" max="1808" width="27.75" style="3062" customWidth="1"/>
    <col min="1809" max="1809" width="7.875" style="3062" customWidth="1"/>
    <col min="1810" max="2048" width="9" style="3062"/>
    <col min="2049" max="2049" width="29.125" style="3062" customWidth="1"/>
    <col min="2050" max="2050" width="6.25" style="3062" customWidth="1"/>
    <col min="2051" max="2051" width="11.75" style="3062" customWidth="1"/>
    <col min="2052" max="2052" width="10.875" style="3062" customWidth="1"/>
    <col min="2053" max="2053" width="10.625" style="3062" customWidth="1"/>
    <col min="2054" max="2054" width="10" style="3062" customWidth="1"/>
    <col min="2055" max="2055" width="7.875" style="3062" customWidth="1"/>
    <col min="2056" max="2056" width="19.5" style="3062" customWidth="1"/>
    <col min="2057" max="2057" width="5.375" style="3062" customWidth="1"/>
    <col min="2058" max="2059" width="9" style="3062" customWidth="1"/>
    <col min="2060" max="2060" width="8.375" style="3062" customWidth="1"/>
    <col min="2061" max="2061" width="7.5" style="3062" customWidth="1"/>
    <col min="2062" max="2062" width="14.375" style="3062" customWidth="1"/>
    <col min="2063" max="2063" width="6.25" style="3062" customWidth="1"/>
    <col min="2064" max="2064" width="27.75" style="3062" customWidth="1"/>
    <col min="2065" max="2065" width="7.875" style="3062" customWidth="1"/>
    <col min="2066" max="2304" width="9" style="3062"/>
    <col min="2305" max="2305" width="29.125" style="3062" customWidth="1"/>
    <col min="2306" max="2306" width="6.25" style="3062" customWidth="1"/>
    <col min="2307" max="2307" width="11.75" style="3062" customWidth="1"/>
    <col min="2308" max="2308" width="10.875" style="3062" customWidth="1"/>
    <col min="2309" max="2309" width="10.625" style="3062" customWidth="1"/>
    <col min="2310" max="2310" width="10" style="3062" customWidth="1"/>
    <col min="2311" max="2311" width="7.875" style="3062" customWidth="1"/>
    <col min="2312" max="2312" width="19.5" style="3062" customWidth="1"/>
    <col min="2313" max="2313" width="5.375" style="3062" customWidth="1"/>
    <col min="2314" max="2315" width="9" style="3062" customWidth="1"/>
    <col min="2316" max="2316" width="8.375" style="3062" customWidth="1"/>
    <col min="2317" max="2317" width="7.5" style="3062" customWidth="1"/>
    <col min="2318" max="2318" width="14.375" style="3062" customWidth="1"/>
    <col min="2319" max="2319" width="6.25" style="3062" customWidth="1"/>
    <col min="2320" max="2320" width="27.75" style="3062" customWidth="1"/>
    <col min="2321" max="2321" width="7.875" style="3062" customWidth="1"/>
    <col min="2322" max="2560" width="9" style="3062"/>
    <col min="2561" max="2561" width="29.125" style="3062" customWidth="1"/>
    <col min="2562" max="2562" width="6.25" style="3062" customWidth="1"/>
    <col min="2563" max="2563" width="11.75" style="3062" customWidth="1"/>
    <col min="2564" max="2564" width="10.875" style="3062" customWidth="1"/>
    <col min="2565" max="2565" width="10.625" style="3062" customWidth="1"/>
    <col min="2566" max="2566" width="10" style="3062" customWidth="1"/>
    <col min="2567" max="2567" width="7.875" style="3062" customWidth="1"/>
    <col min="2568" max="2568" width="19.5" style="3062" customWidth="1"/>
    <col min="2569" max="2569" width="5.375" style="3062" customWidth="1"/>
    <col min="2570" max="2571" width="9" style="3062" customWidth="1"/>
    <col min="2572" max="2572" width="8.375" style="3062" customWidth="1"/>
    <col min="2573" max="2573" width="7.5" style="3062" customWidth="1"/>
    <col min="2574" max="2574" width="14.375" style="3062" customWidth="1"/>
    <col min="2575" max="2575" width="6.25" style="3062" customWidth="1"/>
    <col min="2576" max="2576" width="27.75" style="3062" customWidth="1"/>
    <col min="2577" max="2577" width="7.875" style="3062" customWidth="1"/>
    <col min="2578" max="2816" width="9" style="3062"/>
    <col min="2817" max="2817" width="29.125" style="3062" customWidth="1"/>
    <col min="2818" max="2818" width="6.25" style="3062" customWidth="1"/>
    <col min="2819" max="2819" width="11.75" style="3062" customWidth="1"/>
    <col min="2820" max="2820" width="10.875" style="3062" customWidth="1"/>
    <col min="2821" max="2821" width="10.625" style="3062" customWidth="1"/>
    <col min="2822" max="2822" width="10" style="3062" customWidth="1"/>
    <col min="2823" max="2823" width="7.875" style="3062" customWidth="1"/>
    <col min="2824" max="2824" width="19.5" style="3062" customWidth="1"/>
    <col min="2825" max="2825" width="5.375" style="3062" customWidth="1"/>
    <col min="2826" max="2827" width="9" style="3062" customWidth="1"/>
    <col min="2828" max="2828" width="8.375" style="3062" customWidth="1"/>
    <col min="2829" max="2829" width="7.5" style="3062" customWidth="1"/>
    <col min="2830" max="2830" width="14.375" style="3062" customWidth="1"/>
    <col min="2831" max="2831" width="6.25" style="3062" customWidth="1"/>
    <col min="2832" max="2832" width="27.75" style="3062" customWidth="1"/>
    <col min="2833" max="2833" width="7.875" style="3062" customWidth="1"/>
    <col min="2834" max="3072" width="9" style="3062"/>
    <col min="3073" max="3073" width="29.125" style="3062" customWidth="1"/>
    <col min="3074" max="3074" width="6.25" style="3062" customWidth="1"/>
    <col min="3075" max="3075" width="11.75" style="3062" customWidth="1"/>
    <col min="3076" max="3076" width="10.875" style="3062" customWidth="1"/>
    <col min="3077" max="3077" width="10.625" style="3062" customWidth="1"/>
    <col min="3078" max="3078" width="10" style="3062" customWidth="1"/>
    <col min="3079" max="3079" width="7.875" style="3062" customWidth="1"/>
    <col min="3080" max="3080" width="19.5" style="3062" customWidth="1"/>
    <col min="3081" max="3081" width="5.375" style="3062" customWidth="1"/>
    <col min="3082" max="3083" width="9" style="3062" customWidth="1"/>
    <col min="3084" max="3084" width="8.375" style="3062" customWidth="1"/>
    <col min="3085" max="3085" width="7.5" style="3062" customWidth="1"/>
    <col min="3086" max="3086" width="14.375" style="3062" customWidth="1"/>
    <col min="3087" max="3087" width="6.25" style="3062" customWidth="1"/>
    <col min="3088" max="3088" width="27.75" style="3062" customWidth="1"/>
    <col min="3089" max="3089" width="7.875" style="3062" customWidth="1"/>
    <col min="3090" max="3328" width="9" style="3062"/>
    <col min="3329" max="3329" width="29.125" style="3062" customWidth="1"/>
    <col min="3330" max="3330" width="6.25" style="3062" customWidth="1"/>
    <col min="3331" max="3331" width="11.75" style="3062" customWidth="1"/>
    <col min="3332" max="3332" width="10.875" style="3062" customWidth="1"/>
    <col min="3333" max="3333" width="10.625" style="3062" customWidth="1"/>
    <col min="3334" max="3334" width="10" style="3062" customWidth="1"/>
    <col min="3335" max="3335" width="7.875" style="3062" customWidth="1"/>
    <col min="3336" max="3336" width="19.5" style="3062" customWidth="1"/>
    <col min="3337" max="3337" width="5.375" style="3062" customWidth="1"/>
    <col min="3338" max="3339" width="9" style="3062" customWidth="1"/>
    <col min="3340" max="3340" width="8.375" style="3062" customWidth="1"/>
    <col min="3341" max="3341" width="7.5" style="3062" customWidth="1"/>
    <col min="3342" max="3342" width="14.375" style="3062" customWidth="1"/>
    <col min="3343" max="3343" width="6.25" style="3062" customWidth="1"/>
    <col min="3344" max="3344" width="27.75" style="3062" customWidth="1"/>
    <col min="3345" max="3345" width="7.875" style="3062" customWidth="1"/>
    <col min="3346" max="3584" width="9" style="3062"/>
    <col min="3585" max="3585" width="29.125" style="3062" customWidth="1"/>
    <col min="3586" max="3586" width="6.25" style="3062" customWidth="1"/>
    <col min="3587" max="3587" width="11.75" style="3062" customWidth="1"/>
    <col min="3588" max="3588" width="10.875" style="3062" customWidth="1"/>
    <col min="3589" max="3589" width="10.625" style="3062" customWidth="1"/>
    <col min="3590" max="3590" width="10" style="3062" customWidth="1"/>
    <col min="3591" max="3591" width="7.875" style="3062" customWidth="1"/>
    <col min="3592" max="3592" width="19.5" style="3062" customWidth="1"/>
    <col min="3593" max="3593" width="5.375" style="3062" customWidth="1"/>
    <col min="3594" max="3595" width="9" style="3062" customWidth="1"/>
    <col min="3596" max="3596" width="8.375" style="3062" customWidth="1"/>
    <col min="3597" max="3597" width="7.5" style="3062" customWidth="1"/>
    <col min="3598" max="3598" width="14.375" style="3062" customWidth="1"/>
    <col min="3599" max="3599" width="6.25" style="3062" customWidth="1"/>
    <col min="3600" max="3600" width="27.75" style="3062" customWidth="1"/>
    <col min="3601" max="3601" width="7.875" style="3062" customWidth="1"/>
    <col min="3602" max="3840" width="9" style="3062"/>
    <col min="3841" max="3841" width="29.125" style="3062" customWidth="1"/>
    <col min="3842" max="3842" width="6.25" style="3062" customWidth="1"/>
    <col min="3843" max="3843" width="11.75" style="3062" customWidth="1"/>
    <col min="3844" max="3844" width="10.875" style="3062" customWidth="1"/>
    <col min="3845" max="3845" width="10.625" style="3062" customWidth="1"/>
    <col min="3846" max="3846" width="10" style="3062" customWidth="1"/>
    <col min="3847" max="3847" width="7.875" style="3062" customWidth="1"/>
    <col min="3848" max="3848" width="19.5" style="3062" customWidth="1"/>
    <col min="3849" max="3849" width="5.375" style="3062" customWidth="1"/>
    <col min="3850" max="3851" width="9" style="3062" customWidth="1"/>
    <col min="3852" max="3852" width="8.375" style="3062" customWidth="1"/>
    <col min="3853" max="3853" width="7.5" style="3062" customWidth="1"/>
    <col min="3854" max="3854" width="14.375" style="3062" customWidth="1"/>
    <col min="3855" max="3855" width="6.25" style="3062" customWidth="1"/>
    <col min="3856" max="3856" width="27.75" style="3062" customWidth="1"/>
    <col min="3857" max="3857" width="7.875" style="3062" customWidth="1"/>
    <col min="3858" max="4096" width="9" style="3062"/>
    <col min="4097" max="4097" width="29.125" style="3062" customWidth="1"/>
    <col min="4098" max="4098" width="6.25" style="3062" customWidth="1"/>
    <col min="4099" max="4099" width="11.75" style="3062" customWidth="1"/>
    <col min="4100" max="4100" width="10.875" style="3062" customWidth="1"/>
    <col min="4101" max="4101" width="10.625" style="3062" customWidth="1"/>
    <col min="4102" max="4102" width="10" style="3062" customWidth="1"/>
    <col min="4103" max="4103" width="7.875" style="3062" customWidth="1"/>
    <col min="4104" max="4104" width="19.5" style="3062" customWidth="1"/>
    <col min="4105" max="4105" width="5.375" style="3062" customWidth="1"/>
    <col min="4106" max="4107" width="9" style="3062" customWidth="1"/>
    <col min="4108" max="4108" width="8.375" style="3062" customWidth="1"/>
    <col min="4109" max="4109" width="7.5" style="3062" customWidth="1"/>
    <col min="4110" max="4110" width="14.375" style="3062" customWidth="1"/>
    <col min="4111" max="4111" width="6.25" style="3062" customWidth="1"/>
    <col min="4112" max="4112" width="27.75" style="3062" customWidth="1"/>
    <col min="4113" max="4113" width="7.875" style="3062" customWidth="1"/>
    <col min="4114" max="4352" width="9" style="3062"/>
    <col min="4353" max="4353" width="29.125" style="3062" customWidth="1"/>
    <col min="4354" max="4354" width="6.25" style="3062" customWidth="1"/>
    <col min="4355" max="4355" width="11.75" style="3062" customWidth="1"/>
    <col min="4356" max="4356" width="10.875" style="3062" customWidth="1"/>
    <col min="4357" max="4357" width="10.625" style="3062" customWidth="1"/>
    <col min="4358" max="4358" width="10" style="3062" customWidth="1"/>
    <col min="4359" max="4359" width="7.875" style="3062" customWidth="1"/>
    <col min="4360" max="4360" width="19.5" style="3062" customWidth="1"/>
    <col min="4361" max="4361" width="5.375" style="3062" customWidth="1"/>
    <col min="4362" max="4363" width="9" style="3062" customWidth="1"/>
    <col min="4364" max="4364" width="8.375" style="3062" customWidth="1"/>
    <col min="4365" max="4365" width="7.5" style="3062" customWidth="1"/>
    <col min="4366" max="4366" width="14.375" style="3062" customWidth="1"/>
    <col min="4367" max="4367" width="6.25" style="3062" customWidth="1"/>
    <col min="4368" max="4368" width="27.75" style="3062" customWidth="1"/>
    <col min="4369" max="4369" width="7.875" style="3062" customWidth="1"/>
    <col min="4370" max="4608" width="9" style="3062"/>
    <col min="4609" max="4609" width="29.125" style="3062" customWidth="1"/>
    <col min="4610" max="4610" width="6.25" style="3062" customWidth="1"/>
    <col min="4611" max="4611" width="11.75" style="3062" customWidth="1"/>
    <col min="4612" max="4612" width="10.875" style="3062" customWidth="1"/>
    <col min="4613" max="4613" width="10.625" style="3062" customWidth="1"/>
    <col min="4614" max="4614" width="10" style="3062" customWidth="1"/>
    <col min="4615" max="4615" width="7.875" style="3062" customWidth="1"/>
    <col min="4616" max="4616" width="19.5" style="3062" customWidth="1"/>
    <col min="4617" max="4617" width="5.375" style="3062" customWidth="1"/>
    <col min="4618" max="4619" width="9" style="3062" customWidth="1"/>
    <col min="4620" max="4620" width="8.375" style="3062" customWidth="1"/>
    <col min="4621" max="4621" width="7.5" style="3062" customWidth="1"/>
    <col min="4622" max="4622" width="14.375" style="3062" customWidth="1"/>
    <col min="4623" max="4623" width="6.25" style="3062" customWidth="1"/>
    <col min="4624" max="4624" width="27.75" style="3062" customWidth="1"/>
    <col min="4625" max="4625" width="7.875" style="3062" customWidth="1"/>
    <col min="4626" max="4864" width="9" style="3062"/>
    <col min="4865" max="4865" width="29.125" style="3062" customWidth="1"/>
    <col min="4866" max="4866" width="6.25" style="3062" customWidth="1"/>
    <col min="4867" max="4867" width="11.75" style="3062" customWidth="1"/>
    <col min="4868" max="4868" width="10.875" style="3062" customWidth="1"/>
    <col min="4869" max="4869" width="10.625" style="3062" customWidth="1"/>
    <col min="4870" max="4870" width="10" style="3062" customWidth="1"/>
    <col min="4871" max="4871" width="7.875" style="3062" customWidth="1"/>
    <col min="4872" max="4872" width="19.5" style="3062" customWidth="1"/>
    <col min="4873" max="4873" width="5.375" style="3062" customWidth="1"/>
    <col min="4874" max="4875" width="9" style="3062" customWidth="1"/>
    <col min="4876" max="4876" width="8.375" style="3062" customWidth="1"/>
    <col min="4877" max="4877" width="7.5" style="3062" customWidth="1"/>
    <col min="4878" max="4878" width="14.375" style="3062" customWidth="1"/>
    <col min="4879" max="4879" width="6.25" style="3062" customWidth="1"/>
    <col min="4880" max="4880" width="27.75" style="3062" customWidth="1"/>
    <col min="4881" max="4881" width="7.875" style="3062" customWidth="1"/>
    <col min="4882" max="5120" width="9" style="3062"/>
    <col min="5121" max="5121" width="29.125" style="3062" customWidth="1"/>
    <col min="5122" max="5122" width="6.25" style="3062" customWidth="1"/>
    <col min="5123" max="5123" width="11.75" style="3062" customWidth="1"/>
    <col min="5124" max="5124" width="10.875" style="3062" customWidth="1"/>
    <col min="5125" max="5125" width="10.625" style="3062" customWidth="1"/>
    <col min="5126" max="5126" width="10" style="3062" customWidth="1"/>
    <col min="5127" max="5127" width="7.875" style="3062" customWidth="1"/>
    <col min="5128" max="5128" width="19.5" style="3062" customWidth="1"/>
    <col min="5129" max="5129" width="5.375" style="3062" customWidth="1"/>
    <col min="5130" max="5131" width="9" style="3062" customWidth="1"/>
    <col min="5132" max="5132" width="8.375" style="3062" customWidth="1"/>
    <col min="5133" max="5133" width="7.5" style="3062" customWidth="1"/>
    <col min="5134" max="5134" width="14.375" style="3062" customWidth="1"/>
    <col min="5135" max="5135" width="6.25" style="3062" customWidth="1"/>
    <col min="5136" max="5136" width="27.75" style="3062" customWidth="1"/>
    <col min="5137" max="5137" width="7.875" style="3062" customWidth="1"/>
    <col min="5138" max="5376" width="9" style="3062"/>
    <col min="5377" max="5377" width="29.125" style="3062" customWidth="1"/>
    <col min="5378" max="5378" width="6.25" style="3062" customWidth="1"/>
    <col min="5379" max="5379" width="11.75" style="3062" customWidth="1"/>
    <col min="5380" max="5380" width="10.875" style="3062" customWidth="1"/>
    <col min="5381" max="5381" width="10.625" style="3062" customWidth="1"/>
    <col min="5382" max="5382" width="10" style="3062" customWidth="1"/>
    <col min="5383" max="5383" width="7.875" style="3062" customWidth="1"/>
    <col min="5384" max="5384" width="19.5" style="3062" customWidth="1"/>
    <col min="5385" max="5385" width="5.375" style="3062" customWidth="1"/>
    <col min="5386" max="5387" width="9" style="3062" customWidth="1"/>
    <col min="5388" max="5388" width="8.375" style="3062" customWidth="1"/>
    <col min="5389" max="5389" width="7.5" style="3062" customWidth="1"/>
    <col min="5390" max="5390" width="14.375" style="3062" customWidth="1"/>
    <col min="5391" max="5391" width="6.25" style="3062" customWidth="1"/>
    <col min="5392" max="5392" width="27.75" style="3062" customWidth="1"/>
    <col min="5393" max="5393" width="7.875" style="3062" customWidth="1"/>
    <col min="5394" max="5632" width="9" style="3062"/>
    <col min="5633" max="5633" width="29.125" style="3062" customWidth="1"/>
    <col min="5634" max="5634" width="6.25" style="3062" customWidth="1"/>
    <col min="5635" max="5635" width="11.75" style="3062" customWidth="1"/>
    <col min="5636" max="5636" width="10.875" style="3062" customWidth="1"/>
    <col min="5637" max="5637" width="10.625" style="3062" customWidth="1"/>
    <col min="5638" max="5638" width="10" style="3062" customWidth="1"/>
    <col min="5639" max="5639" width="7.875" style="3062" customWidth="1"/>
    <col min="5640" max="5640" width="19.5" style="3062" customWidth="1"/>
    <col min="5641" max="5641" width="5.375" style="3062" customWidth="1"/>
    <col min="5642" max="5643" width="9" style="3062" customWidth="1"/>
    <col min="5644" max="5644" width="8.375" style="3062" customWidth="1"/>
    <col min="5645" max="5645" width="7.5" style="3062" customWidth="1"/>
    <col min="5646" max="5646" width="14.375" style="3062" customWidth="1"/>
    <col min="5647" max="5647" width="6.25" style="3062" customWidth="1"/>
    <col min="5648" max="5648" width="27.75" style="3062" customWidth="1"/>
    <col min="5649" max="5649" width="7.875" style="3062" customWidth="1"/>
    <col min="5650" max="5888" width="9" style="3062"/>
    <col min="5889" max="5889" width="29.125" style="3062" customWidth="1"/>
    <col min="5890" max="5890" width="6.25" style="3062" customWidth="1"/>
    <col min="5891" max="5891" width="11.75" style="3062" customWidth="1"/>
    <col min="5892" max="5892" width="10.875" style="3062" customWidth="1"/>
    <col min="5893" max="5893" width="10.625" style="3062" customWidth="1"/>
    <col min="5894" max="5894" width="10" style="3062" customWidth="1"/>
    <col min="5895" max="5895" width="7.875" style="3062" customWidth="1"/>
    <col min="5896" max="5896" width="19.5" style="3062" customWidth="1"/>
    <col min="5897" max="5897" width="5.375" style="3062" customWidth="1"/>
    <col min="5898" max="5899" width="9" style="3062" customWidth="1"/>
    <col min="5900" max="5900" width="8.375" style="3062" customWidth="1"/>
    <col min="5901" max="5901" width="7.5" style="3062" customWidth="1"/>
    <col min="5902" max="5902" width="14.375" style="3062" customWidth="1"/>
    <col min="5903" max="5903" width="6.25" style="3062" customWidth="1"/>
    <col min="5904" max="5904" width="27.75" style="3062" customWidth="1"/>
    <col min="5905" max="5905" width="7.875" style="3062" customWidth="1"/>
    <col min="5906" max="6144" width="9" style="3062"/>
    <col min="6145" max="6145" width="29.125" style="3062" customWidth="1"/>
    <col min="6146" max="6146" width="6.25" style="3062" customWidth="1"/>
    <col min="6147" max="6147" width="11.75" style="3062" customWidth="1"/>
    <col min="6148" max="6148" width="10.875" style="3062" customWidth="1"/>
    <col min="6149" max="6149" width="10.625" style="3062" customWidth="1"/>
    <col min="6150" max="6150" width="10" style="3062" customWidth="1"/>
    <col min="6151" max="6151" width="7.875" style="3062" customWidth="1"/>
    <col min="6152" max="6152" width="19.5" style="3062" customWidth="1"/>
    <col min="6153" max="6153" width="5.375" style="3062" customWidth="1"/>
    <col min="6154" max="6155" width="9" style="3062" customWidth="1"/>
    <col min="6156" max="6156" width="8.375" style="3062" customWidth="1"/>
    <col min="6157" max="6157" width="7.5" style="3062" customWidth="1"/>
    <col min="6158" max="6158" width="14.375" style="3062" customWidth="1"/>
    <col min="6159" max="6159" width="6.25" style="3062" customWidth="1"/>
    <col min="6160" max="6160" width="27.75" style="3062" customWidth="1"/>
    <col min="6161" max="6161" width="7.875" style="3062" customWidth="1"/>
    <col min="6162" max="6400" width="9" style="3062"/>
    <col min="6401" max="6401" width="29.125" style="3062" customWidth="1"/>
    <col min="6402" max="6402" width="6.25" style="3062" customWidth="1"/>
    <col min="6403" max="6403" width="11.75" style="3062" customWidth="1"/>
    <col min="6404" max="6404" width="10.875" style="3062" customWidth="1"/>
    <col min="6405" max="6405" width="10.625" style="3062" customWidth="1"/>
    <col min="6406" max="6406" width="10" style="3062" customWidth="1"/>
    <col min="6407" max="6407" width="7.875" style="3062" customWidth="1"/>
    <col min="6408" max="6408" width="19.5" style="3062" customWidth="1"/>
    <col min="6409" max="6409" width="5.375" style="3062" customWidth="1"/>
    <col min="6410" max="6411" width="9" style="3062" customWidth="1"/>
    <col min="6412" max="6412" width="8.375" style="3062" customWidth="1"/>
    <col min="6413" max="6413" width="7.5" style="3062" customWidth="1"/>
    <col min="6414" max="6414" width="14.375" style="3062" customWidth="1"/>
    <col min="6415" max="6415" width="6.25" style="3062" customWidth="1"/>
    <col min="6416" max="6416" width="27.75" style="3062" customWidth="1"/>
    <col min="6417" max="6417" width="7.875" style="3062" customWidth="1"/>
    <col min="6418" max="6656" width="9" style="3062"/>
    <col min="6657" max="6657" width="29.125" style="3062" customWidth="1"/>
    <col min="6658" max="6658" width="6.25" style="3062" customWidth="1"/>
    <col min="6659" max="6659" width="11.75" style="3062" customWidth="1"/>
    <col min="6660" max="6660" width="10.875" style="3062" customWidth="1"/>
    <col min="6661" max="6661" width="10.625" style="3062" customWidth="1"/>
    <col min="6662" max="6662" width="10" style="3062" customWidth="1"/>
    <col min="6663" max="6663" width="7.875" style="3062" customWidth="1"/>
    <col min="6664" max="6664" width="19.5" style="3062" customWidth="1"/>
    <col min="6665" max="6665" width="5.375" style="3062" customWidth="1"/>
    <col min="6666" max="6667" width="9" style="3062" customWidth="1"/>
    <col min="6668" max="6668" width="8.375" style="3062" customWidth="1"/>
    <col min="6669" max="6669" width="7.5" style="3062" customWidth="1"/>
    <col min="6670" max="6670" width="14.375" style="3062" customWidth="1"/>
    <col min="6671" max="6671" width="6.25" style="3062" customWidth="1"/>
    <col min="6672" max="6672" width="27.75" style="3062" customWidth="1"/>
    <col min="6673" max="6673" width="7.875" style="3062" customWidth="1"/>
    <col min="6674" max="6912" width="9" style="3062"/>
    <col min="6913" max="6913" width="29.125" style="3062" customWidth="1"/>
    <col min="6914" max="6914" width="6.25" style="3062" customWidth="1"/>
    <col min="6915" max="6915" width="11.75" style="3062" customWidth="1"/>
    <col min="6916" max="6916" width="10.875" style="3062" customWidth="1"/>
    <col min="6917" max="6917" width="10.625" style="3062" customWidth="1"/>
    <col min="6918" max="6918" width="10" style="3062" customWidth="1"/>
    <col min="6919" max="6919" width="7.875" style="3062" customWidth="1"/>
    <col min="6920" max="6920" width="19.5" style="3062" customWidth="1"/>
    <col min="6921" max="6921" width="5.375" style="3062" customWidth="1"/>
    <col min="6922" max="6923" width="9" style="3062" customWidth="1"/>
    <col min="6924" max="6924" width="8.375" style="3062" customWidth="1"/>
    <col min="6925" max="6925" width="7.5" style="3062" customWidth="1"/>
    <col min="6926" max="6926" width="14.375" style="3062" customWidth="1"/>
    <col min="6927" max="6927" width="6.25" style="3062" customWidth="1"/>
    <col min="6928" max="6928" width="27.75" style="3062" customWidth="1"/>
    <col min="6929" max="6929" width="7.875" style="3062" customWidth="1"/>
    <col min="6930" max="7168" width="9" style="3062"/>
    <col min="7169" max="7169" width="29.125" style="3062" customWidth="1"/>
    <col min="7170" max="7170" width="6.25" style="3062" customWidth="1"/>
    <col min="7171" max="7171" width="11.75" style="3062" customWidth="1"/>
    <col min="7172" max="7172" width="10.875" style="3062" customWidth="1"/>
    <col min="7173" max="7173" width="10.625" style="3062" customWidth="1"/>
    <col min="7174" max="7174" width="10" style="3062" customWidth="1"/>
    <col min="7175" max="7175" width="7.875" style="3062" customWidth="1"/>
    <col min="7176" max="7176" width="19.5" style="3062" customWidth="1"/>
    <col min="7177" max="7177" width="5.375" style="3062" customWidth="1"/>
    <col min="7178" max="7179" width="9" style="3062" customWidth="1"/>
    <col min="7180" max="7180" width="8.375" style="3062" customWidth="1"/>
    <col min="7181" max="7181" width="7.5" style="3062" customWidth="1"/>
    <col min="7182" max="7182" width="14.375" style="3062" customWidth="1"/>
    <col min="7183" max="7183" width="6.25" style="3062" customWidth="1"/>
    <col min="7184" max="7184" width="27.75" style="3062" customWidth="1"/>
    <col min="7185" max="7185" width="7.875" style="3062" customWidth="1"/>
    <col min="7186" max="7424" width="9" style="3062"/>
    <col min="7425" max="7425" width="29.125" style="3062" customWidth="1"/>
    <col min="7426" max="7426" width="6.25" style="3062" customWidth="1"/>
    <col min="7427" max="7427" width="11.75" style="3062" customWidth="1"/>
    <col min="7428" max="7428" width="10.875" style="3062" customWidth="1"/>
    <col min="7429" max="7429" width="10.625" style="3062" customWidth="1"/>
    <col min="7430" max="7430" width="10" style="3062" customWidth="1"/>
    <col min="7431" max="7431" width="7.875" style="3062" customWidth="1"/>
    <col min="7432" max="7432" width="19.5" style="3062" customWidth="1"/>
    <col min="7433" max="7433" width="5.375" style="3062" customWidth="1"/>
    <col min="7434" max="7435" width="9" style="3062" customWidth="1"/>
    <col min="7436" max="7436" width="8.375" style="3062" customWidth="1"/>
    <col min="7437" max="7437" width="7.5" style="3062" customWidth="1"/>
    <col min="7438" max="7438" width="14.375" style="3062" customWidth="1"/>
    <col min="7439" max="7439" width="6.25" style="3062" customWidth="1"/>
    <col min="7440" max="7440" width="27.75" style="3062" customWidth="1"/>
    <col min="7441" max="7441" width="7.875" style="3062" customWidth="1"/>
    <col min="7442" max="7680" width="9" style="3062"/>
    <col min="7681" max="7681" width="29.125" style="3062" customWidth="1"/>
    <col min="7682" max="7682" width="6.25" style="3062" customWidth="1"/>
    <col min="7683" max="7683" width="11.75" style="3062" customWidth="1"/>
    <col min="7684" max="7684" width="10.875" style="3062" customWidth="1"/>
    <col min="7685" max="7685" width="10.625" style="3062" customWidth="1"/>
    <col min="7686" max="7686" width="10" style="3062" customWidth="1"/>
    <col min="7687" max="7687" width="7.875" style="3062" customWidth="1"/>
    <col min="7688" max="7688" width="19.5" style="3062" customWidth="1"/>
    <col min="7689" max="7689" width="5.375" style="3062" customWidth="1"/>
    <col min="7690" max="7691" width="9" style="3062" customWidth="1"/>
    <col min="7692" max="7692" width="8.375" style="3062" customWidth="1"/>
    <col min="7693" max="7693" width="7.5" style="3062" customWidth="1"/>
    <col min="7694" max="7694" width="14.375" style="3062" customWidth="1"/>
    <col min="7695" max="7695" width="6.25" style="3062" customWidth="1"/>
    <col min="7696" max="7696" width="27.75" style="3062" customWidth="1"/>
    <col min="7697" max="7697" width="7.875" style="3062" customWidth="1"/>
    <col min="7698" max="7936" width="9" style="3062"/>
    <col min="7937" max="7937" width="29.125" style="3062" customWidth="1"/>
    <col min="7938" max="7938" width="6.25" style="3062" customWidth="1"/>
    <col min="7939" max="7939" width="11.75" style="3062" customWidth="1"/>
    <col min="7940" max="7940" width="10.875" style="3062" customWidth="1"/>
    <col min="7941" max="7941" width="10.625" style="3062" customWidth="1"/>
    <col min="7942" max="7942" width="10" style="3062" customWidth="1"/>
    <col min="7943" max="7943" width="7.875" style="3062" customWidth="1"/>
    <col min="7944" max="7944" width="19.5" style="3062" customWidth="1"/>
    <col min="7945" max="7945" width="5.375" style="3062" customWidth="1"/>
    <col min="7946" max="7947" width="9" style="3062" customWidth="1"/>
    <col min="7948" max="7948" width="8.375" style="3062" customWidth="1"/>
    <col min="7949" max="7949" width="7.5" style="3062" customWidth="1"/>
    <col min="7950" max="7950" width="14.375" style="3062" customWidth="1"/>
    <col min="7951" max="7951" width="6.25" style="3062" customWidth="1"/>
    <col min="7952" max="7952" width="27.75" style="3062" customWidth="1"/>
    <col min="7953" max="7953" width="7.875" style="3062" customWidth="1"/>
    <col min="7954" max="8192" width="9" style="3062"/>
    <col min="8193" max="8193" width="29.125" style="3062" customWidth="1"/>
    <col min="8194" max="8194" width="6.25" style="3062" customWidth="1"/>
    <col min="8195" max="8195" width="11.75" style="3062" customWidth="1"/>
    <col min="8196" max="8196" width="10.875" style="3062" customWidth="1"/>
    <col min="8197" max="8197" width="10.625" style="3062" customWidth="1"/>
    <col min="8198" max="8198" width="10" style="3062" customWidth="1"/>
    <col min="8199" max="8199" width="7.875" style="3062" customWidth="1"/>
    <col min="8200" max="8200" width="19.5" style="3062" customWidth="1"/>
    <col min="8201" max="8201" width="5.375" style="3062" customWidth="1"/>
    <col min="8202" max="8203" width="9" style="3062" customWidth="1"/>
    <col min="8204" max="8204" width="8.375" style="3062" customWidth="1"/>
    <col min="8205" max="8205" width="7.5" style="3062" customWidth="1"/>
    <col min="8206" max="8206" width="14.375" style="3062" customWidth="1"/>
    <col min="8207" max="8207" width="6.25" style="3062" customWidth="1"/>
    <col min="8208" max="8208" width="27.75" style="3062" customWidth="1"/>
    <col min="8209" max="8209" width="7.875" style="3062" customWidth="1"/>
    <col min="8210" max="8448" width="9" style="3062"/>
    <col min="8449" max="8449" width="29.125" style="3062" customWidth="1"/>
    <col min="8450" max="8450" width="6.25" style="3062" customWidth="1"/>
    <col min="8451" max="8451" width="11.75" style="3062" customWidth="1"/>
    <col min="8452" max="8452" width="10.875" style="3062" customWidth="1"/>
    <col min="8453" max="8453" width="10.625" style="3062" customWidth="1"/>
    <col min="8454" max="8454" width="10" style="3062" customWidth="1"/>
    <col min="8455" max="8455" width="7.875" style="3062" customWidth="1"/>
    <col min="8456" max="8456" width="19.5" style="3062" customWidth="1"/>
    <col min="8457" max="8457" width="5.375" style="3062" customWidth="1"/>
    <col min="8458" max="8459" width="9" style="3062" customWidth="1"/>
    <col min="8460" max="8460" width="8.375" style="3062" customWidth="1"/>
    <col min="8461" max="8461" width="7.5" style="3062" customWidth="1"/>
    <col min="8462" max="8462" width="14.375" style="3062" customWidth="1"/>
    <col min="8463" max="8463" width="6.25" style="3062" customWidth="1"/>
    <col min="8464" max="8464" width="27.75" style="3062" customWidth="1"/>
    <col min="8465" max="8465" width="7.875" style="3062" customWidth="1"/>
    <col min="8466" max="8704" width="9" style="3062"/>
    <col min="8705" max="8705" width="29.125" style="3062" customWidth="1"/>
    <col min="8706" max="8706" width="6.25" style="3062" customWidth="1"/>
    <col min="8707" max="8707" width="11.75" style="3062" customWidth="1"/>
    <col min="8708" max="8708" width="10.875" style="3062" customWidth="1"/>
    <col min="8709" max="8709" width="10.625" style="3062" customWidth="1"/>
    <col min="8710" max="8710" width="10" style="3062" customWidth="1"/>
    <col min="8711" max="8711" width="7.875" style="3062" customWidth="1"/>
    <col min="8712" max="8712" width="19.5" style="3062" customWidth="1"/>
    <col min="8713" max="8713" width="5.375" style="3062" customWidth="1"/>
    <col min="8714" max="8715" width="9" style="3062" customWidth="1"/>
    <col min="8716" max="8716" width="8.375" style="3062" customWidth="1"/>
    <col min="8717" max="8717" width="7.5" style="3062" customWidth="1"/>
    <col min="8718" max="8718" width="14.375" style="3062" customWidth="1"/>
    <col min="8719" max="8719" width="6.25" style="3062" customWidth="1"/>
    <col min="8720" max="8720" width="27.75" style="3062" customWidth="1"/>
    <col min="8721" max="8721" width="7.875" style="3062" customWidth="1"/>
    <col min="8722" max="8960" width="9" style="3062"/>
    <col min="8961" max="8961" width="29.125" style="3062" customWidth="1"/>
    <col min="8962" max="8962" width="6.25" style="3062" customWidth="1"/>
    <col min="8963" max="8963" width="11.75" style="3062" customWidth="1"/>
    <col min="8964" max="8964" width="10.875" style="3062" customWidth="1"/>
    <col min="8965" max="8965" width="10.625" style="3062" customWidth="1"/>
    <col min="8966" max="8966" width="10" style="3062" customWidth="1"/>
    <col min="8967" max="8967" width="7.875" style="3062" customWidth="1"/>
    <col min="8968" max="8968" width="19.5" style="3062" customWidth="1"/>
    <col min="8969" max="8969" width="5.375" style="3062" customWidth="1"/>
    <col min="8970" max="8971" width="9" style="3062" customWidth="1"/>
    <col min="8972" max="8972" width="8.375" style="3062" customWidth="1"/>
    <col min="8973" max="8973" width="7.5" style="3062" customWidth="1"/>
    <col min="8974" max="8974" width="14.375" style="3062" customWidth="1"/>
    <col min="8975" max="8975" width="6.25" style="3062" customWidth="1"/>
    <col min="8976" max="8976" width="27.75" style="3062" customWidth="1"/>
    <col min="8977" max="8977" width="7.875" style="3062" customWidth="1"/>
    <col min="8978" max="9216" width="9" style="3062"/>
    <col min="9217" max="9217" width="29.125" style="3062" customWidth="1"/>
    <col min="9218" max="9218" width="6.25" style="3062" customWidth="1"/>
    <col min="9219" max="9219" width="11.75" style="3062" customWidth="1"/>
    <col min="9220" max="9220" width="10.875" style="3062" customWidth="1"/>
    <col min="9221" max="9221" width="10.625" style="3062" customWidth="1"/>
    <col min="9222" max="9222" width="10" style="3062" customWidth="1"/>
    <col min="9223" max="9223" width="7.875" style="3062" customWidth="1"/>
    <col min="9224" max="9224" width="19.5" style="3062" customWidth="1"/>
    <col min="9225" max="9225" width="5.375" style="3062" customWidth="1"/>
    <col min="9226" max="9227" width="9" style="3062" customWidth="1"/>
    <col min="9228" max="9228" width="8.375" style="3062" customWidth="1"/>
    <col min="9229" max="9229" width="7.5" style="3062" customWidth="1"/>
    <col min="9230" max="9230" width="14.375" style="3062" customWidth="1"/>
    <col min="9231" max="9231" width="6.25" style="3062" customWidth="1"/>
    <col min="9232" max="9232" width="27.75" style="3062" customWidth="1"/>
    <col min="9233" max="9233" width="7.875" style="3062" customWidth="1"/>
    <col min="9234" max="9472" width="9" style="3062"/>
    <col min="9473" max="9473" width="29.125" style="3062" customWidth="1"/>
    <col min="9474" max="9474" width="6.25" style="3062" customWidth="1"/>
    <col min="9475" max="9475" width="11.75" style="3062" customWidth="1"/>
    <col min="9476" max="9476" width="10.875" style="3062" customWidth="1"/>
    <col min="9477" max="9477" width="10.625" style="3062" customWidth="1"/>
    <col min="9478" max="9478" width="10" style="3062" customWidth="1"/>
    <col min="9479" max="9479" width="7.875" style="3062" customWidth="1"/>
    <col min="9480" max="9480" width="19.5" style="3062" customWidth="1"/>
    <col min="9481" max="9481" width="5.375" style="3062" customWidth="1"/>
    <col min="9482" max="9483" width="9" style="3062" customWidth="1"/>
    <col min="9484" max="9484" width="8.375" style="3062" customWidth="1"/>
    <col min="9485" max="9485" width="7.5" style="3062" customWidth="1"/>
    <col min="9486" max="9486" width="14.375" style="3062" customWidth="1"/>
    <col min="9487" max="9487" width="6.25" style="3062" customWidth="1"/>
    <col min="9488" max="9488" width="27.75" style="3062" customWidth="1"/>
    <col min="9489" max="9489" width="7.875" style="3062" customWidth="1"/>
    <col min="9490" max="9728" width="9" style="3062"/>
    <col min="9729" max="9729" width="29.125" style="3062" customWidth="1"/>
    <col min="9730" max="9730" width="6.25" style="3062" customWidth="1"/>
    <col min="9731" max="9731" width="11.75" style="3062" customWidth="1"/>
    <col min="9732" max="9732" width="10.875" style="3062" customWidth="1"/>
    <col min="9733" max="9733" width="10.625" style="3062" customWidth="1"/>
    <col min="9734" max="9734" width="10" style="3062" customWidth="1"/>
    <col min="9735" max="9735" width="7.875" style="3062" customWidth="1"/>
    <col min="9736" max="9736" width="19.5" style="3062" customWidth="1"/>
    <col min="9737" max="9737" width="5.375" style="3062" customWidth="1"/>
    <col min="9738" max="9739" width="9" style="3062" customWidth="1"/>
    <col min="9740" max="9740" width="8.375" style="3062" customWidth="1"/>
    <col min="9741" max="9741" width="7.5" style="3062" customWidth="1"/>
    <col min="9742" max="9742" width="14.375" style="3062" customWidth="1"/>
    <col min="9743" max="9743" width="6.25" style="3062" customWidth="1"/>
    <col min="9744" max="9744" width="27.75" style="3062" customWidth="1"/>
    <col min="9745" max="9745" width="7.875" style="3062" customWidth="1"/>
    <col min="9746" max="9984" width="9" style="3062"/>
    <col min="9985" max="9985" width="29.125" style="3062" customWidth="1"/>
    <col min="9986" max="9986" width="6.25" style="3062" customWidth="1"/>
    <col min="9987" max="9987" width="11.75" style="3062" customWidth="1"/>
    <col min="9988" max="9988" width="10.875" style="3062" customWidth="1"/>
    <col min="9989" max="9989" width="10.625" style="3062" customWidth="1"/>
    <col min="9990" max="9990" width="10" style="3062" customWidth="1"/>
    <col min="9991" max="9991" width="7.875" style="3062" customWidth="1"/>
    <col min="9992" max="9992" width="19.5" style="3062" customWidth="1"/>
    <col min="9993" max="9993" width="5.375" style="3062" customWidth="1"/>
    <col min="9994" max="9995" width="9" style="3062" customWidth="1"/>
    <col min="9996" max="9996" width="8.375" style="3062" customWidth="1"/>
    <col min="9997" max="9997" width="7.5" style="3062" customWidth="1"/>
    <col min="9998" max="9998" width="14.375" style="3062" customWidth="1"/>
    <col min="9999" max="9999" width="6.25" style="3062" customWidth="1"/>
    <col min="10000" max="10000" width="27.75" style="3062" customWidth="1"/>
    <col min="10001" max="10001" width="7.875" style="3062" customWidth="1"/>
    <col min="10002" max="10240" width="9" style="3062"/>
    <col min="10241" max="10241" width="29.125" style="3062" customWidth="1"/>
    <col min="10242" max="10242" width="6.25" style="3062" customWidth="1"/>
    <col min="10243" max="10243" width="11.75" style="3062" customWidth="1"/>
    <col min="10244" max="10244" width="10.875" style="3062" customWidth="1"/>
    <col min="10245" max="10245" width="10.625" style="3062" customWidth="1"/>
    <col min="10246" max="10246" width="10" style="3062" customWidth="1"/>
    <col min="10247" max="10247" width="7.875" style="3062" customWidth="1"/>
    <col min="10248" max="10248" width="19.5" style="3062" customWidth="1"/>
    <col min="10249" max="10249" width="5.375" style="3062" customWidth="1"/>
    <col min="10250" max="10251" width="9" style="3062" customWidth="1"/>
    <col min="10252" max="10252" width="8.375" style="3062" customWidth="1"/>
    <col min="10253" max="10253" width="7.5" style="3062" customWidth="1"/>
    <col min="10254" max="10254" width="14.375" style="3062" customWidth="1"/>
    <col min="10255" max="10255" width="6.25" style="3062" customWidth="1"/>
    <col min="10256" max="10256" width="27.75" style="3062" customWidth="1"/>
    <col min="10257" max="10257" width="7.875" style="3062" customWidth="1"/>
    <col min="10258" max="10496" width="9" style="3062"/>
    <col min="10497" max="10497" width="29.125" style="3062" customWidth="1"/>
    <col min="10498" max="10498" width="6.25" style="3062" customWidth="1"/>
    <col min="10499" max="10499" width="11.75" style="3062" customWidth="1"/>
    <col min="10500" max="10500" width="10.875" style="3062" customWidth="1"/>
    <col min="10501" max="10501" width="10.625" style="3062" customWidth="1"/>
    <col min="10502" max="10502" width="10" style="3062" customWidth="1"/>
    <col min="10503" max="10503" width="7.875" style="3062" customWidth="1"/>
    <col min="10504" max="10504" width="19.5" style="3062" customWidth="1"/>
    <col min="10505" max="10505" width="5.375" style="3062" customWidth="1"/>
    <col min="10506" max="10507" width="9" style="3062" customWidth="1"/>
    <col min="10508" max="10508" width="8.375" style="3062" customWidth="1"/>
    <col min="10509" max="10509" width="7.5" style="3062" customWidth="1"/>
    <col min="10510" max="10510" width="14.375" style="3062" customWidth="1"/>
    <col min="10511" max="10511" width="6.25" style="3062" customWidth="1"/>
    <col min="10512" max="10512" width="27.75" style="3062" customWidth="1"/>
    <col min="10513" max="10513" width="7.875" style="3062" customWidth="1"/>
    <col min="10514" max="10752" width="9" style="3062"/>
    <col min="10753" max="10753" width="29.125" style="3062" customWidth="1"/>
    <col min="10754" max="10754" width="6.25" style="3062" customWidth="1"/>
    <col min="10755" max="10755" width="11.75" style="3062" customWidth="1"/>
    <col min="10756" max="10756" width="10.875" style="3062" customWidth="1"/>
    <col min="10757" max="10757" width="10.625" style="3062" customWidth="1"/>
    <col min="10758" max="10758" width="10" style="3062" customWidth="1"/>
    <col min="10759" max="10759" width="7.875" style="3062" customWidth="1"/>
    <col min="10760" max="10760" width="19.5" style="3062" customWidth="1"/>
    <col min="10761" max="10761" width="5.375" style="3062" customWidth="1"/>
    <col min="10762" max="10763" width="9" style="3062" customWidth="1"/>
    <col min="10764" max="10764" width="8.375" style="3062" customWidth="1"/>
    <col min="10765" max="10765" width="7.5" style="3062" customWidth="1"/>
    <col min="10766" max="10766" width="14.375" style="3062" customWidth="1"/>
    <col min="10767" max="10767" width="6.25" style="3062" customWidth="1"/>
    <col min="10768" max="10768" width="27.75" style="3062" customWidth="1"/>
    <col min="10769" max="10769" width="7.875" style="3062" customWidth="1"/>
    <col min="10770" max="11008" width="9" style="3062"/>
    <col min="11009" max="11009" width="29.125" style="3062" customWidth="1"/>
    <col min="11010" max="11010" width="6.25" style="3062" customWidth="1"/>
    <col min="11011" max="11011" width="11.75" style="3062" customWidth="1"/>
    <col min="11012" max="11012" width="10.875" style="3062" customWidth="1"/>
    <col min="11013" max="11013" width="10.625" style="3062" customWidth="1"/>
    <col min="11014" max="11014" width="10" style="3062" customWidth="1"/>
    <col min="11015" max="11015" width="7.875" style="3062" customWidth="1"/>
    <col min="11016" max="11016" width="19.5" style="3062" customWidth="1"/>
    <col min="11017" max="11017" width="5.375" style="3062" customWidth="1"/>
    <col min="11018" max="11019" width="9" style="3062" customWidth="1"/>
    <col min="11020" max="11020" width="8.375" style="3062" customWidth="1"/>
    <col min="11021" max="11021" width="7.5" style="3062" customWidth="1"/>
    <col min="11022" max="11022" width="14.375" style="3062" customWidth="1"/>
    <col min="11023" max="11023" width="6.25" style="3062" customWidth="1"/>
    <col min="11024" max="11024" width="27.75" style="3062" customWidth="1"/>
    <col min="11025" max="11025" width="7.875" style="3062" customWidth="1"/>
    <col min="11026" max="11264" width="9" style="3062"/>
    <col min="11265" max="11265" width="29.125" style="3062" customWidth="1"/>
    <col min="11266" max="11266" width="6.25" style="3062" customWidth="1"/>
    <col min="11267" max="11267" width="11.75" style="3062" customWidth="1"/>
    <col min="11268" max="11268" width="10.875" style="3062" customWidth="1"/>
    <col min="11269" max="11269" width="10.625" style="3062" customWidth="1"/>
    <col min="11270" max="11270" width="10" style="3062" customWidth="1"/>
    <col min="11271" max="11271" width="7.875" style="3062" customWidth="1"/>
    <col min="11272" max="11272" width="19.5" style="3062" customWidth="1"/>
    <col min="11273" max="11273" width="5.375" style="3062" customWidth="1"/>
    <col min="11274" max="11275" width="9" style="3062" customWidth="1"/>
    <col min="11276" max="11276" width="8.375" style="3062" customWidth="1"/>
    <col min="11277" max="11277" width="7.5" style="3062" customWidth="1"/>
    <col min="11278" max="11278" width="14.375" style="3062" customWidth="1"/>
    <col min="11279" max="11279" width="6.25" style="3062" customWidth="1"/>
    <col min="11280" max="11280" width="27.75" style="3062" customWidth="1"/>
    <col min="11281" max="11281" width="7.875" style="3062" customWidth="1"/>
    <col min="11282" max="11520" width="9" style="3062"/>
    <col min="11521" max="11521" width="29.125" style="3062" customWidth="1"/>
    <col min="11522" max="11522" width="6.25" style="3062" customWidth="1"/>
    <col min="11523" max="11523" width="11.75" style="3062" customWidth="1"/>
    <col min="11524" max="11524" width="10.875" style="3062" customWidth="1"/>
    <col min="11525" max="11525" width="10.625" style="3062" customWidth="1"/>
    <col min="11526" max="11526" width="10" style="3062" customWidth="1"/>
    <col min="11527" max="11527" width="7.875" style="3062" customWidth="1"/>
    <col min="11528" max="11528" width="19.5" style="3062" customWidth="1"/>
    <col min="11529" max="11529" width="5.375" style="3062" customWidth="1"/>
    <col min="11530" max="11531" width="9" style="3062" customWidth="1"/>
    <col min="11532" max="11532" width="8.375" style="3062" customWidth="1"/>
    <col min="11533" max="11533" width="7.5" style="3062" customWidth="1"/>
    <col min="11534" max="11534" width="14.375" style="3062" customWidth="1"/>
    <col min="11535" max="11535" width="6.25" style="3062" customWidth="1"/>
    <col min="11536" max="11536" width="27.75" style="3062" customWidth="1"/>
    <col min="11537" max="11537" width="7.875" style="3062" customWidth="1"/>
    <col min="11538" max="11776" width="9" style="3062"/>
    <col min="11777" max="11777" width="29.125" style="3062" customWidth="1"/>
    <col min="11778" max="11778" width="6.25" style="3062" customWidth="1"/>
    <col min="11779" max="11779" width="11.75" style="3062" customWidth="1"/>
    <col min="11780" max="11780" width="10.875" style="3062" customWidth="1"/>
    <col min="11781" max="11781" width="10.625" style="3062" customWidth="1"/>
    <col min="11782" max="11782" width="10" style="3062" customWidth="1"/>
    <col min="11783" max="11783" width="7.875" style="3062" customWidth="1"/>
    <col min="11784" max="11784" width="19.5" style="3062" customWidth="1"/>
    <col min="11785" max="11785" width="5.375" style="3062" customWidth="1"/>
    <col min="11786" max="11787" width="9" style="3062" customWidth="1"/>
    <col min="11788" max="11788" width="8.375" style="3062" customWidth="1"/>
    <col min="11789" max="11789" width="7.5" style="3062" customWidth="1"/>
    <col min="11790" max="11790" width="14.375" style="3062" customWidth="1"/>
    <col min="11791" max="11791" width="6.25" style="3062" customWidth="1"/>
    <col min="11792" max="11792" width="27.75" style="3062" customWidth="1"/>
    <col min="11793" max="11793" width="7.875" style="3062" customWidth="1"/>
    <col min="11794" max="12032" width="9" style="3062"/>
    <col min="12033" max="12033" width="29.125" style="3062" customWidth="1"/>
    <col min="12034" max="12034" width="6.25" style="3062" customWidth="1"/>
    <col min="12035" max="12035" width="11.75" style="3062" customWidth="1"/>
    <col min="12036" max="12036" width="10.875" style="3062" customWidth="1"/>
    <col min="12037" max="12037" width="10.625" style="3062" customWidth="1"/>
    <col min="12038" max="12038" width="10" style="3062" customWidth="1"/>
    <col min="12039" max="12039" width="7.875" style="3062" customWidth="1"/>
    <col min="12040" max="12040" width="19.5" style="3062" customWidth="1"/>
    <col min="12041" max="12041" width="5.375" style="3062" customWidth="1"/>
    <col min="12042" max="12043" width="9" style="3062" customWidth="1"/>
    <col min="12044" max="12044" width="8.375" style="3062" customWidth="1"/>
    <col min="12045" max="12045" width="7.5" style="3062" customWidth="1"/>
    <col min="12046" max="12046" width="14.375" style="3062" customWidth="1"/>
    <col min="12047" max="12047" width="6.25" style="3062" customWidth="1"/>
    <col min="12048" max="12048" width="27.75" style="3062" customWidth="1"/>
    <col min="12049" max="12049" width="7.875" style="3062" customWidth="1"/>
    <col min="12050" max="12288" width="9" style="3062"/>
    <col min="12289" max="12289" width="29.125" style="3062" customWidth="1"/>
    <col min="12290" max="12290" width="6.25" style="3062" customWidth="1"/>
    <col min="12291" max="12291" width="11.75" style="3062" customWidth="1"/>
    <col min="12292" max="12292" width="10.875" style="3062" customWidth="1"/>
    <col min="12293" max="12293" width="10.625" style="3062" customWidth="1"/>
    <col min="12294" max="12294" width="10" style="3062" customWidth="1"/>
    <col min="12295" max="12295" width="7.875" style="3062" customWidth="1"/>
    <col min="12296" max="12296" width="19.5" style="3062" customWidth="1"/>
    <col min="12297" max="12297" width="5.375" style="3062" customWidth="1"/>
    <col min="12298" max="12299" width="9" style="3062" customWidth="1"/>
    <col min="12300" max="12300" width="8.375" style="3062" customWidth="1"/>
    <col min="12301" max="12301" width="7.5" style="3062" customWidth="1"/>
    <col min="12302" max="12302" width="14.375" style="3062" customWidth="1"/>
    <col min="12303" max="12303" width="6.25" style="3062" customWidth="1"/>
    <col min="12304" max="12304" width="27.75" style="3062" customWidth="1"/>
    <col min="12305" max="12305" width="7.875" style="3062" customWidth="1"/>
    <col min="12306" max="12544" width="9" style="3062"/>
    <col min="12545" max="12545" width="29.125" style="3062" customWidth="1"/>
    <col min="12546" max="12546" width="6.25" style="3062" customWidth="1"/>
    <col min="12547" max="12547" width="11.75" style="3062" customWidth="1"/>
    <col min="12548" max="12548" width="10.875" style="3062" customWidth="1"/>
    <col min="12549" max="12549" width="10.625" style="3062" customWidth="1"/>
    <col min="12550" max="12550" width="10" style="3062" customWidth="1"/>
    <col min="12551" max="12551" width="7.875" style="3062" customWidth="1"/>
    <col min="12552" max="12552" width="19.5" style="3062" customWidth="1"/>
    <col min="12553" max="12553" width="5.375" style="3062" customWidth="1"/>
    <col min="12554" max="12555" width="9" style="3062" customWidth="1"/>
    <col min="12556" max="12556" width="8.375" style="3062" customWidth="1"/>
    <col min="12557" max="12557" width="7.5" style="3062" customWidth="1"/>
    <col min="12558" max="12558" width="14.375" style="3062" customWidth="1"/>
    <col min="12559" max="12559" width="6.25" style="3062" customWidth="1"/>
    <col min="12560" max="12560" width="27.75" style="3062" customWidth="1"/>
    <col min="12561" max="12561" width="7.875" style="3062" customWidth="1"/>
    <col min="12562" max="12800" width="9" style="3062"/>
    <col min="12801" max="12801" width="29.125" style="3062" customWidth="1"/>
    <col min="12802" max="12802" width="6.25" style="3062" customWidth="1"/>
    <col min="12803" max="12803" width="11.75" style="3062" customWidth="1"/>
    <col min="12804" max="12804" width="10.875" style="3062" customWidth="1"/>
    <col min="12805" max="12805" width="10.625" style="3062" customWidth="1"/>
    <col min="12806" max="12806" width="10" style="3062" customWidth="1"/>
    <col min="12807" max="12807" width="7.875" style="3062" customWidth="1"/>
    <col min="12808" max="12808" width="19.5" style="3062" customWidth="1"/>
    <col min="12809" max="12809" width="5.375" style="3062" customWidth="1"/>
    <col min="12810" max="12811" width="9" style="3062" customWidth="1"/>
    <col min="12812" max="12812" width="8.375" style="3062" customWidth="1"/>
    <col min="12813" max="12813" width="7.5" style="3062" customWidth="1"/>
    <col min="12814" max="12814" width="14.375" style="3062" customWidth="1"/>
    <col min="12815" max="12815" width="6.25" style="3062" customWidth="1"/>
    <col min="12816" max="12816" width="27.75" style="3062" customWidth="1"/>
    <col min="12817" max="12817" width="7.875" style="3062" customWidth="1"/>
    <col min="12818" max="13056" width="9" style="3062"/>
    <col min="13057" max="13057" width="29.125" style="3062" customWidth="1"/>
    <col min="13058" max="13058" width="6.25" style="3062" customWidth="1"/>
    <col min="13059" max="13059" width="11.75" style="3062" customWidth="1"/>
    <col min="13060" max="13060" width="10.875" style="3062" customWidth="1"/>
    <col min="13061" max="13061" width="10.625" style="3062" customWidth="1"/>
    <col min="13062" max="13062" width="10" style="3062" customWidth="1"/>
    <col min="13063" max="13063" width="7.875" style="3062" customWidth="1"/>
    <col min="13064" max="13064" width="19.5" style="3062" customWidth="1"/>
    <col min="13065" max="13065" width="5.375" style="3062" customWidth="1"/>
    <col min="13066" max="13067" width="9" style="3062" customWidth="1"/>
    <col min="13068" max="13068" width="8.375" style="3062" customWidth="1"/>
    <col min="13069" max="13069" width="7.5" style="3062" customWidth="1"/>
    <col min="13070" max="13070" width="14.375" style="3062" customWidth="1"/>
    <col min="13071" max="13071" width="6.25" style="3062" customWidth="1"/>
    <col min="13072" max="13072" width="27.75" style="3062" customWidth="1"/>
    <col min="13073" max="13073" width="7.875" style="3062" customWidth="1"/>
    <col min="13074" max="13312" width="9" style="3062"/>
    <col min="13313" max="13313" width="29.125" style="3062" customWidth="1"/>
    <col min="13314" max="13314" width="6.25" style="3062" customWidth="1"/>
    <col min="13315" max="13315" width="11.75" style="3062" customWidth="1"/>
    <col min="13316" max="13316" width="10.875" style="3062" customWidth="1"/>
    <col min="13317" max="13317" width="10.625" style="3062" customWidth="1"/>
    <col min="13318" max="13318" width="10" style="3062" customWidth="1"/>
    <col min="13319" max="13319" width="7.875" style="3062" customWidth="1"/>
    <col min="13320" max="13320" width="19.5" style="3062" customWidth="1"/>
    <col min="13321" max="13321" width="5.375" style="3062" customWidth="1"/>
    <col min="13322" max="13323" width="9" style="3062" customWidth="1"/>
    <col min="13324" max="13324" width="8.375" style="3062" customWidth="1"/>
    <col min="13325" max="13325" width="7.5" style="3062" customWidth="1"/>
    <col min="13326" max="13326" width="14.375" style="3062" customWidth="1"/>
    <col min="13327" max="13327" width="6.25" style="3062" customWidth="1"/>
    <col min="13328" max="13328" width="27.75" style="3062" customWidth="1"/>
    <col min="13329" max="13329" width="7.875" style="3062" customWidth="1"/>
    <col min="13330" max="13568" width="9" style="3062"/>
    <col min="13569" max="13569" width="29.125" style="3062" customWidth="1"/>
    <col min="13570" max="13570" width="6.25" style="3062" customWidth="1"/>
    <col min="13571" max="13571" width="11.75" style="3062" customWidth="1"/>
    <col min="13572" max="13572" width="10.875" style="3062" customWidth="1"/>
    <col min="13573" max="13573" width="10.625" style="3062" customWidth="1"/>
    <col min="13574" max="13574" width="10" style="3062" customWidth="1"/>
    <col min="13575" max="13575" width="7.875" style="3062" customWidth="1"/>
    <col min="13576" max="13576" width="19.5" style="3062" customWidth="1"/>
    <col min="13577" max="13577" width="5.375" style="3062" customWidth="1"/>
    <col min="13578" max="13579" width="9" style="3062" customWidth="1"/>
    <col min="13580" max="13580" width="8.375" style="3062" customWidth="1"/>
    <col min="13581" max="13581" width="7.5" style="3062" customWidth="1"/>
    <col min="13582" max="13582" width="14.375" style="3062" customWidth="1"/>
    <col min="13583" max="13583" width="6.25" style="3062" customWidth="1"/>
    <col min="13584" max="13584" width="27.75" style="3062" customWidth="1"/>
    <col min="13585" max="13585" width="7.875" style="3062" customWidth="1"/>
    <col min="13586" max="13824" width="9" style="3062"/>
    <col min="13825" max="13825" width="29.125" style="3062" customWidth="1"/>
    <col min="13826" max="13826" width="6.25" style="3062" customWidth="1"/>
    <col min="13827" max="13827" width="11.75" style="3062" customWidth="1"/>
    <col min="13828" max="13828" width="10.875" style="3062" customWidth="1"/>
    <col min="13829" max="13829" width="10.625" style="3062" customWidth="1"/>
    <col min="13830" max="13830" width="10" style="3062" customWidth="1"/>
    <col min="13831" max="13831" width="7.875" style="3062" customWidth="1"/>
    <col min="13832" max="13832" width="19.5" style="3062" customWidth="1"/>
    <col min="13833" max="13833" width="5.375" style="3062" customWidth="1"/>
    <col min="13834" max="13835" width="9" style="3062" customWidth="1"/>
    <col min="13836" max="13836" width="8.375" style="3062" customWidth="1"/>
    <col min="13837" max="13837" width="7.5" style="3062" customWidth="1"/>
    <col min="13838" max="13838" width="14.375" style="3062" customWidth="1"/>
    <col min="13839" max="13839" width="6.25" style="3062" customWidth="1"/>
    <col min="13840" max="13840" width="27.75" style="3062" customWidth="1"/>
    <col min="13841" max="13841" width="7.875" style="3062" customWidth="1"/>
    <col min="13842" max="14080" width="9" style="3062"/>
    <col min="14081" max="14081" width="29.125" style="3062" customWidth="1"/>
    <col min="14082" max="14082" width="6.25" style="3062" customWidth="1"/>
    <col min="14083" max="14083" width="11.75" style="3062" customWidth="1"/>
    <col min="14084" max="14084" width="10.875" style="3062" customWidth="1"/>
    <col min="14085" max="14085" width="10.625" style="3062" customWidth="1"/>
    <col min="14086" max="14086" width="10" style="3062" customWidth="1"/>
    <col min="14087" max="14087" width="7.875" style="3062" customWidth="1"/>
    <col min="14088" max="14088" width="19.5" style="3062" customWidth="1"/>
    <col min="14089" max="14089" width="5.375" style="3062" customWidth="1"/>
    <col min="14090" max="14091" width="9" style="3062" customWidth="1"/>
    <col min="14092" max="14092" width="8.375" style="3062" customWidth="1"/>
    <col min="14093" max="14093" width="7.5" style="3062" customWidth="1"/>
    <col min="14094" max="14094" width="14.375" style="3062" customWidth="1"/>
    <col min="14095" max="14095" width="6.25" style="3062" customWidth="1"/>
    <col min="14096" max="14096" width="27.75" style="3062" customWidth="1"/>
    <col min="14097" max="14097" width="7.875" style="3062" customWidth="1"/>
    <col min="14098" max="14336" width="9" style="3062"/>
    <col min="14337" max="14337" width="29.125" style="3062" customWidth="1"/>
    <col min="14338" max="14338" width="6.25" style="3062" customWidth="1"/>
    <col min="14339" max="14339" width="11.75" style="3062" customWidth="1"/>
    <col min="14340" max="14340" width="10.875" style="3062" customWidth="1"/>
    <col min="14341" max="14341" width="10.625" style="3062" customWidth="1"/>
    <col min="14342" max="14342" width="10" style="3062" customWidth="1"/>
    <col min="14343" max="14343" width="7.875" style="3062" customWidth="1"/>
    <col min="14344" max="14344" width="19.5" style="3062" customWidth="1"/>
    <col min="14345" max="14345" width="5.375" style="3062" customWidth="1"/>
    <col min="14346" max="14347" width="9" style="3062" customWidth="1"/>
    <col min="14348" max="14348" width="8.375" style="3062" customWidth="1"/>
    <col min="14349" max="14349" width="7.5" style="3062" customWidth="1"/>
    <col min="14350" max="14350" width="14.375" style="3062" customWidth="1"/>
    <col min="14351" max="14351" width="6.25" style="3062" customWidth="1"/>
    <col min="14352" max="14352" width="27.75" style="3062" customWidth="1"/>
    <col min="14353" max="14353" width="7.875" style="3062" customWidth="1"/>
    <col min="14354" max="14592" width="9" style="3062"/>
    <col min="14593" max="14593" width="29.125" style="3062" customWidth="1"/>
    <col min="14594" max="14594" width="6.25" style="3062" customWidth="1"/>
    <col min="14595" max="14595" width="11.75" style="3062" customWidth="1"/>
    <col min="14596" max="14596" width="10.875" style="3062" customWidth="1"/>
    <col min="14597" max="14597" width="10.625" style="3062" customWidth="1"/>
    <col min="14598" max="14598" width="10" style="3062" customWidth="1"/>
    <col min="14599" max="14599" width="7.875" style="3062" customWidth="1"/>
    <col min="14600" max="14600" width="19.5" style="3062" customWidth="1"/>
    <col min="14601" max="14601" width="5.375" style="3062" customWidth="1"/>
    <col min="14602" max="14603" width="9" style="3062" customWidth="1"/>
    <col min="14604" max="14604" width="8.375" style="3062" customWidth="1"/>
    <col min="14605" max="14605" width="7.5" style="3062" customWidth="1"/>
    <col min="14606" max="14606" width="14.375" style="3062" customWidth="1"/>
    <col min="14607" max="14607" width="6.25" style="3062" customWidth="1"/>
    <col min="14608" max="14608" width="27.75" style="3062" customWidth="1"/>
    <col min="14609" max="14609" width="7.875" style="3062" customWidth="1"/>
    <col min="14610" max="14848" width="9" style="3062"/>
    <col min="14849" max="14849" width="29.125" style="3062" customWidth="1"/>
    <col min="14850" max="14850" width="6.25" style="3062" customWidth="1"/>
    <col min="14851" max="14851" width="11.75" style="3062" customWidth="1"/>
    <col min="14852" max="14852" width="10.875" style="3062" customWidth="1"/>
    <col min="14853" max="14853" width="10.625" style="3062" customWidth="1"/>
    <col min="14854" max="14854" width="10" style="3062" customWidth="1"/>
    <col min="14855" max="14855" width="7.875" style="3062" customWidth="1"/>
    <col min="14856" max="14856" width="19.5" style="3062" customWidth="1"/>
    <col min="14857" max="14857" width="5.375" style="3062" customWidth="1"/>
    <col min="14858" max="14859" width="9" style="3062" customWidth="1"/>
    <col min="14860" max="14860" width="8.375" style="3062" customWidth="1"/>
    <col min="14861" max="14861" width="7.5" style="3062" customWidth="1"/>
    <col min="14862" max="14862" width="14.375" style="3062" customWidth="1"/>
    <col min="14863" max="14863" width="6.25" style="3062" customWidth="1"/>
    <col min="14864" max="14864" width="27.75" style="3062" customWidth="1"/>
    <col min="14865" max="14865" width="7.875" style="3062" customWidth="1"/>
    <col min="14866" max="15104" width="9" style="3062"/>
    <col min="15105" max="15105" width="29.125" style="3062" customWidth="1"/>
    <col min="15106" max="15106" width="6.25" style="3062" customWidth="1"/>
    <col min="15107" max="15107" width="11.75" style="3062" customWidth="1"/>
    <col min="15108" max="15108" width="10.875" style="3062" customWidth="1"/>
    <col min="15109" max="15109" width="10.625" style="3062" customWidth="1"/>
    <col min="15110" max="15110" width="10" style="3062" customWidth="1"/>
    <col min="15111" max="15111" width="7.875" style="3062" customWidth="1"/>
    <col min="15112" max="15112" width="19.5" style="3062" customWidth="1"/>
    <col min="15113" max="15113" width="5.375" style="3062" customWidth="1"/>
    <col min="15114" max="15115" width="9" style="3062" customWidth="1"/>
    <col min="15116" max="15116" width="8.375" style="3062" customWidth="1"/>
    <col min="15117" max="15117" width="7.5" style="3062" customWidth="1"/>
    <col min="15118" max="15118" width="14.375" style="3062" customWidth="1"/>
    <col min="15119" max="15119" width="6.25" style="3062" customWidth="1"/>
    <col min="15120" max="15120" width="27.75" style="3062" customWidth="1"/>
    <col min="15121" max="15121" width="7.875" style="3062" customWidth="1"/>
    <col min="15122" max="15360" width="9" style="3062"/>
    <col min="15361" max="15361" width="29.125" style="3062" customWidth="1"/>
    <col min="15362" max="15362" width="6.25" style="3062" customWidth="1"/>
    <col min="15363" max="15363" width="11.75" style="3062" customWidth="1"/>
    <col min="15364" max="15364" width="10.875" style="3062" customWidth="1"/>
    <col min="15365" max="15365" width="10.625" style="3062" customWidth="1"/>
    <col min="15366" max="15366" width="10" style="3062" customWidth="1"/>
    <col min="15367" max="15367" width="7.875" style="3062" customWidth="1"/>
    <col min="15368" max="15368" width="19.5" style="3062" customWidth="1"/>
    <col min="15369" max="15369" width="5.375" style="3062" customWidth="1"/>
    <col min="15370" max="15371" width="9" style="3062" customWidth="1"/>
    <col min="15372" max="15372" width="8.375" style="3062" customWidth="1"/>
    <col min="15373" max="15373" width="7.5" style="3062" customWidth="1"/>
    <col min="15374" max="15374" width="14.375" style="3062" customWidth="1"/>
    <col min="15375" max="15375" width="6.25" style="3062" customWidth="1"/>
    <col min="15376" max="15376" width="27.75" style="3062" customWidth="1"/>
    <col min="15377" max="15377" width="7.875" style="3062" customWidth="1"/>
    <col min="15378" max="15616" width="9" style="3062"/>
    <col min="15617" max="15617" width="29.125" style="3062" customWidth="1"/>
    <col min="15618" max="15618" width="6.25" style="3062" customWidth="1"/>
    <col min="15619" max="15619" width="11.75" style="3062" customWidth="1"/>
    <col min="15620" max="15620" width="10.875" style="3062" customWidth="1"/>
    <col min="15621" max="15621" width="10.625" style="3062" customWidth="1"/>
    <col min="15622" max="15622" width="10" style="3062" customWidth="1"/>
    <col min="15623" max="15623" width="7.875" style="3062" customWidth="1"/>
    <col min="15624" max="15624" width="19.5" style="3062" customWidth="1"/>
    <col min="15625" max="15625" width="5.375" style="3062" customWidth="1"/>
    <col min="15626" max="15627" width="9" style="3062" customWidth="1"/>
    <col min="15628" max="15628" width="8.375" style="3062" customWidth="1"/>
    <col min="15629" max="15629" width="7.5" style="3062" customWidth="1"/>
    <col min="15630" max="15630" width="14.375" style="3062" customWidth="1"/>
    <col min="15631" max="15631" width="6.25" style="3062" customWidth="1"/>
    <col min="15632" max="15632" width="27.75" style="3062" customWidth="1"/>
    <col min="15633" max="15633" width="7.875" style="3062" customWidth="1"/>
    <col min="15634" max="15872" width="9" style="3062"/>
    <col min="15873" max="15873" width="29.125" style="3062" customWidth="1"/>
    <col min="15874" max="15874" width="6.25" style="3062" customWidth="1"/>
    <col min="15875" max="15875" width="11.75" style="3062" customWidth="1"/>
    <col min="15876" max="15876" width="10.875" style="3062" customWidth="1"/>
    <col min="15877" max="15877" width="10.625" style="3062" customWidth="1"/>
    <col min="15878" max="15878" width="10" style="3062" customWidth="1"/>
    <col min="15879" max="15879" width="7.875" style="3062" customWidth="1"/>
    <col min="15880" max="15880" width="19.5" style="3062" customWidth="1"/>
    <col min="15881" max="15881" width="5.375" style="3062" customWidth="1"/>
    <col min="15882" max="15883" width="9" style="3062" customWidth="1"/>
    <col min="15884" max="15884" width="8.375" style="3062" customWidth="1"/>
    <col min="15885" max="15885" width="7.5" style="3062" customWidth="1"/>
    <col min="15886" max="15886" width="14.375" style="3062" customWidth="1"/>
    <col min="15887" max="15887" width="6.25" style="3062" customWidth="1"/>
    <col min="15888" max="15888" width="27.75" style="3062" customWidth="1"/>
    <col min="15889" max="15889" width="7.875" style="3062" customWidth="1"/>
    <col min="15890" max="16128" width="9" style="3062"/>
    <col min="16129" max="16129" width="29.125" style="3062" customWidth="1"/>
    <col min="16130" max="16130" width="6.25" style="3062" customWidth="1"/>
    <col min="16131" max="16131" width="11.75" style="3062" customWidth="1"/>
    <col min="16132" max="16132" width="10.875" style="3062" customWidth="1"/>
    <col min="16133" max="16133" width="10.625" style="3062" customWidth="1"/>
    <col min="16134" max="16134" width="10" style="3062" customWidth="1"/>
    <col min="16135" max="16135" width="7.875" style="3062" customWidth="1"/>
    <col min="16136" max="16136" width="19.5" style="3062" customWidth="1"/>
    <col min="16137" max="16137" width="5.375" style="3062" customWidth="1"/>
    <col min="16138" max="16139" width="9" style="3062" customWidth="1"/>
    <col min="16140" max="16140" width="8.375" style="3062" customWidth="1"/>
    <col min="16141" max="16141" width="7.5" style="3062" customWidth="1"/>
    <col min="16142" max="16142" width="14.375" style="3062" customWidth="1"/>
    <col min="16143" max="16143" width="6.25" style="3062" customWidth="1"/>
    <col min="16144" max="16144" width="27.75" style="3062" customWidth="1"/>
    <col min="16145" max="16145" width="7.875" style="3062" customWidth="1"/>
    <col min="16146" max="16384" width="9" style="3062"/>
  </cols>
  <sheetData>
    <row r="1" spans="1:17">
      <c r="A1" s="3062" t="s">
        <v>3113</v>
      </c>
      <c r="B1" s="3062" t="s">
        <v>3114</v>
      </c>
      <c r="C1" s="3062" t="s">
        <v>3115</v>
      </c>
      <c r="D1" s="3062" t="s">
        <v>3116</v>
      </c>
      <c r="E1" s="3062" t="s">
        <v>3117</v>
      </c>
      <c r="F1" s="3062" t="s">
        <v>3118</v>
      </c>
      <c r="G1" s="3062" t="s">
        <v>3119</v>
      </c>
      <c r="H1" s="3062" t="s">
        <v>3120</v>
      </c>
      <c r="I1" s="3062" t="s">
        <v>3121</v>
      </c>
      <c r="J1" s="3062" t="s">
        <v>3122</v>
      </c>
      <c r="K1" s="3062" t="s">
        <v>3123</v>
      </c>
      <c r="L1" s="3062" t="s">
        <v>3124</v>
      </c>
      <c r="M1" s="3062" t="s">
        <v>3125</v>
      </c>
      <c r="N1" s="3062" t="s">
        <v>3126</v>
      </c>
      <c r="O1" s="3062" t="s">
        <v>3127</v>
      </c>
      <c r="P1" s="3062" t="s">
        <v>3128</v>
      </c>
      <c r="Q1" s="3062" t="s">
        <v>3129</v>
      </c>
    </row>
    <row r="2" spans="1:17" s="3063" customFormat="1">
      <c r="A2" s="3063" t="s">
        <v>3130</v>
      </c>
      <c r="B2" s="3063" t="s">
        <v>3131</v>
      </c>
      <c r="C2" s="3063" t="s">
        <v>3132</v>
      </c>
      <c r="D2" s="3063">
        <v>24472.3</v>
      </c>
      <c r="E2" s="3063">
        <v>36708.449999999997</v>
      </c>
      <c r="F2" s="3063" t="s">
        <v>3133</v>
      </c>
      <c r="G2" s="3063" t="s">
        <v>3134</v>
      </c>
      <c r="H2" s="3063" t="s">
        <v>3135</v>
      </c>
      <c r="I2" s="3063">
        <v>0</v>
      </c>
      <c r="J2" s="3063" t="s">
        <v>3136</v>
      </c>
      <c r="K2" s="3063" t="s">
        <v>3136</v>
      </c>
      <c r="L2" s="3063">
        <v>11590</v>
      </c>
      <c r="M2" s="3063">
        <v>11590</v>
      </c>
      <c r="N2" s="3063">
        <v>3157.3</v>
      </c>
      <c r="O2" s="3063">
        <v>0</v>
      </c>
      <c r="P2" s="3063" t="s">
        <v>3137</v>
      </c>
      <c r="Q2" s="3063" t="s">
        <v>3138</v>
      </c>
    </row>
    <row r="3" spans="1:17" s="3063" customFormat="1">
      <c r="A3" s="3063" t="s">
        <v>3139</v>
      </c>
      <c r="B3" s="3063" t="s">
        <v>3131</v>
      </c>
      <c r="C3" s="3063" t="s">
        <v>3132</v>
      </c>
      <c r="D3" s="3063">
        <v>113531</v>
      </c>
      <c r="E3" s="3063">
        <v>124884.1</v>
      </c>
      <c r="F3" s="3063" t="s">
        <v>3140</v>
      </c>
      <c r="G3" s="3063" t="s">
        <v>3134</v>
      </c>
      <c r="H3" s="3063" t="s">
        <v>3135</v>
      </c>
      <c r="I3" s="3063">
        <v>0</v>
      </c>
      <c r="J3" s="3063" t="s">
        <v>3141</v>
      </c>
      <c r="K3" s="3063" t="s">
        <v>3141</v>
      </c>
      <c r="L3" s="3063">
        <v>39090</v>
      </c>
      <c r="M3" s="3063">
        <v>39090</v>
      </c>
      <c r="N3" s="3063">
        <v>3130.09</v>
      </c>
      <c r="O3" s="3063">
        <v>0</v>
      </c>
      <c r="P3" s="3063" t="s">
        <v>3142</v>
      </c>
      <c r="Q3" s="3063" t="s">
        <v>3138</v>
      </c>
    </row>
    <row r="4" spans="1:17">
      <c r="A4" s="3062" t="s">
        <v>3143</v>
      </c>
      <c r="B4" s="3062" t="s">
        <v>3131</v>
      </c>
      <c r="C4" s="3062" t="s">
        <v>3132</v>
      </c>
      <c r="D4" s="3062">
        <v>5791.1</v>
      </c>
      <c r="E4" s="3062">
        <v>5791.1</v>
      </c>
      <c r="F4" s="3062" t="s">
        <v>3144</v>
      </c>
      <c r="G4" s="3062" t="s">
        <v>3134</v>
      </c>
      <c r="H4" s="3062" t="s">
        <v>3145</v>
      </c>
      <c r="I4" s="3062">
        <v>0</v>
      </c>
      <c r="J4" s="3062" t="s">
        <v>3146</v>
      </c>
      <c r="K4" s="3062" t="s">
        <v>3146</v>
      </c>
      <c r="L4" s="3062">
        <v>1057</v>
      </c>
      <c r="M4" s="3062">
        <v>1057</v>
      </c>
      <c r="N4" s="3062">
        <v>1825.21</v>
      </c>
      <c r="O4" s="3062">
        <v>0</v>
      </c>
      <c r="P4" s="3062" t="s">
        <v>3147</v>
      </c>
      <c r="Q4" s="3062" t="s">
        <v>3148</v>
      </c>
    </row>
    <row r="5" spans="1:17">
      <c r="A5" s="3062" t="s">
        <v>3149</v>
      </c>
      <c r="B5" s="3062" t="s">
        <v>3131</v>
      </c>
      <c r="C5" s="3062" t="s">
        <v>3132</v>
      </c>
      <c r="D5" s="3062">
        <v>10359.1</v>
      </c>
      <c r="E5" s="3062">
        <v>10359.1</v>
      </c>
      <c r="F5" s="3062" t="s">
        <v>3144</v>
      </c>
      <c r="G5" s="3062" t="s">
        <v>3134</v>
      </c>
      <c r="H5" s="3062" t="s">
        <v>3145</v>
      </c>
      <c r="I5" s="3062">
        <v>0</v>
      </c>
      <c r="J5" s="3062" t="s">
        <v>3146</v>
      </c>
      <c r="K5" s="3062" t="s">
        <v>3146</v>
      </c>
      <c r="L5" s="3062">
        <v>1891</v>
      </c>
      <c r="M5" s="3062">
        <v>1891</v>
      </c>
      <c r="N5" s="3062">
        <v>1825.45</v>
      </c>
      <c r="O5" s="3062">
        <v>0</v>
      </c>
      <c r="P5" s="3062" t="s">
        <v>3150</v>
      </c>
      <c r="Q5" s="3062" t="s">
        <v>3151</v>
      </c>
    </row>
    <row r="6" spans="1:17">
      <c r="A6" s="3062" t="s">
        <v>3152</v>
      </c>
      <c r="B6" s="3062" t="s">
        <v>3131</v>
      </c>
      <c r="C6" s="3062" t="s">
        <v>3132</v>
      </c>
      <c r="D6" s="3062">
        <v>1559.8</v>
      </c>
      <c r="E6" s="3062">
        <v>857.89</v>
      </c>
      <c r="F6" s="3062" t="s">
        <v>3153</v>
      </c>
      <c r="G6" s="3062" t="s">
        <v>3134</v>
      </c>
      <c r="H6" s="3062" t="s">
        <v>3154</v>
      </c>
      <c r="I6" s="3062">
        <v>0</v>
      </c>
      <c r="J6" s="3062" t="s">
        <v>3146</v>
      </c>
      <c r="K6" s="3062" t="s">
        <v>3146</v>
      </c>
      <c r="L6" s="3062">
        <v>683</v>
      </c>
      <c r="M6" s="3062">
        <v>683</v>
      </c>
      <c r="N6" s="3062">
        <v>7961.39</v>
      </c>
      <c r="O6" s="3062">
        <v>0</v>
      </c>
      <c r="P6" s="3062" t="s">
        <v>3155</v>
      </c>
      <c r="Q6" s="3062" t="s">
        <v>3138</v>
      </c>
    </row>
    <row r="7" spans="1:17" s="3067" customFormat="1">
      <c r="A7" s="3067" t="s">
        <v>3156</v>
      </c>
      <c r="B7" s="3067" t="s">
        <v>3131</v>
      </c>
      <c r="C7" s="3067" t="s">
        <v>3132</v>
      </c>
      <c r="D7" s="3067">
        <v>15161</v>
      </c>
      <c r="E7" s="3067">
        <v>56095.7</v>
      </c>
      <c r="F7" s="3067" t="s">
        <v>3157</v>
      </c>
      <c r="G7" s="3067" t="s">
        <v>3134</v>
      </c>
      <c r="H7" s="3067" t="s">
        <v>3158</v>
      </c>
      <c r="I7" s="3067">
        <v>0</v>
      </c>
      <c r="J7" s="3067" t="s">
        <v>3159</v>
      </c>
      <c r="K7" s="3067" t="s">
        <v>3159</v>
      </c>
      <c r="L7" s="3067">
        <v>7590</v>
      </c>
      <c r="M7" s="3067">
        <v>7590</v>
      </c>
      <c r="N7" s="3067">
        <v>1353.03</v>
      </c>
      <c r="O7" s="3067">
        <v>0</v>
      </c>
      <c r="P7" s="3067" t="s">
        <v>3160</v>
      </c>
      <c r="Q7" s="3067" t="s">
        <v>3138</v>
      </c>
    </row>
    <row r="8" spans="1:17" s="3067" customFormat="1">
      <c r="A8" s="3067" t="s">
        <v>3156</v>
      </c>
      <c r="B8" s="3067" t="s">
        <v>3131</v>
      </c>
      <c r="C8" s="3067" t="s">
        <v>3132</v>
      </c>
      <c r="D8" s="3067">
        <v>13506.4</v>
      </c>
      <c r="E8" s="3067">
        <v>47272.4</v>
      </c>
      <c r="F8" s="3067" t="s">
        <v>3161</v>
      </c>
      <c r="G8" s="3067" t="s">
        <v>3134</v>
      </c>
      <c r="H8" s="3067" t="s">
        <v>3158</v>
      </c>
      <c r="I8" s="3067">
        <v>0</v>
      </c>
      <c r="J8" s="3067" t="s">
        <v>3159</v>
      </c>
      <c r="K8" s="3067" t="s">
        <v>3159</v>
      </c>
      <c r="L8" s="3067">
        <v>6390</v>
      </c>
      <c r="M8" s="3067">
        <v>6390</v>
      </c>
      <c r="N8" s="3067">
        <v>1351.74</v>
      </c>
      <c r="O8" s="3067">
        <v>0</v>
      </c>
      <c r="P8" s="3067" t="s">
        <v>3162</v>
      </c>
      <c r="Q8" s="3067" t="s">
        <v>3138</v>
      </c>
    </row>
    <row r="9" spans="1:17" s="3067" customFormat="1">
      <c r="A9" s="3067" t="s">
        <v>3163</v>
      </c>
      <c r="B9" s="3067" t="s">
        <v>3131</v>
      </c>
      <c r="C9" s="3067" t="s">
        <v>3132</v>
      </c>
      <c r="D9" s="3067">
        <v>55651.8</v>
      </c>
      <c r="E9" s="3067">
        <v>155268.51999999999</v>
      </c>
      <c r="F9" s="3067" t="s">
        <v>3164</v>
      </c>
      <c r="G9" s="3067" t="s">
        <v>3134</v>
      </c>
      <c r="H9" s="3067" t="s">
        <v>3165</v>
      </c>
      <c r="I9" s="3067">
        <v>0</v>
      </c>
      <c r="J9" s="3067" t="s">
        <v>3166</v>
      </c>
      <c r="K9" s="3067" t="s">
        <v>3166</v>
      </c>
      <c r="L9" s="3067">
        <v>16729</v>
      </c>
      <c r="M9" s="3067">
        <v>16729</v>
      </c>
      <c r="N9" s="3067">
        <v>1077.42</v>
      </c>
      <c r="O9" s="3067">
        <v>0</v>
      </c>
      <c r="P9" s="3067" t="s">
        <v>3167</v>
      </c>
      <c r="Q9" s="3067" t="s">
        <v>3168</v>
      </c>
    </row>
    <row r="10" spans="1:17" s="3067" customFormat="1">
      <c r="A10" s="3067" t="s">
        <v>3169</v>
      </c>
      <c r="B10" s="3067" t="s">
        <v>3131</v>
      </c>
      <c r="C10" s="3067" t="s">
        <v>3132</v>
      </c>
      <c r="D10" s="3067">
        <v>99806.5</v>
      </c>
      <c r="E10" s="3067">
        <v>149709.79999999999</v>
      </c>
      <c r="F10" s="3067" t="s">
        <v>3133</v>
      </c>
      <c r="G10" s="3067" t="s">
        <v>3134</v>
      </c>
      <c r="H10" s="3067" t="s">
        <v>3170</v>
      </c>
      <c r="I10" s="3067">
        <v>0</v>
      </c>
      <c r="J10" s="3067" t="s">
        <v>3171</v>
      </c>
      <c r="K10" s="3067" t="s">
        <v>3171</v>
      </c>
      <c r="L10" s="3067">
        <v>21500</v>
      </c>
      <c r="M10" s="3067">
        <v>21500</v>
      </c>
      <c r="N10" s="3067">
        <v>1436.1</v>
      </c>
      <c r="O10" s="3067">
        <v>0</v>
      </c>
      <c r="P10" s="3067" t="s">
        <v>3172</v>
      </c>
      <c r="Q10" s="3067" t="s">
        <v>3168</v>
      </c>
    </row>
    <row r="11" spans="1:17" s="3063" customFormat="1">
      <c r="A11" s="3063" t="s">
        <v>3173</v>
      </c>
      <c r="B11" s="3063" t="s">
        <v>3131</v>
      </c>
      <c r="C11" s="3063" t="s">
        <v>3132</v>
      </c>
      <c r="D11" s="3063">
        <v>6273.1</v>
      </c>
      <c r="E11" s="3063">
        <v>4391.17</v>
      </c>
      <c r="F11" s="3063" t="s">
        <v>3174</v>
      </c>
      <c r="G11" s="3063" t="s">
        <v>3134</v>
      </c>
      <c r="H11" s="3063" t="s">
        <v>3170</v>
      </c>
      <c r="I11" s="3063">
        <v>0</v>
      </c>
      <c r="J11" s="3063" t="s">
        <v>3175</v>
      </c>
      <c r="K11" s="3063" t="s">
        <v>3175</v>
      </c>
      <c r="L11" s="3063">
        <v>2431</v>
      </c>
      <c r="M11" s="3063">
        <v>2431</v>
      </c>
      <c r="N11" s="3063">
        <v>5536.1</v>
      </c>
      <c r="O11" s="3063">
        <v>0</v>
      </c>
      <c r="P11" s="3063" t="s">
        <v>3176</v>
      </c>
      <c r="Q11" s="3063" t="s">
        <v>3138</v>
      </c>
    </row>
    <row r="12" spans="1:17">
      <c r="A12" s="3062" t="s">
        <v>3177</v>
      </c>
      <c r="B12" s="3062" t="s">
        <v>3131</v>
      </c>
      <c r="C12" s="3062" t="s">
        <v>3132</v>
      </c>
      <c r="D12" s="3062">
        <v>12725</v>
      </c>
      <c r="E12" s="3062">
        <v>17815</v>
      </c>
      <c r="F12" s="3062" t="s">
        <v>3178</v>
      </c>
      <c r="G12" s="3062" t="s">
        <v>3134</v>
      </c>
      <c r="H12" s="3062" t="s">
        <v>3170</v>
      </c>
      <c r="I12" s="3062">
        <v>0</v>
      </c>
      <c r="J12" s="3062" t="s">
        <v>3179</v>
      </c>
      <c r="K12" s="3062" t="s">
        <v>3179</v>
      </c>
      <c r="L12" s="3062">
        <v>1050</v>
      </c>
      <c r="M12" s="3062">
        <v>1050</v>
      </c>
      <c r="N12" s="3062">
        <v>589.38</v>
      </c>
      <c r="O12" s="3062">
        <v>0</v>
      </c>
      <c r="P12" s="3062" t="s">
        <v>3180</v>
      </c>
      <c r="Q12" s="3062" t="s">
        <v>3138</v>
      </c>
    </row>
    <row r="13" spans="1:17">
      <c r="A13" s="3062" t="s">
        <v>3181</v>
      </c>
      <c r="B13" s="3062" t="s">
        <v>3131</v>
      </c>
      <c r="C13" s="3062" t="s">
        <v>3132</v>
      </c>
      <c r="D13" s="3062">
        <v>8154.3</v>
      </c>
      <c r="E13" s="3062">
        <v>6523.44</v>
      </c>
      <c r="F13" s="3062" t="s">
        <v>3182</v>
      </c>
      <c r="G13" s="3062" t="s">
        <v>3134</v>
      </c>
      <c r="H13" s="3062" t="s">
        <v>1336</v>
      </c>
      <c r="I13" s="3062">
        <v>0</v>
      </c>
      <c r="J13" s="3062" t="s">
        <v>3183</v>
      </c>
      <c r="K13" s="3062" t="s">
        <v>3183</v>
      </c>
      <c r="L13" s="3062">
        <v>1400</v>
      </c>
      <c r="M13" s="3062">
        <v>1400</v>
      </c>
      <c r="N13" s="3062">
        <v>2146.11</v>
      </c>
      <c r="O13" s="3062">
        <v>0</v>
      </c>
      <c r="P13" s="3062" t="s">
        <v>3184</v>
      </c>
      <c r="Q13" s="3062" t="s">
        <v>3148</v>
      </c>
    </row>
    <row r="14" spans="1:17">
      <c r="A14" s="3062" t="s">
        <v>3185</v>
      </c>
      <c r="B14" s="3062" t="s">
        <v>3131</v>
      </c>
      <c r="C14" s="3062" t="s">
        <v>3132</v>
      </c>
      <c r="D14" s="3062">
        <v>12958.9</v>
      </c>
      <c r="E14" s="3062">
        <v>19438.349999999999</v>
      </c>
      <c r="F14" s="3062" t="s">
        <v>3186</v>
      </c>
      <c r="G14" s="3062" t="s">
        <v>3134</v>
      </c>
      <c r="H14" s="3062" t="s">
        <v>1336</v>
      </c>
      <c r="I14" s="3062">
        <v>0</v>
      </c>
      <c r="J14" s="3062" t="s">
        <v>3187</v>
      </c>
      <c r="K14" s="3062" t="s">
        <v>3187</v>
      </c>
      <c r="L14" s="3062">
        <v>2750</v>
      </c>
      <c r="M14" s="3062">
        <v>2750</v>
      </c>
      <c r="N14" s="3062">
        <v>1414.73</v>
      </c>
      <c r="O14" s="3062">
        <v>0</v>
      </c>
      <c r="P14" s="3062" t="s">
        <v>3188</v>
      </c>
      <c r="Q14" s="3062" t="s">
        <v>3148</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1547</v>
      </c>
      <c r="B1" s="722"/>
      <c r="C1" s="1562" t="s">
        <v>3108</v>
      </c>
      <c r="D1" s="1545" t="s">
        <v>70</v>
      </c>
      <c r="E1" s="1546" t="s">
        <v>1345</v>
      </c>
      <c r="F1" s="1193">
        <f ca="1">J53</f>
        <v>34.18</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1473</v>
      </c>
      <c r="B2" s="1569">
        <f ca="1">C40+J29+L46</f>
        <v>37067</v>
      </c>
      <c r="C2" s="1570" t="s">
        <v>1474</v>
      </c>
      <c r="D2" s="1570"/>
      <c r="E2" s="1571"/>
      <c r="F2" s="1572"/>
      <c r="G2" s="2933"/>
      <c r="H2" s="2922"/>
      <c r="I2" s="2922"/>
      <c r="J2" s="2922"/>
      <c r="K2" s="2923"/>
      <c r="L2" s="2922"/>
      <c r="M2" s="2922"/>
    </row>
    <row r="3" spans="1:37" ht="18" customHeight="1" thickBot="1">
      <c r="A3" s="1573" t="s">
        <v>1475</v>
      </c>
      <c r="B3" s="1574">
        <f ca="1">IF(ISERROR(B2*10000/F43),0,ROUND(B2*10000/F43,0))</f>
        <v>9509</v>
      </c>
      <c r="C3" s="1570" t="s">
        <v>1476</v>
      </c>
      <c r="D3" s="1570"/>
      <c r="E3" s="1571"/>
      <c r="F3" s="1572"/>
      <c r="G3" s="2933"/>
      <c r="H3" s="692" t="s">
        <v>1546</v>
      </c>
      <c r="I3" s="1565"/>
      <c r="J3" s="1565"/>
      <c r="K3" s="1566"/>
      <c r="L3" s="1565"/>
      <c r="M3" s="1565"/>
    </row>
    <row r="4" spans="1:37" ht="18" customHeight="1">
      <c r="A4" s="301" t="s">
        <v>1354</v>
      </c>
      <c r="B4" s="302" t="s">
        <v>1355</v>
      </c>
      <c r="C4" s="302" t="s">
        <v>1356</v>
      </c>
      <c r="D4" s="302" t="s">
        <v>1357</v>
      </c>
      <c r="E4" s="303" t="s">
        <v>1358</v>
      </c>
      <c r="F4" s="304"/>
      <c r="G4" s="1567"/>
      <c r="H4" s="301" t="s">
        <v>1354</v>
      </c>
      <c r="I4" s="302" t="s">
        <v>1355</v>
      </c>
      <c r="J4" s="302" t="s">
        <v>1356</v>
      </c>
      <c r="K4" s="302" t="s">
        <v>1357</v>
      </c>
      <c r="L4" s="303" t="s">
        <v>1358</v>
      </c>
      <c r="M4" s="304"/>
    </row>
    <row r="5" spans="1:37" ht="18" customHeight="1">
      <c r="A5" s="305">
        <v>1</v>
      </c>
      <c r="B5" s="306" t="s">
        <v>1359</v>
      </c>
      <c r="C5" s="1202">
        <f ca="1">C6+C10+C12</f>
        <v>2970</v>
      </c>
      <c r="D5" s="1547" t="s">
        <v>1360</v>
      </c>
      <c r="E5" s="1203"/>
      <c r="F5" s="1204"/>
      <c r="G5" s="1567"/>
      <c r="H5" s="305">
        <v>1</v>
      </c>
      <c r="I5" s="306" t="s">
        <v>1359</v>
      </c>
      <c r="J5" s="1202">
        <f ca="1">J6+J10+J12</f>
        <v>0</v>
      </c>
      <c r="K5" s="1547" t="s">
        <v>1360</v>
      </c>
      <c r="L5" s="1203"/>
      <c r="M5" s="1204"/>
    </row>
    <row r="6" spans="1:37" ht="18" customHeight="1">
      <c r="A6" s="1201" t="s">
        <v>1003</v>
      </c>
      <c r="B6" s="3311" t="s">
        <v>1361</v>
      </c>
      <c r="C6" s="1206">
        <f ca="1">ROUND(F6*F8*F7*(1-F9)/10000,0)</f>
        <v>2970</v>
      </c>
      <c r="D6" s="160" t="s">
        <v>2844</v>
      </c>
      <c r="E6" s="308" t="s">
        <v>1363</v>
      </c>
      <c r="F6" s="309">
        <f ca="1">INDIRECT("'数据-取费表'!u"&amp;$G$1)</f>
        <v>29700000</v>
      </c>
      <c r="G6" s="1567"/>
      <c r="H6" s="1201" t="s">
        <v>1003</v>
      </c>
      <c r="I6" s="3311" t="s">
        <v>1361</v>
      </c>
      <c r="J6" s="307">
        <f ca="1">ROUND(M6*M8*M7*(1-M9)/10000,0)</f>
        <v>0</v>
      </c>
      <c r="K6" s="160" t="s">
        <v>2843</v>
      </c>
      <c r="L6" s="308" t="s">
        <v>1363</v>
      </c>
      <c r="M6" s="309">
        <f ca="1">INDIRECT("'数据-取费表'!z"&amp;$G$1)</f>
        <v>0</v>
      </c>
    </row>
    <row r="7" spans="1:37" ht="18" customHeight="1">
      <c r="A7" s="1205"/>
      <c r="B7" s="3312"/>
      <c r="C7" s="1207"/>
      <c r="D7" s="313"/>
      <c r="E7" s="1208" t="s">
        <v>1364</v>
      </c>
      <c r="F7" s="309">
        <f ca="1">IF(INDIRECT("'数据-取费表'!ah"&amp;$G$1)="",INDIRECT("'数据-取费表'!k"&amp;$G$1),INDIRECT("'数据-取费表'!ah"&amp;$G$1))</f>
        <v>1</v>
      </c>
      <c r="G7" s="1567"/>
      <c r="H7" s="310"/>
      <c r="I7" s="3312"/>
      <c r="J7" s="312"/>
      <c r="K7" s="313"/>
      <c r="L7" s="308" t="s">
        <v>1364</v>
      </c>
      <c r="M7" s="309">
        <f ca="1">F7</f>
        <v>1</v>
      </c>
    </row>
    <row r="8" spans="1:37" ht="18" customHeight="1">
      <c r="A8" s="310"/>
      <c r="B8" s="3312"/>
      <c r="C8" s="312"/>
      <c r="D8" s="313"/>
      <c r="E8" s="308" t="s">
        <v>1365</v>
      </c>
      <c r="F8" s="309">
        <f ca="1">INDIRECT("'数据-取费表'!ai"&amp;$G$1)</f>
        <v>1</v>
      </c>
      <c r="G8" s="1567"/>
      <c r="H8" s="310"/>
      <c r="I8" s="3312"/>
      <c r="J8" s="312"/>
      <c r="K8" s="313"/>
      <c r="L8" s="308" t="s">
        <v>1365</v>
      </c>
      <c r="M8" s="309">
        <f ca="1">INDIRECT("'数据-取费表'!ai"&amp;$G$1)</f>
        <v>1</v>
      </c>
    </row>
    <row r="9" spans="1:37" ht="18" customHeight="1">
      <c r="A9" s="310"/>
      <c r="B9" s="3313"/>
      <c r="C9" s="312"/>
      <c r="D9" s="313"/>
      <c r="E9" s="308" t="s">
        <v>1366</v>
      </c>
      <c r="F9" s="318">
        <f ca="1">INDIRECT("'数据-取费表'!w"&amp;$G$1)</f>
        <v>0</v>
      </c>
      <c r="G9" s="1567"/>
      <c r="H9" s="310"/>
      <c r="I9" s="3313"/>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2852</v>
      </c>
      <c r="E10" s="319" t="s">
        <v>1368</v>
      </c>
      <c r="F10" s="1276" t="s">
        <v>3109</v>
      </c>
      <c r="G10" s="1567"/>
      <c r="H10" s="1201" t="s">
        <v>1007</v>
      </c>
      <c r="I10" s="1548" t="s">
        <v>1367</v>
      </c>
      <c r="J10" s="307">
        <f ca="1">ROUND(IF(M10="押一",J6/12*M11,IF(M10="押二",J6/12*2*M11,IF(M10="押三",J6/12*3*M11,J11*M11))),0)</f>
        <v>0</v>
      </c>
      <c r="K10" s="1549" t="s">
        <v>2851</v>
      </c>
      <c r="L10" s="319" t="s">
        <v>1368</v>
      </c>
      <c r="M10" s="1276" t="s">
        <v>1369</v>
      </c>
    </row>
    <row r="11" spans="1:37" ht="18" customHeight="1">
      <c r="A11" s="314"/>
      <c r="B11" s="1550" t="s">
        <v>1346</v>
      </c>
      <c r="C11" s="1090"/>
      <c r="D11" s="1551"/>
      <c r="E11" s="319" t="s">
        <v>1370</v>
      </c>
      <c r="F11" s="320">
        <f ca="1">'数据-取费表'!B39</f>
        <v>1.4999999999999999E-2</v>
      </c>
      <c r="G11" s="1567"/>
      <c r="H11" s="1209"/>
      <c r="I11" s="1550" t="s">
        <v>1346</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45361</v>
      </c>
      <c r="D13" s="1241" t="s">
        <v>1373</v>
      </c>
      <c r="E13" s="1241" t="s">
        <v>1374</v>
      </c>
      <c r="F13" s="1242">
        <f ca="1">INDIRECT("'数据-取费表'!y"&amp;$G$1)</f>
        <v>0.97</v>
      </c>
      <c r="G13" s="1567"/>
      <c r="H13" s="1239">
        <v>2</v>
      </c>
      <c r="I13" s="1240" t="s">
        <v>1372</v>
      </c>
      <c r="J13" s="1200">
        <f ca="1">ROUND(J14*J15,0)</f>
        <v>0</v>
      </c>
      <c r="K13" s="1247" t="s">
        <v>1373</v>
      </c>
      <c r="L13" s="1575"/>
      <c r="M13" s="1576"/>
    </row>
    <row r="14" spans="1:37" ht="18" customHeight="1">
      <c r="A14" s="1113" t="s">
        <v>1002</v>
      </c>
      <c r="B14" s="308" t="s">
        <v>1375</v>
      </c>
      <c r="C14" s="324">
        <f ca="1">INDIRECT("'数据-取费表'!m"&amp;$G$1)+INDIRECT("'数据-取费表'!t"&amp;$G$1)</f>
        <v>31185</v>
      </c>
      <c r="D14" s="1528" t="s">
        <v>1376</v>
      </c>
      <c r="E14" s="1525"/>
      <c r="F14" s="325"/>
      <c r="G14" s="1567"/>
      <c r="H14" s="1113" t="s">
        <v>1003</v>
      </c>
      <c r="I14" s="308" t="s">
        <v>1377</v>
      </c>
      <c r="J14" s="24">
        <f ca="1">C29</f>
        <v>46764</v>
      </c>
      <c r="K14" s="15"/>
      <c r="L14" s="916"/>
      <c r="M14" s="917"/>
    </row>
    <row r="15" spans="1:37" s="1580" customFormat="1" ht="18" customHeight="1" thickBot="1">
      <c r="A15" s="1113" t="s">
        <v>1004</v>
      </c>
      <c r="B15" s="308" t="s">
        <v>1378</v>
      </c>
      <c r="C15" s="24">
        <f ca="1">ROUND(C14*F15,0)</f>
        <v>936</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ROUND(INDIRECT("'数据-取费表'!m"&amp;$G$1)*F16,0)</f>
        <v>0</v>
      </c>
      <c r="D16" s="308" t="s">
        <v>1379</v>
      </c>
      <c r="E16" s="308" t="s">
        <v>1380</v>
      </c>
      <c r="F16" s="328">
        <f ca="1">IF(INDIRECT("'数据-取费表'!c"&amp;$G$1)="住宅",'数据-取费表'!B34,0)</f>
        <v>0</v>
      </c>
      <c r="G16" s="1567"/>
      <c r="H16" s="1239" t="s">
        <v>998</v>
      </c>
      <c r="I16" s="1240" t="s">
        <v>1382</v>
      </c>
      <c r="J16" s="316">
        <f ca="1">ROUND(J17+J22+J23+J24,0)</f>
        <v>1095</v>
      </c>
      <c r="K16" s="1247" t="s">
        <v>1383</v>
      </c>
      <c r="L16" s="1248"/>
      <c r="M16" s="1204"/>
    </row>
    <row r="17" spans="1:37" s="1580" customFormat="1" ht="18" customHeight="1">
      <c r="A17" s="1113" t="s">
        <v>1348</v>
      </c>
      <c r="B17" s="308" t="s">
        <v>1384</v>
      </c>
      <c r="C17" s="24">
        <f ca="1">ROUND(F17*(F43+INDIRECT("'数据-取费表'!S"&amp;$G$1))/10000,0)</f>
        <v>780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393</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468</v>
      </c>
      <c r="D18" s="308" t="s">
        <v>1379</v>
      </c>
      <c r="E18" s="308" t="s">
        <v>1380</v>
      </c>
      <c r="F18" s="328">
        <f>'数据-取费表'!B36</f>
        <v>1.4999999999999999E-2</v>
      </c>
      <c r="G18" s="1579"/>
      <c r="H18" s="1113" t="s">
        <v>1002</v>
      </c>
      <c r="I18" s="308" t="s">
        <v>1391</v>
      </c>
      <c r="J18" s="24">
        <f ca="1">ROUND(J6*M18/(1+'数据-取费表'!C42),2)</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33369</v>
      </c>
      <c r="D19" s="136" t="s">
        <v>1394</v>
      </c>
      <c r="E19" s="1543"/>
      <c r="F19" s="26"/>
      <c r="G19" s="1567"/>
      <c r="H19" s="1113" t="s">
        <v>1004</v>
      </c>
      <c r="I19" s="308" t="s">
        <v>1395</v>
      </c>
      <c r="J19" s="24">
        <f ca="1">IF(K19="按租金收入计税",ROUND(J6*M19/(1+'数据-取费表'!C42),2),ROUND(C29*M19*0.7,2))</f>
        <v>392.82</v>
      </c>
      <c r="K19" s="1553" t="s">
        <v>1396</v>
      </c>
      <c r="L19" s="308" t="s">
        <v>1380</v>
      </c>
      <c r="M19" s="328">
        <f>IF(K19="按租金收入计税",'数据-取费表'!B51,'数据-取费表'!B50)</f>
        <v>1.2E-2</v>
      </c>
    </row>
    <row r="20" spans="1:37" s="1580" customFormat="1" ht="18" customHeight="1">
      <c r="A20" s="1113" t="s">
        <v>1007</v>
      </c>
      <c r="B20" s="308" t="s">
        <v>1397</v>
      </c>
      <c r="C20" s="24">
        <f ca="1">ROUND(C19*F20,0)</f>
        <v>667</v>
      </c>
      <c r="D20" s="329" t="s">
        <v>1398</v>
      </c>
      <c r="E20" s="308" t="s">
        <v>1380</v>
      </c>
      <c r="F20" s="328">
        <f>'数据-取费表'!B37</f>
        <v>0.02</v>
      </c>
      <c r="G20" s="1579"/>
      <c r="H20" s="1113" t="s">
        <v>1347</v>
      </c>
      <c r="I20" s="160" t="s">
        <v>1399</v>
      </c>
      <c r="J20" s="25">
        <f ca="1">ROUND(M20*M21/10000,2)</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18</v>
      </c>
      <c r="D21" s="329" t="s">
        <v>1403</v>
      </c>
      <c r="E21" s="308" t="s">
        <v>1404</v>
      </c>
      <c r="F21" s="328">
        <f>'数据-取费表'!B38</f>
        <v>0.02</v>
      </c>
      <c r="G21" s="1579"/>
      <c r="H21" s="332"/>
      <c r="I21" s="317"/>
      <c r="J21" s="29"/>
      <c r="K21" s="333"/>
      <c r="L21" s="308" t="s">
        <v>1405</v>
      </c>
      <c r="M21" s="309">
        <f ca="1">INDIRECT("'数据-取费表'!r"&amp;$G$1)</f>
        <v>155390.20000000001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ROUND(J14*M22,1)</f>
        <v>701.5</v>
      </c>
      <c r="K22" s="1527" t="s">
        <v>1408</v>
      </c>
      <c r="L22" s="308" t="s">
        <v>1380</v>
      </c>
      <c r="M22" s="334">
        <f ca="1">INDIRECT("'数据-取费表'!Ak"&amp;$G$1)</f>
        <v>1.4999999999999999E-2</v>
      </c>
    </row>
    <row r="23" spans="1:37" s="1580" customFormat="1" ht="18" customHeight="1">
      <c r="A23" s="1113" t="s">
        <v>1002</v>
      </c>
      <c r="B23" s="308" t="s">
        <v>1409</v>
      </c>
      <c r="C23" s="24">
        <f ca="1">IF('数据-取费表'!B22&lt;=1,ROUND(C19*F24*F23/2,0)+ROUND(C20*F24*F23/2,0),ROUND(C19*(POWER((1+F24),F23/2)-1),0)+ROUND(C20*(POWER((1+F24),F23/2)-1),0))</f>
        <v>2245</v>
      </c>
      <c r="D23" s="335" t="str">
        <f>IF(F23&lt;=1,"(建造成本+管理费用)×利率×(建设周期÷2)","(建造成本+管理费用)×((1+利率)^(建设周期÷2)-1)")</f>
        <v>(建造成本+管理费用)×((1+利率)^(建设周期÷2)-1)</v>
      </c>
      <c r="E23" s="308" t="s">
        <v>1410</v>
      </c>
      <c r="F23" s="331">
        <f>'数据-取费表'!B20</f>
        <v>3</v>
      </c>
      <c r="G23" s="1579"/>
      <c r="H23" s="1113" t="s">
        <v>1043</v>
      </c>
      <c r="I23" s="308" t="s">
        <v>1411</v>
      </c>
      <c r="J23" s="24">
        <f ca="1">ROUND(J13*M23,1)</f>
        <v>0</v>
      </c>
      <c r="K23" s="1527" t="s">
        <v>1412</v>
      </c>
      <c r="L23" s="308" t="s">
        <v>1413</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1.2999999999999999E-3</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ROUND(J5*M24,1)</f>
        <v>0</v>
      </c>
      <c r="K24" s="1252" t="s">
        <v>1417</v>
      </c>
      <c r="L24" s="1250" t="s">
        <v>1413</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1418</v>
      </c>
      <c r="B25" s="308" t="s">
        <v>1419</v>
      </c>
      <c r="C25" s="24"/>
      <c r="D25" s="136" t="s">
        <v>1420</v>
      </c>
      <c r="E25" s="1543"/>
      <c r="F25" s="26"/>
      <c r="G25" s="1567"/>
      <c r="H25" s="1239" t="s">
        <v>999</v>
      </c>
      <c r="I25" s="1254" t="s">
        <v>1421</v>
      </c>
      <c r="J25" s="316">
        <f ca="1">J5-J16</f>
        <v>-1095</v>
      </c>
      <c r="K25" s="1255" t="s">
        <v>1422</v>
      </c>
      <c r="L25" s="1256"/>
      <c r="M25" s="1257"/>
    </row>
    <row r="26" spans="1:37">
      <c r="A26" s="1113" t="s">
        <v>1002</v>
      </c>
      <c r="B26" s="308" t="s">
        <v>1423</v>
      </c>
      <c r="C26" s="24">
        <f ca="1">ROUND((C19+C20)*F26,0)</f>
        <v>6807</v>
      </c>
      <c r="D26" s="329" t="s">
        <v>1424</v>
      </c>
      <c r="E26" s="319" t="s">
        <v>1425</v>
      </c>
      <c r="F26" s="318">
        <f ca="1">INDIRECT("'数据-取费表'!q"&amp;$G$1)</f>
        <v>0.2</v>
      </c>
      <c r="G26" s="1567"/>
      <c r="H26" s="305" t="s">
        <v>1000</v>
      </c>
      <c r="I26" s="306" t="s">
        <v>1426</v>
      </c>
      <c r="J26" s="307">
        <f ca="1">IF(J5&lt;&gt;0,ROUND(J25*(1-((1+M28)/(1+M26))^M27)/(M26-M28),0),0)</f>
        <v>0</v>
      </c>
      <c r="K26" s="330" t="s">
        <v>1427</v>
      </c>
      <c r="L26" s="308" t="s">
        <v>1428</v>
      </c>
      <c r="M26" s="318">
        <f ca="1">INDIRECT("'数据-取费表'!I"&amp;$G$1)</f>
        <v>5.5E-2</v>
      </c>
    </row>
    <row r="27" spans="1:37" ht="18" customHeight="1">
      <c r="A27" s="1113" t="s">
        <v>1004</v>
      </c>
      <c r="B27" s="308" t="s">
        <v>1429</v>
      </c>
      <c r="C27" s="24">
        <f ca="1">ROUND(F21*F26,4)</f>
        <v>4.0000000000000001E-3</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46764</v>
      </c>
      <c r="D29" s="1252"/>
      <c r="E29" s="1250"/>
      <c r="F29" s="1253"/>
      <c r="G29" s="1579"/>
      <c r="H29" s="340" t="s">
        <v>1001</v>
      </c>
      <c r="I29" s="341" t="s">
        <v>1437</v>
      </c>
      <c r="J29" s="342">
        <f ca="1">ROUND(J26/(1+F40)^F41,0)</f>
        <v>0</v>
      </c>
      <c r="K29" s="343" t="s">
        <v>1438</v>
      </c>
      <c r="L29" s="344"/>
      <c r="M29" s="345">
        <f ca="1">INDIRECT("'数据-取费表'!k"&amp;$G$1)</f>
        <v>38981.680000000008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1365</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551</v>
      </c>
      <c r="D31" s="1528" t="s">
        <v>1388</v>
      </c>
      <c r="E31" s="1527" t="s">
        <v>1439</v>
      </c>
      <c r="F31" s="2531" t="str">
        <f>IF(项目基本情况!B11="企业","——",IF('数据-取费表'!B10="住宅",IF(F6*F7*F8/12/(1+'数据-取费表'!F30)&gt;100000,4%,2.5%),IF(F6*F7*F8/12/(1+'数据-取费表'!F30)&gt;100000,12%,7%)))</f>
        <v>——</v>
      </c>
      <c r="G31" s="1567"/>
      <c r="H31" s="3037" t="s">
        <v>3051</v>
      </c>
      <c r="I31" s="1581"/>
      <c r="J31" s="1582"/>
      <c r="K31" s="2699"/>
      <c r="L31" s="2925"/>
      <c r="M31" s="2926"/>
    </row>
    <row r="32" spans="1:37" ht="18" customHeight="1">
      <c r="A32" s="1113" t="s">
        <v>1002</v>
      </c>
      <c r="B32" s="308" t="s">
        <v>1391</v>
      </c>
      <c r="C32" s="24">
        <f ca="1">IF(项目基本情况!B11="自然人","——",ROUND(C6*F32/(1+'数据-取费表'!C42),2))</f>
        <v>158.4</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IF(项目基本情况!B11="自然人","——",IF(D33="按租金收入计税",ROUND(C6*F33/(1+'数据-取费表'!C42),2),IF(D33="按房产原值计税",ROUND(C29*F33*0.7,2),INDIRECT("'数据-取费表'!Aj"&amp;$G$1))))</f>
        <v>392.82</v>
      </c>
      <c r="D33" s="1553" t="s">
        <v>3221</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IF(项目基本情况!B11="自然人","——",ROUND(F34*F35/10000,2))</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155390.20000000001</v>
      </c>
      <c r="G35" s="1567"/>
      <c r="H35" s="2924"/>
      <c r="I35" s="1581"/>
      <c r="J35" s="1582"/>
      <c r="K35" s="2928"/>
      <c r="L35" s="2927"/>
      <c r="M35" s="2927"/>
    </row>
    <row r="36" spans="1:18" ht="18" customHeight="1">
      <c r="A36" s="1262" t="s">
        <v>1007</v>
      </c>
      <c r="B36" s="308" t="s">
        <v>1407</v>
      </c>
      <c r="C36" s="24">
        <f ca="1">ROUND(C29*F36,1)</f>
        <v>701.5</v>
      </c>
      <c r="D36" s="1527" t="s">
        <v>1440</v>
      </c>
      <c r="E36" s="308" t="s">
        <v>1380</v>
      </c>
      <c r="F36" s="334">
        <f ca="1">INDIRECT("'数据-取费表'!Ak"&amp;$G$1)</f>
        <v>1.4999999999999999E-2</v>
      </c>
      <c r="G36" s="1567"/>
      <c r="H36" s="2927"/>
      <c r="I36" s="1581"/>
      <c r="J36" s="1582"/>
      <c r="K36" s="2768"/>
      <c r="L36" s="2927"/>
      <c r="M36" s="2927"/>
    </row>
    <row r="37" spans="1:18" ht="18" customHeight="1">
      <c r="A37" s="1113" t="s">
        <v>1043</v>
      </c>
      <c r="B37" s="308" t="s">
        <v>1411</v>
      </c>
      <c r="C37" s="24">
        <f ca="1">ROUND(C13*F37,1)</f>
        <v>68</v>
      </c>
      <c r="D37" s="1527" t="s">
        <v>1412</v>
      </c>
      <c r="E37" s="308" t="s">
        <v>1413</v>
      </c>
      <c r="F37" s="336">
        <f ca="1">INDIRECT("'数据-取费表'!Al"&amp;$G$1)</f>
        <v>1.5E-3</v>
      </c>
      <c r="G37" s="1567"/>
      <c r="H37" s="2927"/>
      <c r="I37" s="1581"/>
      <c r="J37" s="1582"/>
      <c r="K37" s="2768"/>
      <c r="L37" s="2927"/>
      <c r="M37" s="2927"/>
    </row>
    <row r="38" spans="1:18" ht="18" customHeight="1" thickBot="1">
      <c r="A38" s="1249" t="s">
        <v>1351</v>
      </c>
      <c r="B38" s="1250" t="s">
        <v>1397</v>
      </c>
      <c r="C38" s="1251">
        <f ca="1">ROUND(C5*F38,1)</f>
        <v>44.6</v>
      </c>
      <c r="D38" s="1252" t="s">
        <v>1417</v>
      </c>
      <c r="E38" s="1250" t="s">
        <v>1413</v>
      </c>
      <c r="F38" s="1246">
        <f ca="1">INDIRECT("'数据-取费表'!Am"&amp;$G$1)</f>
        <v>1.4999999999999999E-2</v>
      </c>
      <c r="G38" s="1567"/>
      <c r="H38" s="2927"/>
      <c r="I38" s="1581"/>
      <c r="J38" s="1582"/>
      <c r="K38" s="2931"/>
      <c r="L38" s="2927"/>
      <c r="M38" s="2927"/>
    </row>
    <row r="39" spans="1:18" ht="24.6" customHeight="1" thickTop="1">
      <c r="A39" s="1239" t="s">
        <v>999</v>
      </c>
      <c r="B39" s="1254" t="s">
        <v>1441</v>
      </c>
      <c r="C39" s="316">
        <f ca="1">C5-C30</f>
        <v>1605</v>
      </c>
      <c r="D39" s="1255" t="s">
        <v>1442</v>
      </c>
      <c r="E39" s="1256"/>
      <c r="F39" s="1257"/>
      <c r="G39" s="1567"/>
      <c r="H39" s="2927"/>
      <c r="I39" s="1581"/>
      <c r="J39" s="1582"/>
      <c r="K39" s="2931"/>
      <c r="L39" s="2927"/>
      <c r="M39" s="2927"/>
    </row>
    <row r="40" spans="1:18" ht="18" customHeight="1">
      <c r="A40" s="305" t="s">
        <v>1000</v>
      </c>
      <c r="B40" s="306" t="s">
        <v>1443</v>
      </c>
      <c r="C40" s="307">
        <f ca="1">ROUND(C39*(1-((1+F42)/(1+F40))^F41)/(F40-F42),0)</f>
        <v>35916</v>
      </c>
      <c r="D40" s="330" t="s">
        <v>1427</v>
      </c>
      <c r="E40" s="308" t="s">
        <v>1428</v>
      </c>
      <c r="F40" s="318">
        <f ca="1">INDIRECT("'数据-取费表'!I"&amp;$G$1)</f>
        <v>5.5E-2</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34.18</v>
      </c>
      <c r="G41" s="1567"/>
      <c r="H41" s="1352"/>
      <c r="I41" s="1581"/>
      <c r="J41" s="1582"/>
      <c r="K41" s="2768"/>
      <c r="L41" s="1352"/>
      <c r="M41" s="1352"/>
    </row>
    <row r="42" spans="1:18" ht="18" customHeight="1">
      <c r="A42" s="314"/>
      <c r="B42" s="315"/>
      <c r="C42" s="316"/>
      <c r="D42" s="333"/>
      <c r="E42" s="308" t="s">
        <v>1435</v>
      </c>
      <c r="F42" s="318">
        <f ca="1">INDIRECT("'数据-取费表'!v"&amp;$G$1)</f>
        <v>0.03</v>
      </c>
      <c r="G42" s="1567"/>
      <c r="H42" s="1352"/>
      <c r="I42" s="1581"/>
      <c r="J42" s="1582"/>
      <c r="K42" s="2768"/>
      <c r="L42" s="1352"/>
      <c r="M42" s="1352"/>
    </row>
    <row r="43" spans="1:18" ht="18" customHeight="1" thickBot="1">
      <c r="A43" s="340" t="s">
        <v>1001</v>
      </c>
      <c r="B43" s="341" t="s">
        <v>1445</v>
      </c>
      <c r="C43" s="342">
        <f ca="1">ROUND(C40*10000/F43,0)</f>
        <v>9214</v>
      </c>
      <c r="D43" s="343" t="s">
        <v>1446</v>
      </c>
      <c r="E43" s="344" t="s">
        <v>1447</v>
      </c>
      <c r="F43" s="345">
        <f ca="1">INDIRECT("'数据-取费表'!k"&amp;$G$1)</f>
        <v>38981.680000000008</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1477</v>
      </c>
      <c r="P45" s="1644"/>
      <c r="Q45" s="1644"/>
      <c r="R45" s="1644"/>
    </row>
    <row r="46" spans="1:18" s="1567" customFormat="1" ht="13.5" thickBot="1">
      <c r="A46" s="1587" t="s">
        <v>1478</v>
      </c>
      <c r="C46" s="1588">
        <f ca="1">C68-C40</f>
        <v>-53670</v>
      </c>
      <c r="D46" s="1589" t="str">
        <f>C2</f>
        <v>万元</v>
      </c>
      <c r="E46" s="1583"/>
      <c r="F46" s="1583"/>
      <c r="I46" s="1590" t="s">
        <v>1479</v>
      </c>
      <c r="J46" s="1591"/>
      <c r="K46" s="1592"/>
      <c r="L46" s="1593">
        <f ca="1">IF(M47="住宅",0,IF(L48&gt;J51,L60,J60))</f>
        <v>1151</v>
      </c>
      <c r="O46" s="1594" t="s">
        <v>1480</v>
      </c>
      <c r="P46" s="1595" t="s">
        <v>1481</v>
      </c>
      <c r="Q46" s="1596" t="s">
        <v>1482</v>
      </c>
      <c r="R46" s="1596" t="s">
        <v>1483</v>
      </c>
    </row>
    <row r="47" spans="1:18" s="1567" customFormat="1" ht="13.5" thickBot="1">
      <c r="A47" s="1077" t="s">
        <v>1354</v>
      </c>
      <c r="B47" s="1109" t="s">
        <v>1355</v>
      </c>
      <c r="C47" s="1277" t="s">
        <v>1356</v>
      </c>
      <c r="D47" s="1109" t="s">
        <v>1357</v>
      </c>
      <c r="E47" s="1189" t="s">
        <v>1358</v>
      </c>
      <c r="F47" s="1190"/>
      <c r="G47" s="731"/>
      <c r="I47" s="1597" t="s">
        <v>1484</v>
      </c>
      <c r="J47" s="1598" t="s">
        <v>3110</v>
      </c>
      <c r="K47" s="1599" t="s">
        <v>1485</v>
      </c>
      <c r="L47" s="1600">
        <f ca="1">INDIRECT("'数据-取费表'!d"&amp;$G$1)</f>
        <v>40</v>
      </c>
      <c r="M47" s="1563" t="str">
        <f>IF(ISNUMBER(FIND("住宅",C1)),"住宅","非住宅")</f>
        <v>非住宅</v>
      </c>
      <c r="O47" s="1601" t="s">
        <v>1008</v>
      </c>
      <c r="P47" s="1602" t="s">
        <v>1486</v>
      </c>
      <c r="Q47" s="1603">
        <f ca="1">C40+J29</f>
        <v>35916</v>
      </c>
      <c r="R47" s="1603" t="s">
        <v>1487</v>
      </c>
    </row>
    <row r="48" spans="1:18" s="1567" customFormat="1" ht="28.5" thickBot="1">
      <c r="A48" s="1270" t="s">
        <v>1096</v>
      </c>
      <c r="B48" s="306" t="s">
        <v>1359</v>
      </c>
      <c r="C48" s="1542">
        <f ca="1">C49+C53+C55</f>
        <v>0</v>
      </c>
      <c r="D48" s="1272"/>
      <c r="E48" s="1273"/>
      <c r="F48" s="1093"/>
      <c r="G48" s="731"/>
      <c r="H48" s="732"/>
      <c r="I48" s="1604" t="s">
        <v>1488</v>
      </c>
      <c r="J48" s="1605" t="s">
        <v>3111</v>
      </c>
      <c r="K48" s="1606" t="s">
        <v>1489</v>
      </c>
      <c r="L48" s="1607">
        <f ca="1">INDIRECT("'数据-取费表'!f"&amp;$G$1)</f>
        <v>34.18</v>
      </c>
      <c r="O48" s="1601" t="s">
        <v>1009</v>
      </c>
      <c r="P48" s="1602" t="s">
        <v>1490</v>
      </c>
      <c r="Q48" s="1603">
        <f ca="1">J60</f>
        <v>1151</v>
      </c>
      <c r="R48" s="1603" t="s">
        <v>1491</v>
      </c>
    </row>
    <row r="49" spans="1:18" s="1567" customFormat="1" ht="13.5" thickBot="1">
      <c r="A49" s="1106" t="s">
        <v>1097</v>
      </c>
      <c r="B49" s="1554" t="s">
        <v>1448</v>
      </c>
      <c r="C49" s="1274">
        <f ca="1">ROUND(F49*F51*F50*(1-F52)/10000,0)</f>
        <v>0</v>
      </c>
      <c r="D49" s="1186" t="s">
        <v>2845</v>
      </c>
      <c r="E49" s="1555" t="s">
        <v>1449</v>
      </c>
      <c r="F49" s="1191"/>
      <c r="G49" s="1608"/>
      <c r="H49" s="732"/>
      <c r="I49" s="1604" t="s">
        <v>1492</v>
      </c>
      <c r="J49" s="1609">
        <v>2019</v>
      </c>
      <c r="K49" s="1606" t="s">
        <v>1493</v>
      </c>
      <c r="L49" s="1610"/>
      <c r="O49" s="1611" t="s">
        <v>1010</v>
      </c>
      <c r="P49" s="1602" t="s">
        <v>1494</v>
      </c>
      <c r="Q49" s="1603">
        <f ca="1">C29</f>
        <v>46764</v>
      </c>
      <c r="R49" s="1603" t="s">
        <v>1487</v>
      </c>
    </row>
    <row r="50" spans="1:18" s="1567" customFormat="1" ht="13.5" thickBot="1">
      <c r="A50" s="1107"/>
      <c r="B50" s="1110"/>
      <c r="C50" s="1278"/>
      <c r="D50" s="1084"/>
      <c r="E50" s="1187" t="s">
        <v>1364</v>
      </c>
      <c r="F50" s="1188">
        <f ca="1">F7</f>
        <v>1</v>
      </c>
      <c r="H50" s="732"/>
      <c r="I50" s="1604" t="s">
        <v>1495</v>
      </c>
      <c r="J50" s="1612">
        <f>SUMPRODUCT((I63:I65=J47)*(J62:L62=J48)*(J63:L65))</f>
        <v>60</v>
      </c>
      <c r="K50" s="1606" t="s">
        <v>1496</v>
      </c>
      <c r="L50" s="1610"/>
      <c r="M50" s="1613"/>
      <c r="O50" s="1611" t="s">
        <v>1011</v>
      </c>
      <c r="P50" s="1602" t="s">
        <v>1497</v>
      </c>
      <c r="Q50" s="1614">
        <f ca="1">J58</f>
        <v>0.4</v>
      </c>
      <c r="R50" s="1603"/>
    </row>
    <row r="51" spans="1:18" s="1567" customFormat="1" ht="13.5" thickBot="1">
      <c r="A51" s="1108"/>
      <c r="B51" s="1110"/>
      <c r="C51" s="1111"/>
      <c r="D51" s="1084"/>
      <c r="E51" s="1112" t="s">
        <v>1365</v>
      </c>
      <c r="F51" s="309">
        <f ca="1">F8</f>
        <v>1</v>
      </c>
      <c r="I51" s="1615" t="s">
        <v>1498</v>
      </c>
      <c r="J51" s="1616">
        <f>IF(J49="",J50,J49+J50-YEAR('数据-取费表'!B2))</f>
        <v>58</v>
      </c>
      <c r="K51" s="1617" t="s">
        <v>1499</v>
      </c>
      <c r="L51" s="1618">
        <f ca="1">ROUND(-PV(INDIRECT("'数据-取费表'!h"&amp;$G$1),J51,(C39-C13*C76),0),0)</f>
        <v>-38088</v>
      </c>
      <c r="M51" s="1619"/>
      <c r="O51" s="1611" t="s">
        <v>1012</v>
      </c>
      <c r="P51" s="1602" t="s">
        <v>1500</v>
      </c>
      <c r="Q51" s="1614">
        <f>J52</f>
        <v>8.5000000000000006E-2</v>
      </c>
      <c r="R51" s="1603"/>
    </row>
    <row r="52" spans="1:18" s="1567" customFormat="1" ht="13.5" thickBot="1">
      <c r="A52" s="1108"/>
      <c r="B52" s="1110"/>
      <c r="C52" s="1111"/>
      <c r="D52" s="1084"/>
      <c r="E52" s="1112" t="s">
        <v>1366</v>
      </c>
      <c r="F52" s="1185"/>
      <c r="I52" s="1620" t="s">
        <v>1501</v>
      </c>
      <c r="J52" s="1621">
        <v>8.5000000000000006E-2</v>
      </c>
      <c r="K52" s="1620" t="s">
        <v>1502</v>
      </c>
      <c r="L52" s="1621"/>
      <c r="O52" s="1611" t="s">
        <v>1013</v>
      </c>
      <c r="P52" s="1602" t="s">
        <v>1503</v>
      </c>
      <c r="Q52" s="1603">
        <f ca="1">J53</f>
        <v>34.18</v>
      </c>
      <c r="R52" s="1603" t="s">
        <v>1504</v>
      </c>
    </row>
    <row r="53" spans="1:18" s="1567" customFormat="1" ht="24.75" thickBot="1">
      <c r="A53" s="1314" t="s">
        <v>1098</v>
      </c>
      <c r="B53" s="1556" t="s">
        <v>1367</v>
      </c>
      <c r="C53" s="322">
        <f ca="1">ROUND(IF(F53="押一",C49/12*F11,IF(F53="押二",C49/12*2*F11,IF(F53="押三",C49/12*3*F11,C54*F11))),0)</f>
        <v>0</v>
      </c>
      <c r="D53" s="1549" t="s">
        <v>2851</v>
      </c>
      <c r="E53" s="319" t="s">
        <v>1368</v>
      </c>
      <c r="F53" s="1276"/>
      <c r="I53" s="1622" t="s">
        <v>1505</v>
      </c>
      <c r="J53" s="2384">
        <f ca="1">IF(M47="住宅",IF(D1="——",MAX(J51,L48),MAX(J51,L48-'数据-取费表'!B24)),IF(D1="——",MIN(J51,L48),MIN(J51,L48-'数据-取费表'!B24)))</f>
        <v>34.18</v>
      </c>
      <c r="K53" s="3309" t="s">
        <v>1506</v>
      </c>
      <c r="L53" s="3310"/>
      <c r="O53" s="1601" t="s">
        <v>1014</v>
      </c>
      <c r="P53" s="1602" t="s">
        <v>1507</v>
      </c>
      <c r="Q53" s="1603">
        <f ca="1">Q47+Q48</f>
        <v>37067</v>
      </c>
      <c r="R53" s="1603" t="s">
        <v>1015</v>
      </c>
    </row>
    <row r="54" spans="1:18" s="1567" customFormat="1" ht="13.5" thickBot="1">
      <c r="A54" s="1315"/>
      <c r="B54" s="1550" t="s">
        <v>1346</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1508</v>
      </c>
      <c r="P54" s="1564"/>
      <c r="Q54" s="1564"/>
      <c r="R54" s="1564"/>
    </row>
    <row r="55" spans="1:18" s="1567" customFormat="1" ht="13.5" thickBot="1">
      <c r="A55" s="1243" t="s">
        <v>1043</v>
      </c>
      <c r="B55" s="1552" t="s">
        <v>1371</v>
      </c>
      <c r="C55" s="1244"/>
      <c r="D55" s="1549"/>
      <c r="E55" s="1557"/>
      <c r="F55" s="1623"/>
      <c r="I55" s="1626" t="s">
        <v>1509</v>
      </c>
      <c r="J55" s="1627">
        <f ca="1">ROUND(IF(J47="钢混",J57/J50,1-(1-2%)*(J50-J57)/J50),3)</f>
        <v>0.39700000000000002</v>
      </c>
      <c r="K55" s="1628" t="s">
        <v>1510</v>
      </c>
      <c r="L55" s="1629" t="s">
        <v>1511</v>
      </c>
      <c r="O55" s="1594" t="s">
        <v>1480</v>
      </c>
      <c r="P55" s="1595" t="s">
        <v>1481</v>
      </c>
      <c r="Q55" s="1596" t="s">
        <v>1482</v>
      </c>
      <c r="R55" s="1596" t="s">
        <v>1483</v>
      </c>
    </row>
    <row r="56" spans="1:18" s="1567" customFormat="1" ht="25.5" thickTop="1" thickBot="1">
      <c r="A56" s="1088">
        <v>2</v>
      </c>
      <c r="B56" s="1089" t="s">
        <v>1372</v>
      </c>
      <c r="C56" s="238">
        <f ca="1">C13</f>
        <v>45361</v>
      </c>
      <c r="D56" s="1630"/>
      <c r="E56" s="1631"/>
      <c r="F56" s="1623"/>
      <c r="I56" s="1632" t="s">
        <v>1512</v>
      </c>
      <c r="J56" s="1633" t="s">
        <v>3112</v>
      </c>
      <c r="K56" s="1604" t="s">
        <v>1513</v>
      </c>
      <c r="L56" s="1607" t="str">
        <f ca="1">IF(L48&lt;J51,"——",L48-J53)</f>
        <v>——</v>
      </c>
      <c r="O56" s="1601" t="s">
        <v>1008</v>
      </c>
      <c r="P56" s="1602" t="s">
        <v>1486</v>
      </c>
      <c r="Q56" s="1603">
        <f ca="1">C40+J29</f>
        <v>35916</v>
      </c>
      <c r="R56" s="1603" t="s">
        <v>1487</v>
      </c>
    </row>
    <row r="57" spans="1:18" s="1567" customFormat="1" ht="24.75" thickBot="1">
      <c r="A57" s="1634"/>
      <c r="B57" s="1081" t="s">
        <v>1436</v>
      </c>
      <c r="C57" s="244">
        <f ca="1">C29</f>
        <v>46764</v>
      </c>
      <c r="D57" s="1635"/>
      <c r="E57" s="1636"/>
      <c r="F57" s="1637"/>
      <c r="I57" s="1638" t="s">
        <v>1514</v>
      </c>
      <c r="J57" s="1639">
        <f ca="1">IF(OR(M47="住宅",J51&lt;L48,J56="是"),"——",J51-L48)</f>
        <v>23.82</v>
      </c>
      <c r="K57" s="1604" t="s">
        <v>1515</v>
      </c>
      <c r="L57" s="1607" t="str">
        <f ca="1">IF(L48&lt;J51,"——",IF(L55="比较法",L49,IF(L55="基准地价",L50,L51)))</f>
        <v>——</v>
      </c>
      <c r="O57" s="1601" t="s">
        <v>1009</v>
      </c>
      <c r="P57" s="1602" t="s">
        <v>1516</v>
      </c>
      <c r="Q57" s="1603">
        <f ca="1">L60</f>
        <v>0</v>
      </c>
      <c r="R57" s="1603" t="s">
        <v>1517</v>
      </c>
    </row>
    <row r="58" spans="1:18" s="1567" customFormat="1" ht="24.75" thickBot="1">
      <c r="A58" s="321" t="s">
        <v>998</v>
      </c>
      <c r="B58" s="1089" t="s">
        <v>1382</v>
      </c>
      <c r="C58" s="322">
        <f ca="1">ROUND(C59+C64+C65+C66,0)</f>
        <v>1163</v>
      </c>
      <c r="D58" s="1091" t="s">
        <v>1383</v>
      </c>
      <c r="E58" s="1092"/>
      <c r="F58" s="1093"/>
      <c r="I58" s="1638" t="s">
        <v>1518</v>
      </c>
      <c r="J58" s="1640">
        <f ca="1">IF(J55&lt;0.4,0.4,J55)</f>
        <v>0.4</v>
      </c>
      <c r="K58" s="1617" t="s">
        <v>1519</v>
      </c>
      <c r="L58" s="1607" t="e">
        <f ca="1">ROUND(POWER(1+L52,L47-L48)*(POWER(1+L52,L48)-1)/(POWER(1+L52,L47)-1),4)</f>
        <v>#DIV/0!</v>
      </c>
      <c r="O58" s="1611" t="s">
        <v>1010</v>
      </c>
      <c r="P58" s="1602" t="s">
        <v>1520</v>
      </c>
      <c r="Q58" s="1603">
        <f>IF(L55="比较法",L49,IF(L55="基准地价",L50,0))</f>
        <v>0</v>
      </c>
      <c r="R58" s="1603" t="s">
        <v>1487</v>
      </c>
    </row>
    <row r="59" spans="1:18" s="1567" customFormat="1" ht="24.75" thickBot="1">
      <c r="A59" s="1113" t="s">
        <v>1003</v>
      </c>
      <c r="B59" s="1081" t="s">
        <v>1387</v>
      </c>
      <c r="C59" s="2532">
        <f ca="1">ROUND(IF(AND(项目基本情况!B11="自然人",项目基本情况!B10="北京市"),C49*F59/(1+'数据-取费表'!C42),C60+C61+C62),0)</f>
        <v>393</v>
      </c>
      <c r="D59" s="1094" t="s">
        <v>1388</v>
      </c>
      <c r="E59" s="1095" t="s">
        <v>1389</v>
      </c>
      <c r="F59" s="2531" t="str">
        <f>IF(项目基本情况!B11="企业","——",IF('数据-取费表'!B10="住宅",IF(F49*F50*F51/12/(1+'数据-取费表'!F30)&gt;100000,4%,2.5%),IF(F49*F50*F51/12/(1+'数据-取费表'!F30)&gt;100000,12%,7%)))</f>
        <v>——</v>
      </c>
      <c r="I59" s="1638" t="s">
        <v>1521</v>
      </c>
      <c r="J59" s="1639">
        <f ca="1">IF(OR(M47="住宅",J51&lt;L48,J56="是"),"——",ROUND(C29*J58,0))</f>
        <v>18706</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1522</v>
      </c>
      <c r="Q59" s="1614">
        <f>L52</f>
        <v>0</v>
      </c>
      <c r="R59" s="1603"/>
    </row>
    <row r="60" spans="1:18" s="1567" customFormat="1" ht="16.5" thickBot="1">
      <c r="A60" s="1113" t="s">
        <v>1002</v>
      </c>
      <c r="B60" s="1081" t="s">
        <v>1391</v>
      </c>
      <c r="C60" s="24">
        <f ca="1">IF(项目基本情况!B11="自然人","——",ROUND(C48*F60/(1+'数据-取费表'!C42),2))</f>
        <v>0</v>
      </c>
      <c r="D60" s="1095" t="s">
        <v>1392</v>
      </c>
      <c r="E60" s="1081" t="s">
        <v>1380</v>
      </c>
      <c r="F60" s="337">
        <f t="shared" ref="F60:F66" si="0">F32</f>
        <v>5.6000000000000001E-2</v>
      </c>
      <c r="I60" s="1641" t="s">
        <v>1523</v>
      </c>
      <c r="J60" s="1642">
        <f ca="1">IF(OR(M47="住宅",J51&lt;L48,J56="是"),"0",ROUND(J59/(1+J52)^J53,0))</f>
        <v>1151</v>
      </c>
      <c r="K60" s="1643" t="s">
        <v>1524</v>
      </c>
      <c r="L60" s="1642">
        <f ca="1">IF(OR(M47="住宅",L48&lt;J51),0,ROUND(L57*(L58/L59-1),0))</f>
        <v>0</v>
      </c>
      <c r="O60" s="1611" t="s">
        <v>1012</v>
      </c>
      <c r="P60" s="1602" t="s">
        <v>1525</v>
      </c>
      <c r="Q60" s="1603" t="e">
        <f ca="1">L58</f>
        <v>#DIV/0!</v>
      </c>
      <c r="R60" s="1603" t="s">
        <v>1526</v>
      </c>
    </row>
    <row r="61" spans="1:18" s="1567" customFormat="1" ht="13.5" thickBot="1">
      <c r="A61" s="1113" t="s">
        <v>1450</v>
      </c>
      <c r="B61" s="1081" t="s">
        <v>1451</v>
      </c>
      <c r="C61" s="24">
        <f ca="1">IF(项目基本情况!B11="自然人","——",IF(D61="按租金收入计税",ROUND(C49*F61/(1+'数据-取费表'!C42),2),IF(D61="按房产原值计税",ROUND(C57*F61*0.7,2),INDIRECT("'数据-取费表'!Aj"&amp;$G$1))))</f>
        <v>392.82</v>
      </c>
      <c r="D61" s="1553" t="s">
        <v>1396</v>
      </c>
      <c r="E61" s="1081" t="s">
        <v>1452</v>
      </c>
      <c r="F61" s="328">
        <f t="shared" si="0"/>
        <v>1.2E-2</v>
      </c>
      <c r="I61" s="1644"/>
      <c r="J61" s="1644"/>
      <c r="K61" s="1644"/>
      <c r="L61" s="1644"/>
      <c r="O61" s="1611" t="s">
        <v>1013</v>
      </c>
      <c r="P61" s="1602" t="str">
        <f>K59</f>
        <v>建筑物剩余耐用年限下的土地年期修正系数Kn</v>
      </c>
      <c r="Q61" s="1603" t="e">
        <f ca="1">L59</f>
        <v>#DIV/0!</v>
      </c>
      <c r="R61" s="1603" t="s">
        <v>1527</v>
      </c>
    </row>
    <row r="62" spans="1:18" s="1567" customFormat="1" ht="13.5" thickBot="1">
      <c r="A62" s="1113" t="s">
        <v>1453</v>
      </c>
      <c r="B62" s="1080" t="s">
        <v>1454</v>
      </c>
      <c r="C62" s="25">
        <f ca="1">IF(项目基本情况!B11="自然人","——",ROUND(F62*F63/10000,2))</f>
        <v>0</v>
      </c>
      <c r="D62" s="1096" t="s">
        <v>1455</v>
      </c>
      <c r="E62" s="1081" t="s">
        <v>1456</v>
      </c>
      <c r="F62" s="331">
        <f t="shared" si="0"/>
        <v>0</v>
      </c>
      <c r="I62" s="1645" t="s">
        <v>1528</v>
      </c>
      <c r="J62" s="1646" t="s">
        <v>1529</v>
      </c>
      <c r="K62" s="1646" t="s">
        <v>1530</v>
      </c>
      <c r="L62" s="1646" t="s">
        <v>1531</v>
      </c>
      <c r="M62" s="1647" t="s">
        <v>1532</v>
      </c>
      <c r="O62" s="1601" t="s">
        <v>1014</v>
      </c>
      <c r="P62" s="1602" t="s">
        <v>1533</v>
      </c>
      <c r="Q62" s="1603">
        <f ca="1">Q56+Q57</f>
        <v>35916</v>
      </c>
      <c r="R62" s="1603" t="s">
        <v>1015</v>
      </c>
    </row>
    <row r="63" spans="1:18" s="1567" customFormat="1" ht="13.5" thickBot="1">
      <c r="A63" s="332"/>
      <c r="B63" s="1087"/>
      <c r="C63" s="29"/>
      <c r="D63" s="1097"/>
      <c r="E63" s="1081" t="s">
        <v>1457</v>
      </c>
      <c r="F63" s="309">
        <f t="shared" ca="1" si="0"/>
        <v>155390.20000000001</v>
      </c>
      <c r="I63" s="1645" t="s">
        <v>1534</v>
      </c>
      <c r="J63" s="1646">
        <v>70</v>
      </c>
      <c r="K63" s="1646">
        <v>50</v>
      </c>
      <c r="L63" s="1646">
        <v>80</v>
      </c>
      <c r="M63" s="1648">
        <v>0.02</v>
      </c>
      <c r="O63" s="1586" t="s">
        <v>1535</v>
      </c>
      <c r="P63" s="1564"/>
      <c r="Q63" s="1564"/>
      <c r="R63" s="1564"/>
    </row>
    <row r="64" spans="1:18" s="1567" customFormat="1" ht="13.5" thickBot="1">
      <c r="A64" s="1113" t="s">
        <v>1458</v>
      </c>
      <c r="B64" s="1081" t="s">
        <v>1459</v>
      </c>
      <c r="C64" s="24">
        <f ca="1">ROUND(C57*F64,1)</f>
        <v>701.5</v>
      </c>
      <c r="D64" s="1095" t="s">
        <v>1460</v>
      </c>
      <c r="E64" s="1081" t="s">
        <v>1452</v>
      </c>
      <c r="F64" s="334">
        <f t="shared" ca="1" si="0"/>
        <v>1.4999999999999999E-2</v>
      </c>
      <c r="I64" s="1645" t="s">
        <v>1536</v>
      </c>
      <c r="J64" s="1646">
        <v>50</v>
      </c>
      <c r="K64" s="1646">
        <v>35</v>
      </c>
      <c r="L64" s="1646">
        <v>60</v>
      </c>
      <c r="M64" s="1647">
        <v>0</v>
      </c>
      <c r="O64" s="1594" t="s">
        <v>1480</v>
      </c>
      <c r="P64" s="1595" t="s">
        <v>1481</v>
      </c>
      <c r="Q64" s="1596" t="s">
        <v>1482</v>
      </c>
      <c r="R64" s="1596" t="s">
        <v>1483</v>
      </c>
    </row>
    <row r="65" spans="1:18" s="1567" customFormat="1" ht="13.5" thickBot="1">
      <c r="A65" s="1113" t="s">
        <v>1461</v>
      </c>
      <c r="B65" s="1081" t="s">
        <v>1411</v>
      </c>
      <c r="C65" s="24">
        <f ca="1">ROUND(C56*F65,1)</f>
        <v>68</v>
      </c>
      <c r="D65" s="1095" t="s">
        <v>1412</v>
      </c>
      <c r="E65" s="1081" t="s">
        <v>1413</v>
      </c>
      <c r="F65" s="336">
        <f t="shared" ca="1" si="0"/>
        <v>1.5E-3</v>
      </c>
      <c r="I65" s="1645" t="s">
        <v>1537</v>
      </c>
      <c r="J65" s="1646">
        <v>40</v>
      </c>
      <c r="K65" s="1646">
        <v>30</v>
      </c>
      <c r="L65" s="1646">
        <v>50</v>
      </c>
      <c r="M65" s="1648">
        <v>0.02</v>
      </c>
      <c r="O65" s="1601" t="s">
        <v>1008</v>
      </c>
      <c r="P65" s="1602" t="s">
        <v>1538</v>
      </c>
      <c r="Q65" s="1603">
        <f ca="1">C40+J29</f>
        <v>35916</v>
      </c>
      <c r="R65" s="1603" t="s">
        <v>1487</v>
      </c>
    </row>
    <row r="66" spans="1:18" s="1567" customFormat="1" ht="16.5" thickBot="1">
      <c r="A66" s="1113" t="s">
        <v>1462</v>
      </c>
      <c r="B66" s="1081" t="s">
        <v>1397</v>
      </c>
      <c r="C66" s="24">
        <f ca="1">ROUND(C48*F66,1)</f>
        <v>0</v>
      </c>
      <c r="D66" s="1095" t="s">
        <v>1463</v>
      </c>
      <c r="E66" s="1081" t="s">
        <v>1380</v>
      </c>
      <c r="F66" s="318">
        <f t="shared" ca="1" si="0"/>
        <v>1.4999999999999999E-2</v>
      </c>
      <c r="O66" s="1601" t="s">
        <v>1009</v>
      </c>
      <c r="P66" s="1602" t="s">
        <v>1516</v>
      </c>
      <c r="Q66" s="1603">
        <f ca="1">L60</f>
        <v>0</v>
      </c>
      <c r="R66" s="1603" t="s">
        <v>1539</v>
      </c>
    </row>
    <row r="67" spans="1:18" s="1567" customFormat="1" ht="16.5" thickBot="1">
      <c r="A67" s="1088" t="s">
        <v>999</v>
      </c>
      <c r="B67" s="1098" t="s">
        <v>1421</v>
      </c>
      <c r="C67" s="322">
        <f ca="1">C48-C58</f>
        <v>-1163</v>
      </c>
      <c r="D67" s="1094" t="s">
        <v>1422</v>
      </c>
      <c r="E67" s="1099"/>
      <c r="F67" s="1100"/>
      <c r="O67" s="1611" t="s">
        <v>1010</v>
      </c>
      <c r="P67" s="1602" t="s">
        <v>1520</v>
      </c>
      <c r="Q67" s="1649">
        <f ca="1">L51</f>
        <v>-38088</v>
      </c>
      <c r="R67" s="1603" t="s">
        <v>1540</v>
      </c>
    </row>
    <row r="68" spans="1:18" s="1567" customFormat="1" ht="16.5" thickBot="1">
      <c r="A68" s="1078" t="s">
        <v>1000</v>
      </c>
      <c r="B68" s="1079" t="s">
        <v>1443</v>
      </c>
      <c r="C68" s="307">
        <f ca="1">ROUND(C67*(1-((1+F70)/(1+F68))^F69)/(F68-F70),0)</f>
        <v>-17754</v>
      </c>
      <c r="D68" s="1096" t="s">
        <v>1427</v>
      </c>
      <c r="E68" s="1081" t="s">
        <v>1428</v>
      </c>
      <c r="F68" s="318">
        <f ca="1">F40</f>
        <v>5.5E-2</v>
      </c>
      <c r="O68" s="1611" t="s">
        <v>1011</v>
      </c>
      <c r="P68" s="1650" t="s">
        <v>1541</v>
      </c>
      <c r="Q68" s="1603">
        <f ca="1">ROUND(Q69-Q70*Q71,0)</f>
        <v>-2024</v>
      </c>
      <c r="R68" s="1603" t="s">
        <v>1019</v>
      </c>
    </row>
    <row r="69" spans="1:18" s="1567" customFormat="1" ht="13.5" thickBot="1">
      <c r="A69" s="1082"/>
      <c r="B69" s="1083"/>
      <c r="C69" s="312"/>
      <c r="D69" s="1101" t="s">
        <v>1431</v>
      </c>
      <c r="E69" s="1081" t="s">
        <v>1432</v>
      </c>
      <c r="F69" s="339">
        <f ca="1">F41</f>
        <v>34.18</v>
      </c>
      <c r="O69" s="1611" t="s">
        <v>1016</v>
      </c>
      <c r="P69" s="1650" t="s">
        <v>1542</v>
      </c>
      <c r="Q69" s="1603">
        <f ca="1">C39</f>
        <v>1605</v>
      </c>
      <c r="R69" s="1603" t="s">
        <v>1487</v>
      </c>
    </row>
    <row r="70" spans="1:18" s="1567" customFormat="1" ht="13.5" thickBot="1">
      <c r="A70" s="1085"/>
      <c r="B70" s="1086"/>
      <c r="C70" s="316"/>
      <c r="D70" s="1097"/>
      <c r="E70" s="1081" t="s">
        <v>1435</v>
      </c>
      <c r="F70" s="1185"/>
      <c r="O70" s="1611" t="s">
        <v>1017</v>
      </c>
      <c r="P70" s="1650" t="s">
        <v>1543</v>
      </c>
      <c r="Q70" s="1603">
        <f ca="1">C13</f>
        <v>45361</v>
      </c>
      <c r="R70" s="1603" t="s">
        <v>1487</v>
      </c>
    </row>
    <row r="71" spans="1:18" s="1567" customFormat="1" ht="13.5" thickBot="1">
      <c r="A71" s="1102" t="s">
        <v>1001</v>
      </c>
      <c r="B71" s="1103" t="s">
        <v>1445</v>
      </c>
      <c r="C71" s="342">
        <f ca="1">ROUND(C68*10000/F71,0)</f>
        <v>-4554</v>
      </c>
      <c r="D71" s="1104" t="s">
        <v>1446</v>
      </c>
      <c r="E71" s="1105" t="s">
        <v>1447</v>
      </c>
      <c r="F71" s="345">
        <f ca="1">F43</f>
        <v>38981.680000000008</v>
      </c>
      <c r="O71" s="1611" t="s">
        <v>1018</v>
      </c>
      <c r="P71" s="1650" t="s">
        <v>1544</v>
      </c>
      <c r="Q71" s="1614">
        <f ca="1">C76</f>
        <v>0.08</v>
      </c>
      <c r="R71" s="1603"/>
    </row>
    <row r="72" spans="1:18" s="1567" customFormat="1" ht="13.5" thickBot="1">
      <c r="B72" s="735"/>
      <c r="C72" s="735"/>
      <c r="O72" s="1611" t="s">
        <v>1012</v>
      </c>
      <c r="P72" s="1602" t="s">
        <v>1522</v>
      </c>
      <c r="Q72" s="1614">
        <f>L52</f>
        <v>0</v>
      </c>
      <c r="R72" s="1603"/>
    </row>
    <row r="73" spans="1:18" ht="16.5" thickBot="1">
      <c r="A73" s="1567"/>
      <c r="B73" s="735"/>
      <c r="C73" s="735"/>
      <c r="D73" s="1567"/>
      <c r="E73" s="1567"/>
      <c r="F73" s="1567"/>
      <c r="O73" s="1611" t="s">
        <v>1013</v>
      </c>
      <c r="P73" s="1602" t="s">
        <v>1525</v>
      </c>
      <c r="Q73" s="1603" t="e">
        <f ca="1">L58</f>
        <v>#DIV/0!</v>
      </c>
      <c r="R73" s="1603" t="s">
        <v>1526</v>
      </c>
    </row>
    <row r="74" spans="1:18" ht="13.5" thickBot="1">
      <c r="A74" s="1567"/>
      <c r="B74" s="279" t="s">
        <v>1545</v>
      </c>
      <c r="C74" s="1652"/>
      <c r="D74" s="1567"/>
      <c r="E74" s="1567"/>
      <c r="F74" s="1567"/>
      <c r="O74" s="1611" t="s">
        <v>1020</v>
      </c>
      <c r="P74" s="1602" t="str">
        <f>K59</f>
        <v>建筑物剩余耐用年限下的土地年期修正系数Kn</v>
      </c>
      <c r="Q74" s="1603" t="e">
        <f ca="1">L59</f>
        <v>#DIV/0!</v>
      </c>
      <c r="R74" s="1603" t="s">
        <v>1527</v>
      </c>
    </row>
    <row r="75" spans="1:18" ht="13.5" thickBot="1">
      <c r="A75" s="1567"/>
      <c r="B75" s="346" t="s">
        <v>1464</v>
      </c>
      <c r="C75" s="347">
        <f ca="1">ROUND(C13*C76,0)</f>
        <v>3629</v>
      </c>
      <c r="D75" s="1567"/>
      <c r="E75" s="1567"/>
      <c r="F75" s="1567"/>
      <c r="K75" s="1585"/>
      <c r="L75" s="1567"/>
      <c r="O75" s="1601" t="s">
        <v>1014</v>
      </c>
      <c r="P75" s="1602" t="s">
        <v>1507</v>
      </c>
      <c r="Q75" s="1603">
        <f ca="1">Q65+Q66</f>
        <v>35916</v>
      </c>
      <c r="R75" s="1603" t="s">
        <v>1015</v>
      </c>
    </row>
    <row r="76" spans="1:18">
      <c r="B76" s="348" t="s">
        <v>1465</v>
      </c>
      <c r="C76" s="349">
        <f ca="1">INDIRECT("'数据-取费表'!j"&amp;$G$1)</f>
        <v>0.08</v>
      </c>
      <c r="I76" s="1567"/>
      <c r="J76" s="1567"/>
      <c r="K76" s="1585"/>
      <c r="L76" s="1567"/>
    </row>
    <row r="77" spans="1:18">
      <c r="B77" s="350" t="s">
        <v>1466</v>
      </c>
      <c r="C77" s="351"/>
      <c r="I77" s="1567"/>
      <c r="J77" s="1567"/>
      <c r="K77" s="1585"/>
      <c r="L77" s="1567"/>
    </row>
    <row r="78" spans="1:18">
      <c r="B78" s="276" t="s">
        <v>1467</v>
      </c>
      <c r="C78" s="352"/>
    </row>
    <row r="79" spans="1:18">
      <c r="B79" s="346" t="s">
        <v>1468</v>
      </c>
      <c r="C79" s="280">
        <f ca="1">1-C80</f>
        <v>-1.2610000000000001</v>
      </c>
    </row>
    <row r="80" spans="1:18">
      <c r="B80" s="346" t="s">
        <v>1469</v>
      </c>
      <c r="C80" s="280">
        <f ca="1">ROUND(C75/C39,3)</f>
        <v>2.2610000000000001</v>
      </c>
    </row>
    <row r="81" spans="2:3">
      <c r="B81" s="276" t="s">
        <v>1470</v>
      </c>
      <c r="C81" s="244"/>
    </row>
    <row r="82" spans="2:3">
      <c r="B82" s="279" t="s">
        <v>1471</v>
      </c>
      <c r="C82" s="281">
        <f ca="1">1-C83</f>
        <v>-0.2629999999999999</v>
      </c>
    </row>
    <row r="83" spans="2:3">
      <c r="B83" s="279" t="s">
        <v>1472</v>
      </c>
      <c r="C83" s="280">
        <f ca="1">ROUND(C13/C40,3)</f>
        <v>1.2629999999999999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1547</v>
      </c>
      <c r="B1" s="722"/>
      <c r="C1" s="1562"/>
      <c r="D1" s="1545"/>
      <c r="E1" s="1546" t="s">
        <v>1345</v>
      </c>
      <c r="F1" s="1193">
        <f ca="1">J53</f>
        <v>0</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1548</v>
      </c>
      <c r="B2" s="1569" t="e">
        <f ca="1">ROUND(D2/10000,0)</f>
        <v>#DIV/0!</v>
      </c>
      <c r="C2" s="1570" t="s">
        <v>1549</v>
      </c>
      <c r="D2" s="1654" t="e">
        <f ca="1">C40+J29+L46</f>
        <v>#DIV/0!</v>
      </c>
      <c r="E2" s="1571" t="s">
        <v>1550</v>
      </c>
      <c r="F2" s="1572"/>
      <c r="G2" s="2933"/>
      <c r="H2" s="2922"/>
      <c r="I2" s="2922"/>
      <c r="J2" s="2922"/>
      <c r="K2" s="2923"/>
      <c r="L2" s="2922"/>
      <c r="M2" s="2922"/>
    </row>
    <row r="3" spans="1:37" ht="18" customHeight="1" thickBot="1">
      <c r="A3" s="1573" t="s">
        <v>1551</v>
      </c>
      <c r="B3" s="1574">
        <f ca="1">IF(ISERROR(D2/F43),0,ROUND(D2/F43,0))</f>
        <v>0</v>
      </c>
      <c r="C3" s="1570" t="s">
        <v>1552</v>
      </c>
      <c r="D3" s="1570"/>
      <c r="E3" s="1571"/>
      <c r="F3" s="1572"/>
      <c r="G3" s="2933"/>
      <c r="H3" s="692" t="s">
        <v>1546</v>
      </c>
      <c r="I3" s="1565"/>
      <c r="J3" s="1565"/>
      <c r="K3" s="1566"/>
      <c r="L3" s="1565"/>
      <c r="M3" s="1565"/>
    </row>
    <row r="4" spans="1:37" ht="18" customHeight="1">
      <c r="A4" s="301" t="s">
        <v>1553</v>
      </c>
      <c r="B4" s="302" t="s">
        <v>1554</v>
      </c>
      <c r="C4" s="302" t="s">
        <v>1555</v>
      </c>
      <c r="D4" s="302" t="s">
        <v>1556</v>
      </c>
      <c r="E4" s="303" t="s">
        <v>1557</v>
      </c>
      <c r="F4" s="304"/>
      <c r="G4" s="1567"/>
      <c r="H4" s="301" t="s">
        <v>1553</v>
      </c>
      <c r="I4" s="302" t="s">
        <v>1554</v>
      </c>
      <c r="J4" s="302" t="s">
        <v>1555</v>
      </c>
      <c r="K4" s="302" t="s">
        <v>1556</v>
      </c>
      <c r="L4" s="303" t="s">
        <v>1557</v>
      </c>
      <c r="M4" s="304"/>
    </row>
    <row r="5" spans="1:37" ht="18" customHeight="1">
      <c r="A5" s="305">
        <v>1</v>
      </c>
      <c r="B5" s="306" t="s">
        <v>1558</v>
      </c>
      <c r="C5" s="1202">
        <f ca="1">C6+C10+C12</f>
        <v>0</v>
      </c>
      <c r="D5" s="1547" t="s">
        <v>1559</v>
      </c>
      <c r="E5" s="1203"/>
      <c r="F5" s="1204"/>
      <c r="G5" s="1567"/>
      <c r="H5" s="305">
        <v>1</v>
      </c>
      <c r="I5" s="306" t="s">
        <v>1558</v>
      </c>
      <c r="J5" s="1202">
        <f ca="1">J6+J10+J12</f>
        <v>0</v>
      </c>
      <c r="K5" s="1547" t="s">
        <v>1559</v>
      </c>
      <c r="L5" s="1203"/>
      <c r="M5" s="1204"/>
    </row>
    <row r="6" spans="1:37" ht="18" customHeight="1">
      <c r="A6" s="1201" t="s">
        <v>1003</v>
      </c>
      <c r="B6" s="3311" t="s">
        <v>1361</v>
      </c>
      <c r="C6" s="1206">
        <f ca="1">ROUND(F6*F8*F7*(1-F9),0)</f>
        <v>0</v>
      </c>
      <c r="D6" s="160" t="s">
        <v>2841</v>
      </c>
      <c r="E6" s="308" t="s">
        <v>1363</v>
      </c>
      <c r="F6" s="309">
        <f ca="1">INDIRECT("'数据-取费表'!u"&amp;$G$1)</f>
        <v>0</v>
      </c>
      <c r="G6" s="1567"/>
      <c r="H6" s="1201" t="s">
        <v>1003</v>
      </c>
      <c r="I6" s="3311" t="s">
        <v>1361</v>
      </c>
      <c r="J6" s="307">
        <f ca="1">ROUND(M6*M8*M7*(1-M9),0)</f>
        <v>0</v>
      </c>
      <c r="K6" s="1559" t="s">
        <v>2842</v>
      </c>
      <c r="L6" s="308" t="s">
        <v>1363</v>
      </c>
      <c r="M6" s="309">
        <f ca="1">INDIRECT("'数据-取费表'!z"&amp;$G$1)</f>
        <v>0</v>
      </c>
    </row>
    <row r="7" spans="1:37" ht="18" customHeight="1">
      <c r="A7" s="1205"/>
      <c r="B7" s="3312"/>
      <c r="C7" s="1207"/>
      <c r="D7" s="313"/>
      <c r="E7" s="1208" t="s">
        <v>1364</v>
      </c>
      <c r="F7" s="309">
        <f ca="1">IF(INDIRECT("'数据-取费表'!ah"&amp;$G$1)="",INDIRECT("'数据-取费表'!k"&amp;$G$1),INDIRECT("'数据-取费表'!ah"&amp;$G$1))</f>
        <v>0</v>
      </c>
      <c r="G7" s="1567"/>
      <c r="H7" s="310"/>
      <c r="I7" s="3312"/>
      <c r="J7" s="312"/>
      <c r="K7" s="313"/>
      <c r="L7" s="308" t="s">
        <v>1364</v>
      </c>
      <c r="M7" s="309">
        <f ca="1">F7</f>
        <v>0</v>
      </c>
    </row>
    <row r="8" spans="1:37" ht="18" customHeight="1">
      <c r="A8" s="310"/>
      <c r="B8" s="3312"/>
      <c r="C8" s="312"/>
      <c r="D8" s="313"/>
      <c r="E8" s="308" t="s">
        <v>1365</v>
      </c>
      <c r="F8" s="309">
        <f ca="1">INDIRECT("'数据-取费表'!ai"&amp;$G$1)</f>
        <v>0</v>
      </c>
      <c r="G8" s="1567"/>
      <c r="H8" s="310"/>
      <c r="I8" s="3312"/>
      <c r="J8" s="312"/>
      <c r="K8" s="313"/>
      <c r="L8" s="308" t="s">
        <v>1365</v>
      </c>
      <c r="M8" s="309">
        <f ca="1">INDIRECT("'数据-取费表'!ai"&amp;$G$1)</f>
        <v>0</v>
      </c>
    </row>
    <row r="9" spans="1:37" ht="18" customHeight="1">
      <c r="A9" s="310"/>
      <c r="B9" s="3313"/>
      <c r="C9" s="312"/>
      <c r="D9" s="313"/>
      <c r="E9" s="308" t="s">
        <v>1366</v>
      </c>
      <c r="F9" s="318">
        <f ca="1">INDIRECT("'数据-取费表'!w"&amp;$G$1)</f>
        <v>0</v>
      </c>
      <c r="G9" s="1567"/>
      <c r="H9" s="310"/>
      <c r="I9" s="3313"/>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2851</v>
      </c>
      <c r="E10" s="319" t="s">
        <v>1368</v>
      </c>
      <c r="F10" s="1276"/>
      <c r="G10" s="1567"/>
      <c r="H10" s="1201" t="s">
        <v>1007</v>
      </c>
      <c r="I10" s="1548" t="s">
        <v>1367</v>
      </c>
      <c r="J10" s="307">
        <f ca="1">ROUND(IF(M10="押一",J6/12*M11,IF(M10="押二",J6/12*2*M11,IF(M10="押三",J6/12*3*M11,J11*M11))),0)</f>
        <v>0</v>
      </c>
      <c r="K10" s="1560" t="s">
        <v>2853</v>
      </c>
      <c r="L10" s="319" t="s">
        <v>1368</v>
      </c>
      <c r="M10" s="1276"/>
    </row>
    <row r="11" spans="1:37" ht="18" customHeight="1">
      <c r="A11" s="314"/>
      <c r="B11" s="1550" t="s">
        <v>1560</v>
      </c>
      <c r="C11" s="1090"/>
      <c r="D11" s="313"/>
      <c r="E11" s="319" t="s">
        <v>1370</v>
      </c>
      <c r="F11" s="320">
        <f ca="1">'数据-取费表'!B39</f>
        <v>1.4999999999999999E-2</v>
      </c>
      <c r="G11" s="1567"/>
      <c r="H11" s="1209"/>
      <c r="I11" s="1550" t="s">
        <v>1561</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0</v>
      </c>
      <c r="D13" s="1241" t="s">
        <v>1373</v>
      </c>
      <c r="E13" s="1241" t="s">
        <v>1374</v>
      </c>
      <c r="F13" s="1242">
        <f ca="1">INDIRECT("'数据-取费表'!y"&amp;$G$1)</f>
        <v>0</v>
      </c>
      <c r="G13" s="1567"/>
      <c r="H13" s="1239">
        <v>2</v>
      </c>
      <c r="I13" s="1240" t="s">
        <v>1372</v>
      </c>
      <c r="J13" s="1200">
        <f ca="1">ROUND(J14*J15,0)</f>
        <v>0</v>
      </c>
      <c r="K13" s="1247" t="s">
        <v>1373</v>
      </c>
      <c r="L13" s="1575"/>
      <c r="M13" s="1576"/>
    </row>
    <row r="14" spans="1:37" ht="18" customHeight="1">
      <c r="A14" s="1113" t="s">
        <v>1002</v>
      </c>
      <c r="B14" s="308" t="s">
        <v>1375</v>
      </c>
      <c r="C14" s="324">
        <f ca="1">ROUND(INDIRECT("'数据-取费表'!l"&amp;$G$1)*F43+'数据-取费表'!L14*INDIRECT("'数据-取费表'!S"&amp;$G$1),0)</f>
        <v>0</v>
      </c>
      <c r="D14" s="1528" t="s">
        <v>1376</v>
      </c>
      <c r="E14" s="1525"/>
      <c r="F14" s="325"/>
      <c r="G14" s="1567"/>
      <c r="H14" s="1113" t="s">
        <v>1003</v>
      </c>
      <c r="I14" s="308" t="s">
        <v>1377</v>
      </c>
      <c r="J14" s="24">
        <f ca="1">C29</f>
        <v>0</v>
      </c>
      <c r="K14" s="15"/>
      <c r="L14" s="916"/>
      <c r="M14" s="917"/>
    </row>
    <row r="15" spans="1:37" s="1580" customFormat="1" ht="18" customHeight="1" thickBot="1">
      <c r="A15" s="1113" t="s">
        <v>1004</v>
      </c>
      <c r="B15" s="308" t="s">
        <v>1378</v>
      </c>
      <c r="C15" s="24">
        <f ca="1">ROUND(C14*F15,0)</f>
        <v>0</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ROUND(INDIRECT("'数据-取费表'!l"&amp;$G$1)*F43*F16,0)</f>
        <v>0</v>
      </c>
      <c r="D16" s="308" t="s">
        <v>1379</v>
      </c>
      <c r="E16" s="308" t="s">
        <v>1380</v>
      </c>
      <c r="F16" s="328">
        <f ca="1">IF(INDIRECT("'数据-取费表'!c"&amp;$G$1)="住宅",'数据-取费表'!B34,0)</f>
        <v>0</v>
      </c>
      <c r="G16" s="1567"/>
      <c r="H16" s="1239" t="s">
        <v>998</v>
      </c>
      <c r="I16" s="1240" t="s">
        <v>1382</v>
      </c>
      <c r="J16" s="316">
        <f ca="1">ROUND(J17+J22+J23+J24,0)</f>
        <v>0</v>
      </c>
      <c r="K16" s="1247" t="s">
        <v>1383</v>
      </c>
      <c r="L16" s="1248"/>
      <c r="M16" s="1204"/>
    </row>
    <row r="17" spans="1:37" s="1580" customFormat="1" ht="18" customHeight="1">
      <c r="A17" s="1113" t="s">
        <v>1348</v>
      </c>
      <c r="B17" s="308" t="s">
        <v>1384</v>
      </c>
      <c r="C17" s="24">
        <f ca="1">ROUND(F17*(F43+INDIRECT("'数据-取费表'!S"&amp;$G$1)),0)</f>
        <v>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0</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0</v>
      </c>
      <c r="D18" s="308" t="s">
        <v>1379</v>
      </c>
      <c r="E18" s="308" t="s">
        <v>1380</v>
      </c>
      <c r="F18" s="328">
        <f>'数据-取费表'!B36</f>
        <v>1.4999999999999999E-2</v>
      </c>
      <c r="G18" s="1579"/>
      <c r="H18" s="1113" t="s">
        <v>1002</v>
      </c>
      <c r="I18" s="308" t="s">
        <v>1391</v>
      </c>
      <c r="J18" s="24">
        <f ca="1">ROUND(J6*M18/(1+'数据-取费表'!C42),0)</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0</v>
      </c>
      <c r="D19" s="136" t="s">
        <v>1394</v>
      </c>
      <c r="E19" s="1543"/>
      <c r="F19" s="26"/>
      <c r="G19" s="1567"/>
      <c r="H19" s="1113" t="s">
        <v>1004</v>
      </c>
      <c r="I19" s="308" t="s">
        <v>1395</v>
      </c>
      <c r="J19" s="24">
        <f ca="1">IF(K19="按租金收入计税",ROUND(J6*M19/(1+'数据-取费表'!C42),0),ROUND(C29*M19*0.7,0))</f>
        <v>0</v>
      </c>
      <c r="K19" s="1553" t="s">
        <v>1396</v>
      </c>
      <c r="L19" s="308" t="s">
        <v>1380</v>
      </c>
      <c r="M19" s="328">
        <f>IF(K19="按租金收入计税",'数据-取费表'!B51,'数据-取费表'!B50)</f>
        <v>1.2E-2</v>
      </c>
    </row>
    <row r="20" spans="1:37" s="1580" customFormat="1" ht="18" customHeight="1">
      <c r="A20" s="1113" t="s">
        <v>1007</v>
      </c>
      <c r="B20" s="308" t="s">
        <v>1397</v>
      </c>
      <c r="C20" s="24">
        <f ca="1">ROUND(C19*F20,0)</f>
        <v>0</v>
      </c>
      <c r="D20" s="329" t="s">
        <v>1398</v>
      </c>
      <c r="E20" s="308" t="s">
        <v>1380</v>
      </c>
      <c r="F20" s="328">
        <f>'数据-取费表'!B37</f>
        <v>0.02</v>
      </c>
      <c r="G20" s="1579"/>
      <c r="H20" s="1113" t="s">
        <v>1347</v>
      </c>
      <c r="I20" s="160" t="s">
        <v>1399</v>
      </c>
      <c r="J20" s="25">
        <f ca="1">ROUND(M20*M21,0)</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v>
      </c>
      <c r="D21" s="329" t="s">
        <v>1403</v>
      </c>
      <c r="E21" s="308" t="s">
        <v>1404</v>
      </c>
      <c r="F21" s="328">
        <f>'数据-取费表'!B38</f>
        <v>0.02</v>
      </c>
      <c r="G21" s="1579"/>
      <c r="H21" s="332"/>
      <c r="I21" s="317"/>
      <c r="J21" s="29"/>
      <c r="K21" s="333"/>
      <c r="L21" s="308" t="s">
        <v>1405</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ROUND(J14*M22,0)</f>
        <v>0</v>
      </c>
      <c r="K22" s="1527" t="s">
        <v>1408</v>
      </c>
      <c r="L22" s="308" t="s">
        <v>1380</v>
      </c>
      <c r="M22" s="334">
        <f ca="1">INDIRECT("'数据-取费表'!Ak"&amp;$G$1)</f>
        <v>0</v>
      </c>
    </row>
    <row r="23" spans="1:37" s="1580" customFormat="1" ht="18" customHeight="1">
      <c r="A23" s="1113" t="s">
        <v>1002</v>
      </c>
      <c r="B23" s="308" t="s">
        <v>1409</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1410</v>
      </c>
      <c r="F23" s="331">
        <f>'数据-取费表'!B20</f>
        <v>3</v>
      </c>
      <c r="G23" s="1579"/>
      <c r="H23" s="1113" t="s">
        <v>1043</v>
      </c>
      <c r="I23" s="308" t="s">
        <v>1411</v>
      </c>
      <c r="J23" s="24">
        <f ca="1">ROUND(J13*M23,0)</f>
        <v>0</v>
      </c>
      <c r="K23" s="1527" t="s">
        <v>1412</v>
      </c>
      <c r="L23" s="308" t="s">
        <v>1413</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1.2999999999999999E-3</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ROUND(J5*M24,0)</f>
        <v>0</v>
      </c>
      <c r="K24" s="1252" t="s">
        <v>1417</v>
      </c>
      <c r="L24" s="1250" t="s">
        <v>1413</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1418</v>
      </c>
      <c r="B25" s="308" t="s">
        <v>1419</v>
      </c>
      <c r="C25" s="24"/>
      <c r="D25" s="136" t="s">
        <v>1420</v>
      </c>
      <c r="E25" s="1543"/>
      <c r="F25" s="26"/>
      <c r="G25" s="1567"/>
      <c r="H25" s="1239" t="s">
        <v>999</v>
      </c>
      <c r="I25" s="1254" t="s">
        <v>1421</v>
      </c>
      <c r="J25" s="316">
        <f ca="1">J5-J16</f>
        <v>0</v>
      </c>
      <c r="K25" s="1255" t="s">
        <v>1422</v>
      </c>
      <c r="L25" s="1256"/>
      <c r="M25" s="1257"/>
    </row>
    <row r="26" spans="1:37" ht="18" customHeight="1">
      <c r="A26" s="1113" t="s">
        <v>1002</v>
      </c>
      <c r="B26" s="308" t="s">
        <v>1423</v>
      </c>
      <c r="C26" s="24">
        <f ca="1">ROUND((C19+C20)*F26,0)</f>
        <v>0</v>
      </c>
      <c r="D26" s="329" t="s">
        <v>1424</v>
      </c>
      <c r="E26" s="319" t="s">
        <v>1425</v>
      </c>
      <c r="F26" s="318">
        <f ca="1">INDIRECT("'数据-取费表'!q"&amp;$G$1)</f>
        <v>0</v>
      </c>
      <c r="G26" s="1567"/>
      <c r="H26" s="305" t="s">
        <v>1000</v>
      </c>
      <c r="I26" s="306" t="s">
        <v>1426</v>
      </c>
      <c r="J26" s="307">
        <f ca="1">IF(J5&lt;&gt;0,ROUND(J25*(1-((1+M28)/(1+M26))^M27)/(M26-M28),0),0)</f>
        <v>0</v>
      </c>
      <c r="K26" s="330" t="s">
        <v>1427</v>
      </c>
      <c r="L26" s="308" t="s">
        <v>1428</v>
      </c>
      <c r="M26" s="318">
        <f ca="1">INDIRECT("'数据-取费表'!I"&amp;$G$1)</f>
        <v>0</v>
      </c>
    </row>
    <row r="27" spans="1:37" ht="18" customHeight="1">
      <c r="A27" s="1113" t="s">
        <v>1004</v>
      </c>
      <c r="B27" s="308" t="s">
        <v>1429</v>
      </c>
      <c r="C27" s="24">
        <f ca="1">ROUND(F21*F26,4)</f>
        <v>0</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0</v>
      </c>
      <c r="D29" s="1252"/>
      <c r="E29" s="1250"/>
      <c r="F29" s="1253"/>
      <c r="G29" s="1579"/>
      <c r="H29" s="340" t="s">
        <v>1001</v>
      </c>
      <c r="I29" s="341" t="s">
        <v>1437</v>
      </c>
      <c r="J29" s="342">
        <f ca="1">ROUND(J26/(1+F40)^F41,0)</f>
        <v>0</v>
      </c>
      <c r="K29" s="343" t="s">
        <v>1438</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0</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0</v>
      </c>
      <c r="D31" s="1528" t="s">
        <v>1388</v>
      </c>
      <c r="E31" s="1527" t="s">
        <v>1439</v>
      </c>
      <c r="F31" s="2531" t="str">
        <f>IF(项目基本情况!B11="企业","——",IF('数据-取费表'!B10="住宅",IF(F6*F7*F8/12/(1+'数据-取费表'!F30)&gt;100000,4%,2.5%),IF(F6*F7*F8/12/(1+'数据-取费表'!F30)&gt;100000,12%,7%)))</f>
        <v>——</v>
      </c>
      <c r="G31" s="1567"/>
      <c r="H31" s="3037" t="s">
        <v>3051</v>
      </c>
      <c r="I31" s="1581"/>
      <c r="J31" s="1582"/>
      <c r="K31" s="2699"/>
      <c r="L31" s="2925"/>
      <c r="M31" s="2926"/>
    </row>
    <row r="32" spans="1:37" ht="18" customHeight="1">
      <c r="A32" s="1113" t="s">
        <v>1002</v>
      </c>
      <c r="B32" s="308" t="s">
        <v>1391</v>
      </c>
      <c r="C32" s="24">
        <f ca="1">IF(项目基本情况!B11="自然人","——",ROUND(C6*F32/(1+'数据-取费表'!C42),0))</f>
        <v>0</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IF(项目基本情况!B11="自然人","——",IF(D33="按租金收入计税",ROUND(C6*F33/(1+'数据-取费表'!C42),0),IF(D33="按房产原值计税",ROUND(C29*F33*0.7,0),INDIRECT("'数据-取费表'!Aj"&amp;$G$1))))</f>
        <v>0</v>
      </c>
      <c r="D33" s="1553" t="s">
        <v>1396</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0</v>
      </c>
      <c r="G35" s="1567"/>
      <c r="H35" s="2924"/>
      <c r="I35" s="1581"/>
      <c r="J35" s="1582"/>
      <c r="K35" s="2928"/>
      <c r="L35" s="2927"/>
      <c r="M35" s="2927"/>
    </row>
    <row r="36" spans="1:18" ht="18" customHeight="1">
      <c r="A36" s="1262" t="s">
        <v>1007</v>
      </c>
      <c r="B36" s="308" t="s">
        <v>1407</v>
      </c>
      <c r="C36" s="24">
        <f ca="1">ROUND(C29*F36,0)</f>
        <v>0</v>
      </c>
      <c r="D36" s="1527" t="s">
        <v>1440</v>
      </c>
      <c r="E36" s="308" t="s">
        <v>1380</v>
      </c>
      <c r="F36" s="334">
        <f ca="1">INDIRECT("'数据-取费表'!Ak"&amp;$G$1)</f>
        <v>0</v>
      </c>
      <c r="G36" s="1567"/>
      <c r="H36" s="2927"/>
      <c r="I36" s="1581"/>
      <c r="J36" s="1582"/>
      <c r="K36" s="2768"/>
      <c r="L36" s="2927"/>
      <c r="M36" s="2927"/>
    </row>
    <row r="37" spans="1:18" ht="18" customHeight="1">
      <c r="A37" s="1113" t="s">
        <v>1043</v>
      </c>
      <c r="B37" s="308" t="s">
        <v>1411</v>
      </c>
      <c r="C37" s="24">
        <f ca="1">ROUND(C13*F37,0)</f>
        <v>0</v>
      </c>
      <c r="D37" s="1527" t="s">
        <v>1412</v>
      </c>
      <c r="E37" s="308" t="s">
        <v>1413</v>
      </c>
      <c r="F37" s="336">
        <f ca="1">INDIRECT("'数据-取费表'!Al"&amp;$G$1)</f>
        <v>0</v>
      </c>
      <c r="G37" s="1567"/>
      <c r="H37" s="2927"/>
      <c r="I37" s="1581"/>
      <c r="J37" s="1582"/>
      <c r="K37" s="2768"/>
      <c r="L37" s="2927"/>
      <c r="M37" s="2927"/>
    </row>
    <row r="38" spans="1:18" ht="18" customHeight="1" thickBot="1">
      <c r="A38" s="1249" t="s">
        <v>1351</v>
      </c>
      <c r="B38" s="1250" t="s">
        <v>1397</v>
      </c>
      <c r="C38" s="1251">
        <f ca="1">ROUND(C5*F38,1)</f>
        <v>0</v>
      </c>
      <c r="D38" s="1252" t="s">
        <v>1417</v>
      </c>
      <c r="E38" s="1250" t="s">
        <v>1413</v>
      </c>
      <c r="F38" s="1246">
        <f ca="1">INDIRECT("'数据-取费表'!Am"&amp;$G$1)</f>
        <v>0</v>
      </c>
      <c r="G38" s="1567"/>
      <c r="H38" s="2927"/>
      <c r="I38" s="1581"/>
      <c r="J38" s="1582"/>
      <c r="K38" s="2931"/>
      <c r="L38" s="2927"/>
      <c r="M38" s="2927"/>
    </row>
    <row r="39" spans="1:18" ht="24.6" customHeight="1" thickTop="1">
      <c r="A39" s="1239" t="s">
        <v>999</v>
      </c>
      <c r="B39" s="1254" t="s">
        <v>1441</v>
      </c>
      <c r="C39" s="316">
        <f ca="1">C5-C30</f>
        <v>0</v>
      </c>
      <c r="D39" s="1255" t="s">
        <v>1442</v>
      </c>
      <c r="E39" s="1256"/>
      <c r="F39" s="1257"/>
      <c r="G39" s="1567"/>
      <c r="H39" s="2927"/>
      <c r="I39" s="1581"/>
      <c r="J39" s="1582"/>
      <c r="K39" s="2931"/>
      <c r="L39" s="2927"/>
      <c r="M39" s="2927"/>
    </row>
    <row r="40" spans="1:18" ht="18" customHeight="1">
      <c r="A40" s="305" t="s">
        <v>1000</v>
      </c>
      <c r="B40" s="306" t="s">
        <v>1443</v>
      </c>
      <c r="C40" s="307" t="e">
        <f ca="1">ROUND(C39*(1-((1+F42)/(1+F40))^F41)/(F40-F42),0)</f>
        <v>#DIV/0!</v>
      </c>
      <c r="D40" s="330" t="s">
        <v>1427</v>
      </c>
      <c r="E40" s="308" t="s">
        <v>1428</v>
      </c>
      <c r="F40" s="318">
        <f ca="1">INDIRECT("'数据-取费表'!I"&amp;$G$1)</f>
        <v>0</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1435</v>
      </c>
      <c r="F42" s="318">
        <f ca="1">INDIRECT("'数据-取费表'!v"&amp;$G$1)</f>
        <v>0</v>
      </c>
      <c r="G42" s="1567"/>
      <c r="H42" s="1352"/>
      <c r="I42" s="1581"/>
      <c r="J42" s="1582"/>
      <c r="K42" s="2768"/>
      <c r="L42" s="1352"/>
      <c r="M42" s="1352"/>
    </row>
    <row r="43" spans="1:18" ht="18" customHeight="1" thickBot="1">
      <c r="A43" s="340" t="s">
        <v>1001</v>
      </c>
      <c r="B43" s="341" t="s">
        <v>1445</v>
      </c>
      <c r="C43" s="342" t="e">
        <f ca="1">ROUND(C40/F43,0)</f>
        <v>#DIV/0!</v>
      </c>
      <c r="D43" s="343" t="s">
        <v>1446</v>
      </c>
      <c r="E43" s="344" t="s">
        <v>1447</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1562</v>
      </c>
      <c r="E45" s="1583"/>
      <c r="F45" s="1583"/>
      <c r="O45" s="1586" t="s">
        <v>1477</v>
      </c>
      <c r="P45" s="1644"/>
      <c r="Q45" s="1644"/>
      <c r="R45" s="1644"/>
    </row>
    <row r="46" spans="1:18" s="1567" customFormat="1" ht="13.5" thickBot="1">
      <c r="A46" s="1587" t="s">
        <v>1478</v>
      </c>
      <c r="C46" s="1588" t="e">
        <f ca="1">ROUND(C45/10000,0)</f>
        <v>#DIV/0!</v>
      </c>
      <c r="D46" s="1589" t="str">
        <f>C2</f>
        <v>万元</v>
      </c>
      <c r="I46" s="1590" t="s">
        <v>1479</v>
      </c>
      <c r="J46" s="1591"/>
      <c r="K46" s="1592"/>
      <c r="L46" s="1593" t="e">
        <f ca="1">IF(M47="住宅",0,IF(L48&gt;J51,L60,J60))</f>
        <v>#DIV/0!</v>
      </c>
      <c r="O46" s="1594" t="s">
        <v>1480</v>
      </c>
      <c r="P46" s="1595" t="s">
        <v>1481</v>
      </c>
      <c r="Q46" s="1596" t="s">
        <v>1482</v>
      </c>
      <c r="R46" s="1596" t="s">
        <v>1483</v>
      </c>
    </row>
    <row r="47" spans="1:18" s="1567" customFormat="1" ht="13.5" thickBot="1">
      <c r="A47" s="1077" t="s">
        <v>1354</v>
      </c>
      <c r="B47" s="1109" t="s">
        <v>1355</v>
      </c>
      <c r="C47" s="1109" t="s">
        <v>1356</v>
      </c>
      <c r="D47" s="1109" t="s">
        <v>1357</v>
      </c>
      <c r="E47" s="1189" t="s">
        <v>1358</v>
      </c>
      <c r="F47" s="1190"/>
      <c r="G47" s="731"/>
      <c r="I47" s="1597" t="s">
        <v>1484</v>
      </c>
      <c r="J47" s="1598"/>
      <c r="K47" s="1599" t="s">
        <v>1485</v>
      </c>
      <c r="L47" s="1600">
        <f ca="1">INDIRECT("'数据-取费表'!d"&amp;$G$1)</f>
        <v>0</v>
      </c>
      <c r="M47" s="1563" t="str">
        <f>IF(ISNUMBER(FIND("住宅",C1)),"住宅","非住宅")</f>
        <v>非住宅</v>
      </c>
      <c r="O47" s="1601" t="s">
        <v>1008</v>
      </c>
      <c r="P47" s="1602" t="s">
        <v>1486</v>
      </c>
      <c r="Q47" s="1603" t="e">
        <f ca="1">C40+J29</f>
        <v>#DIV/0!</v>
      </c>
      <c r="R47" s="1603" t="s">
        <v>1487</v>
      </c>
    </row>
    <row r="48" spans="1:18" s="1567" customFormat="1" ht="28.5" thickBot="1">
      <c r="A48" s="1270" t="s">
        <v>1096</v>
      </c>
      <c r="B48" s="306" t="s">
        <v>1359</v>
      </c>
      <c r="C48" s="1542">
        <f ca="1">C49+C53+C55</f>
        <v>0</v>
      </c>
      <c r="D48" s="1272"/>
      <c r="E48" s="1273"/>
      <c r="F48" s="1093"/>
      <c r="G48" s="731"/>
      <c r="H48" s="732"/>
      <c r="I48" s="1604" t="s">
        <v>1488</v>
      </c>
      <c r="J48" s="1605"/>
      <c r="K48" s="1606" t="s">
        <v>1489</v>
      </c>
      <c r="L48" s="1607">
        <f ca="1">INDIRECT("'数据-取费表'!f"&amp;$G$1)</f>
        <v>0</v>
      </c>
      <c r="O48" s="1601" t="s">
        <v>1009</v>
      </c>
      <c r="P48" s="1602" t="s">
        <v>1490</v>
      </c>
      <c r="Q48" s="1603" t="e">
        <f ca="1">J60</f>
        <v>#DIV/0!</v>
      </c>
      <c r="R48" s="1603" t="s">
        <v>1491</v>
      </c>
    </row>
    <row r="49" spans="1:18" s="1567" customFormat="1" ht="13.5" thickBot="1">
      <c r="A49" s="1106" t="s">
        <v>1097</v>
      </c>
      <c r="B49" s="1554" t="s">
        <v>1448</v>
      </c>
      <c r="C49" s="1274">
        <f ca="1">ROUND(F49*F51*F50*(1-F52),0)</f>
        <v>0</v>
      </c>
      <c r="D49" s="1186" t="s">
        <v>1362</v>
      </c>
      <c r="E49" s="1555" t="s">
        <v>1449</v>
      </c>
      <c r="F49" s="1191"/>
      <c r="G49" s="1608"/>
      <c r="H49" s="732"/>
      <c r="I49" s="1604" t="s">
        <v>1492</v>
      </c>
      <c r="J49" s="1609"/>
      <c r="K49" s="1606" t="s">
        <v>1493</v>
      </c>
      <c r="L49" s="1610"/>
      <c r="O49" s="1611" t="s">
        <v>1010</v>
      </c>
      <c r="P49" s="1602" t="s">
        <v>1494</v>
      </c>
      <c r="Q49" s="1603">
        <f ca="1">C29</f>
        <v>0</v>
      </c>
      <c r="R49" s="1603" t="s">
        <v>1487</v>
      </c>
    </row>
    <row r="50" spans="1:18" s="1567" customFormat="1" ht="13.5" thickBot="1">
      <c r="A50" s="1107"/>
      <c r="B50" s="1110"/>
      <c r="C50" s="1111"/>
      <c r="D50" s="1084"/>
      <c r="E50" s="1187" t="s">
        <v>1364</v>
      </c>
      <c r="F50" s="1188">
        <f ca="1">F7</f>
        <v>0</v>
      </c>
      <c r="H50" s="732"/>
      <c r="I50" s="1604" t="s">
        <v>1495</v>
      </c>
      <c r="J50" s="1612">
        <f>SUMPRODUCT((I63:I65=J47)*(J62:L62=J48)*(J63:L65))</f>
        <v>0</v>
      </c>
      <c r="K50" s="1606" t="s">
        <v>1496</v>
      </c>
      <c r="L50" s="1610"/>
      <c r="M50" s="1613"/>
      <c r="O50" s="1611" t="s">
        <v>1011</v>
      </c>
      <c r="P50" s="1602" t="s">
        <v>1497</v>
      </c>
      <c r="Q50" s="1614" t="e">
        <f ca="1">J58</f>
        <v>#DIV/0!</v>
      </c>
      <c r="R50" s="1603"/>
    </row>
    <row r="51" spans="1:18" s="1567" customFormat="1" ht="13.5" thickBot="1">
      <c r="A51" s="1108"/>
      <c r="B51" s="1110"/>
      <c r="C51" s="1111"/>
      <c r="D51" s="1084"/>
      <c r="E51" s="1112" t="s">
        <v>1365</v>
      </c>
      <c r="F51" s="309">
        <f ca="1">F8</f>
        <v>0</v>
      </c>
      <c r="I51" s="1615" t="s">
        <v>1498</v>
      </c>
      <c r="J51" s="1616">
        <f>IF(J49="",J50,J49+J50-YEAR('数据-取费表'!B2))</f>
        <v>0</v>
      </c>
      <c r="K51" s="1617" t="s">
        <v>1499</v>
      </c>
      <c r="L51" s="1618">
        <f ca="1">ROUND(-PV(INDIRECT("'数据-取费表'!h"&amp;$G$1),J51,(C39-C13*C76),0),0)</f>
        <v>0</v>
      </c>
      <c r="M51" s="1619"/>
      <c r="O51" s="1611" t="s">
        <v>1012</v>
      </c>
      <c r="P51" s="1602" t="s">
        <v>1500</v>
      </c>
      <c r="Q51" s="1614">
        <f>J52</f>
        <v>0</v>
      </c>
      <c r="R51" s="1603"/>
    </row>
    <row r="52" spans="1:18" s="1567" customFormat="1" ht="13.5" thickBot="1">
      <c r="A52" s="1108"/>
      <c r="B52" s="1110"/>
      <c r="C52" s="1111"/>
      <c r="D52" s="1084"/>
      <c r="E52" s="1112" t="s">
        <v>1366</v>
      </c>
      <c r="F52" s="1185"/>
      <c r="I52" s="1620" t="s">
        <v>1501</v>
      </c>
      <c r="J52" s="1621"/>
      <c r="K52" s="1620" t="s">
        <v>1502</v>
      </c>
      <c r="L52" s="1621"/>
      <c r="O52" s="1611" t="s">
        <v>1013</v>
      </c>
      <c r="P52" s="1602" t="s">
        <v>1503</v>
      </c>
      <c r="Q52" s="1603">
        <f ca="1">J53</f>
        <v>0</v>
      </c>
      <c r="R52" s="1603" t="s">
        <v>1504</v>
      </c>
    </row>
    <row r="53" spans="1:18" s="1567" customFormat="1" ht="30.75" customHeight="1" thickBot="1">
      <c r="A53" s="1271" t="s">
        <v>1098</v>
      </c>
      <c r="B53" s="329" t="s">
        <v>1367</v>
      </c>
      <c r="C53" s="322">
        <f ca="1">ROUND(IF(F53="押一",C49/12*F11,IF(F53="押二",C49/12*2*F11,IF(F53="押三",C49/12*3*F11,C54*F11))),0)</f>
        <v>0</v>
      </c>
      <c r="D53" s="1549" t="s">
        <v>2854</v>
      </c>
      <c r="E53" s="319" t="s">
        <v>1368</v>
      </c>
      <c r="F53" s="1276"/>
      <c r="I53" s="1622" t="s">
        <v>1505</v>
      </c>
      <c r="J53" s="2384">
        <f ca="1">IF(M47="住宅",IF(D1="——",MAX(J51,L48),MAX(J51,L48-'数据-取费表'!B24)),IF(D1="——",MIN(J51,L48),MIN(J51,L48-'数据-取费表'!B24)))</f>
        <v>0</v>
      </c>
      <c r="K53" s="3309" t="s">
        <v>1506</v>
      </c>
      <c r="L53" s="3310"/>
      <c r="O53" s="1601" t="s">
        <v>1014</v>
      </c>
      <c r="P53" s="1602" t="s">
        <v>1507</v>
      </c>
      <c r="Q53" s="1603" t="e">
        <f ca="1">Q47+Q48</f>
        <v>#DIV/0!</v>
      </c>
      <c r="R53" s="1603" t="s">
        <v>1015</v>
      </c>
    </row>
    <row r="54" spans="1:18" s="1567" customFormat="1" ht="13.5" thickBot="1">
      <c r="A54" s="1106"/>
      <c r="B54" s="1657" t="s">
        <v>1561</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1508</v>
      </c>
      <c r="P54" s="1564"/>
      <c r="Q54" s="1564"/>
      <c r="R54" s="1564"/>
    </row>
    <row r="55" spans="1:18" s="1567" customFormat="1" ht="13.5" thickBot="1">
      <c r="A55" s="1243" t="s">
        <v>1043</v>
      </c>
      <c r="B55" s="1552" t="s">
        <v>1371</v>
      </c>
      <c r="C55" s="1244"/>
      <c r="D55" s="1549"/>
      <c r="E55" s="1557"/>
      <c r="F55" s="1623"/>
      <c r="I55" s="1626" t="s">
        <v>1509</v>
      </c>
      <c r="J55" s="1627" t="e">
        <f ca="1">ROUND(IF(J47="钢混",J57/J50,1-(1-2%)*(J50-J57)/J50),3)</f>
        <v>#DIV/0!</v>
      </c>
      <c r="K55" s="1628" t="s">
        <v>1510</v>
      </c>
      <c r="L55" s="1629"/>
      <c r="O55" s="1594" t="s">
        <v>1480</v>
      </c>
      <c r="P55" s="1595" t="s">
        <v>1481</v>
      </c>
      <c r="Q55" s="1596" t="s">
        <v>1482</v>
      </c>
      <c r="R55" s="1596" t="s">
        <v>1483</v>
      </c>
    </row>
    <row r="56" spans="1:18" s="1567" customFormat="1" ht="36" customHeight="1" thickTop="1" thickBot="1">
      <c r="A56" s="1088">
        <v>2</v>
      </c>
      <c r="B56" s="1089" t="s">
        <v>1372</v>
      </c>
      <c r="C56" s="238">
        <f ca="1">C13</f>
        <v>0</v>
      </c>
      <c r="D56" s="1630"/>
      <c r="E56" s="1631"/>
      <c r="F56" s="1623"/>
      <c r="I56" s="1632" t="s">
        <v>1512</v>
      </c>
      <c r="J56" s="1633"/>
      <c r="K56" s="1604" t="s">
        <v>1513</v>
      </c>
      <c r="L56" s="1607">
        <f ca="1">IF(L48&lt;J51,"——",L48-J51)</f>
        <v>0</v>
      </c>
      <c r="O56" s="1601" t="s">
        <v>1008</v>
      </c>
      <c r="P56" s="1602" t="s">
        <v>1486</v>
      </c>
      <c r="Q56" s="1603" t="e">
        <f ca="1">C40+J29</f>
        <v>#DIV/0!</v>
      </c>
      <c r="R56" s="1603" t="s">
        <v>1487</v>
      </c>
    </row>
    <row r="57" spans="1:18" s="1567" customFormat="1" ht="24.75" thickBot="1">
      <c r="A57" s="1634"/>
      <c r="B57" s="1081" t="s">
        <v>1436</v>
      </c>
      <c r="C57" s="244">
        <f ca="1">C29</f>
        <v>0</v>
      </c>
      <c r="D57" s="1635"/>
      <c r="E57" s="1636"/>
      <c r="F57" s="1637"/>
      <c r="I57" s="1638" t="s">
        <v>1514</v>
      </c>
      <c r="J57" s="1639">
        <f ca="1">IF(OR(M47="住宅",J51&lt;L48,J56="是"),"——",J51-L48)</f>
        <v>0</v>
      </c>
      <c r="K57" s="1604" t="s">
        <v>1563</v>
      </c>
      <c r="L57" s="1607">
        <f ca="1">IF(L48&lt;J51,"——",IF(L55="比较法",L49,IF(L55="基准地价",L50,L51)))</f>
        <v>0</v>
      </c>
      <c r="O57" s="1601" t="s">
        <v>1009</v>
      </c>
      <c r="P57" s="1602" t="s">
        <v>1564</v>
      </c>
      <c r="Q57" s="1603" t="e">
        <f ca="1">L60</f>
        <v>#DIV/0!</v>
      </c>
      <c r="R57" s="1603" t="s">
        <v>1565</v>
      </c>
    </row>
    <row r="58" spans="1:18" s="1567" customFormat="1" ht="24.75" thickBot="1">
      <c r="A58" s="321" t="s">
        <v>998</v>
      </c>
      <c r="B58" s="1089" t="s">
        <v>1382</v>
      </c>
      <c r="C58" s="322">
        <f ca="1">ROUND(C59+C64+C65+C66,0)</f>
        <v>0</v>
      </c>
      <c r="D58" s="1091" t="s">
        <v>1383</v>
      </c>
      <c r="E58" s="1092"/>
      <c r="F58" s="1093"/>
      <c r="I58" s="1638" t="s">
        <v>1518</v>
      </c>
      <c r="J58" s="1640" t="e">
        <f ca="1">IF(J55&lt;0.4,0.4,J55)</f>
        <v>#DIV/0!</v>
      </c>
      <c r="K58" s="1617" t="s">
        <v>1566</v>
      </c>
      <c r="L58" s="1607" t="e">
        <f ca="1">ROUND(POWER(1+L52,L47-L48)*(POWER(1+L52,L48)-1)/(POWER(1+L52,L47)-1),4)</f>
        <v>#DIV/0!</v>
      </c>
      <c r="O58" s="1611" t="s">
        <v>1010</v>
      </c>
      <c r="P58" s="1602" t="s">
        <v>1520</v>
      </c>
      <c r="Q58" s="1603">
        <f>IF(L55="比较法",L49,IF(L55="基准地价",L50,0))</f>
        <v>0</v>
      </c>
      <c r="R58" s="1603" t="s">
        <v>1487</v>
      </c>
    </row>
    <row r="59" spans="1:18" s="1567" customFormat="1" ht="24.75" thickBot="1">
      <c r="A59" s="1113" t="s">
        <v>1003</v>
      </c>
      <c r="B59" s="1081" t="s">
        <v>1387</v>
      </c>
      <c r="C59" s="2532">
        <f ca="1">ROUND(IF(AND(项目基本情况!B11="自然人",项目基本情况!B10="北京市"),C49*F59/(1+'数据-取费表'!C42),C60+C61+C62),0)</f>
        <v>0</v>
      </c>
      <c r="D59" s="1094" t="s">
        <v>1388</v>
      </c>
      <c r="E59" s="1095" t="s">
        <v>1389</v>
      </c>
      <c r="F59" s="2531" t="str">
        <f>IF(项目基本情况!B11="企业","——",IF('数据-取费表'!B10="住宅",IF(F49*F50*F51/12/(1+'数据-取费表'!F30)&gt;100000,4%,2.5%),IF(F49*F50*F51/12/(1+'数据-取费表'!F30)&gt;100000,12%,7%)))</f>
        <v>——</v>
      </c>
      <c r="I59" s="1638" t="s">
        <v>1521</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1522</v>
      </c>
      <c r="Q59" s="1614">
        <f>L52</f>
        <v>0</v>
      </c>
      <c r="R59" s="1603"/>
    </row>
    <row r="60" spans="1:18" s="1567" customFormat="1" ht="16.5" thickBot="1">
      <c r="A60" s="1113" t="s">
        <v>1002</v>
      </c>
      <c r="B60" s="1081" t="s">
        <v>1391</v>
      </c>
      <c r="C60" s="24">
        <f ca="1">IF(项目基本情况!B11="自然人","——",ROUND(C48*F60/(1+'数据-取费表'!C42),0))</f>
        <v>0</v>
      </c>
      <c r="D60" s="1095" t="s">
        <v>1392</v>
      </c>
      <c r="E60" s="1081" t="s">
        <v>1380</v>
      </c>
      <c r="F60" s="337">
        <f t="shared" ref="F60:F66" si="0">F32</f>
        <v>5.6000000000000001E-2</v>
      </c>
      <c r="I60" s="1641" t="s">
        <v>1523</v>
      </c>
      <c r="J60" s="1642" t="e">
        <f ca="1">IF(OR(M47="住宅",J51&lt;L48,J56="是"),"0",ROUND(J59/(1+J52)^J53,0))</f>
        <v>#DIV/0!</v>
      </c>
      <c r="K60" s="1643" t="s">
        <v>1524</v>
      </c>
      <c r="L60" s="1642" t="e">
        <f ca="1">IF(OR(M47="住宅",L48&lt;J51),0,ROUND(L57*(L58/L59-1),0))</f>
        <v>#DIV/0!</v>
      </c>
      <c r="O60" s="1611" t="s">
        <v>1012</v>
      </c>
      <c r="P60" s="1602" t="s">
        <v>1525</v>
      </c>
      <c r="Q60" s="1603" t="e">
        <f ca="1">L58</f>
        <v>#DIV/0!</v>
      </c>
      <c r="R60" s="1603" t="s">
        <v>1526</v>
      </c>
    </row>
    <row r="61" spans="1:18" s="1567" customFormat="1" ht="13.5" thickBot="1">
      <c r="A61" s="1113" t="s">
        <v>1450</v>
      </c>
      <c r="B61" s="1081" t="s">
        <v>1451</v>
      </c>
      <c r="C61" s="24">
        <f ca="1">IF(项目基本情况!B11="自然人","——",IF(D61="按租金收入计税",ROUND(C49*F61/(1+'数据-取费表'!C42),0),IF(D61="按房产原值计税",ROUND(C57*F61*0.7,0),INDIRECT("'数据-取费表'!Aj"&amp;$G$1))))</f>
        <v>0</v>
      </c>
      <c r="D61" s="1553" t="s">
        <v>1396</v>
      </c>
      <c r="E61" s="1081" t="s">
        <v>1452</v>
      </c>
      <c r="F61" s="328">
        <f t="shared" si="0"/>
        <v>1.2E-2</v>
      </c>
      <c r="I61" s="1644"/>
      <c r="J61" s="1644"/>
      <c r="K61" s="1644"/>
      <c r="L61" s="1644"/>
      <c r="O61" s="1611" t="s">
        <v>1013</v>
      </c>
      <c r="P61" s="1602" t="str">
        <f>K59</f>
        <v>建设期及建筑物耐用年限下的土地年期修正系数Kn</v>
      </c>
      <c r="Q61" s="1603" t="e">
        <f ca="1">L59</f>
        <v>#DIV/0!</v>
      </c>
      <c r="R61" s="1603" t="s">
        <v>1527</v>
      </c>
    </row>
    <row r="62" spans="1:18" s="1567" customFormat="1" ht="13.5" thickBot="1">
      <c r="A62" s="1113" t="s">
        <v>1453</v>
      </c>
      <c r="B62" s="1080" t="s">
        <v>1454</v>
      </c>
      <c r="C62" s="25">
        <f ca="1">IF(项目基本情况!B11="自然人","——",ROUND(F62*F63,0))</f>
        <v>0</v>
      </c>
      <c r="D62" s="1096" t="s">
        <v>1455</v>
      </c>
      <c r="E62" s="1081" t="s">
        <v>1456</v>
      </c>
      <c r="F62" s="331">
        <f t="shared" si="0"/>
        <v>0</v>
      </c>
      <c r="I62" s="1645" t="s">
        <v>1528</v>
      </c>
      <c r="J62" s="1646" t="s">
        <v>1529</v>
      </c>
      <c r="K62" s="1646" t="s">
        <v>1530</v>
      </c>
      <c r="L62" s="1646" t="s">
        <v>1531</v>
      </c>
      <c r="M62" s="1647" t="s">
        <v>1532</v>
      </c>
      <c r="O62" s="1601" t="s">
        <v>1014</v>
      </c>
      <c r="P62" s="1602" t="s">
        <v>1533</v>
      </c>
      <c r="Q62" s="1603" t="e">
        <f ca="1">Q56+Q57</f>
        <v>#DIV/0!</v>
      </c>
      <c r="R62" s="1603" t="s">
        <v>1015</v>
      </c>
    </row>
    <row r="63" spans="1:18" s="1567" customFormat="1" ht="13.5" thickBot="1">
      <c r="A63" s="332"/>
      <c r="B63" s="1087"/>
      <c r="C63" s="29"/>
      <c r="D63" s="1097"/>
      <c r="E63" s="1081" t="s">
        <v>1457</v>
      </c>
      <c r="F63" s="309">
        <f t="shared" ca="1" si="0"/>
        <v>0</v>
      </c>
      <c r="I63" s="1645" t="s">
        <v>1534</v>
      </c>
      <c r="J63" s="1646">
        <v>70</v>
      </c>
      <c r="K63" s="1646">
        <v>50</v>
      </c>
      <c r="L63" s="1646">
        <v>80</v>
      </c>
      <c r="M63" s="1648">
        <v>0.02</v>
      </c>
      <c r="O63" s="1586" t="s">
        <v>1535</v>
      </c>
      <c r="P63" s="1564"/>
      <c r="Q63" s="1564"/>
      <c r="R63" s="1564"/>
    </row>
    <row r="64" spans="1:18" s="1567" customFormat="1" ht="13.5" thickBot="1">
      <c r="A64" s="1113" t="s">
        <v>1458</v>
      </c>
      <c r="B64" s="1081" t="s">
        <v>1459</v>
      </c>
      <c r="C64" s="24">
        <f ca="1">ROUND(C57*F64,0)</f>
        <v>0</v>
      </c>
      <c r="D64" s="1095" t="s">
        <v>1460</v>
      </c>
      <c r="E64" s="1081" t="s">
        <v>1452</v>
      </c>
      <c r="F64" s="334">
        <f t="shared" ca="1" si="0"/>
        <v>0</v>
      </c>
      <c r="I64" s="1645" t="s">
        <v>1536</v>
      </c>
      <c r="J64" s="1646">
        <v>50</v>
      </c>
      <c r="K64" s="1646">
        <v>35</v>
      </c>
      <c r="L64" s="1646">
        <v>60</v>
      </c>
      <c r="M64" s="1647">
        <v>0</v>
      </c>
      <c r="O64" s="1594" t="s">
        <v>1480</v>
      </c>
      <c r="P64" s="1595" t="s">
        <v>1481</v>
      </c>
      <c r="Q64" s="1596" t="s">
        <v>1482</v>
      </c>
      <c r="R64" s="1596" t="s">
        <v>1483</v>
      </c>
    </row>
    <row r="65" spans="1:18" s="1567" customFormat="1" ht="13.5" thickBot="1">
      <c r="A65" s="1113" t="s">
        <v>1461</v>
      </c>
      <c r="B65" s="1081" t="s">
        <v>1411</v>
      </c>
      <c r="C65" s="24">
        <f ca="1">ROUND(C56*F65,0)</f>
        <v>0</v>
      </c>
      <c r="D65" s="1095" t="s">
        <v>1412</v>
      </c>
      <c r="E65" s="1081" t="s">
        <v>1413</v>
      </c>
      <c r="F65" s="336">
        <f t="shared" ca="1" si="0"/>
        <v>0</v>
      </c>
      <c r="I65" s="1645" t="s">
        <v>1537</v>
      </c>
      <c r="J65" s="1646">
        <v>40</v>
      </c>
      <c r="K65" s="1646">
        <v>30</v>
      </c>
      <c r="L65" s="1646">
        <v>50</v>
      </c>
      <c r="M65" s="1648">
        <v>0.02</v>
      </c>
      <c r="O65" s="1601" t="s">
        <v>1008</v>
      </c>
      <c r="P65" s="1602" t="s">
        <v>1538</v>
      </c>
      <c r="Q65" s="1603" t="e">
        <f ca="1">C40+J29</f>
        <v>#DIV/0!</v>
      </c>
      <c r="R65" s="1603" t="s">
        <v>1487</v>
      </c>
    </row>
    <row r="66" spans="1:18" s="1567" customFormat="1" ht="16.5" thickBot="1">
      <c r="A66" s="1113" t="s">
        <v>1462</v>
      </c>
      <c r="B66" s="1081" t="s">
        <v>1397</v>
      </c>
      <c r="C66" s="24">
        <f ca="1">ROUND(C48*F66,0)</f>
        <v>0</v>
      </c>
      <c r="D66" s="1095" t="s">
        <v>1463</v>
      </c>
      <c r="E66" s="1081" t="s">
        <v>1380</v>
      </c>
      <c r="F66" s="318">
        <f t="shared" ca="1" si="0"/>
        <v>0</v>
      </c>
      <c r="O66" s="1601" t="s">
        <v>1009</v>
      </c>
      <c r="P66" s="1602" t="s">
        <v>1516</v>
      </c>
      <c r="Q66" s="1603" t="e">
        <f ca="1">L60</f>
        <v>#DIV/0!</v>
      </c>
      <c r="R66" s="1603" t="s">
        <v>1539</v>
      </c>
    </row>
    <row r="67" spans="1:18" s="1567" customFormat="1" ht="16.5" thickBot="1">
      <c r="A67" s="1088" t="s">
        <v>999</v>
      </c>
      <c r="B67" s="1098" t="s">
        <v>1421</v>
      </c>
      <c r="C67" s="322">
        <f ca="1">C48-C58</f>
        <v>0</v>
      </c>
      <c r="D67" s="1094" t="s">
        <v>1422</v>
      </c>
      <c r="E67" s="1099"/>
      <c r="F67" s="1100"/>
      <c r="O67" s="1611" t="s">
        <v>1010</v>
      </c>
      <c r="P67" s="1602" t="s">
        <v>1520</v>
      </c>
      <c r="Q67" s="1649">
        <f ca="1">L51</f>
        <v>0</v>
      </c>
      <c r="R67" s="1603" t="s">
        <v>1540</v>
      </c>
    </row>
    <row r="68" spans="1:18" s="1567" customFormat="1" ht="16.5" thickBot="1">
      <c r="A68" s="1078" t="s">
        <v>1000</v>
      </c>
      <c r="B68" s="1079" t="s">
        <v>1443</v>
      </c>
      <c r="C68" s="307" t="e">
        <f ca="1">ROUND(C67*(1-((1+F70)/(1+F68))^F69)/(F68-F70),0)</f>
        <v>#DIV/0!</v>
      </c>
      <c r="D68" s="1096" t="s">
        <v>1427</v>
      </c>
      <c r="E68" s="1081" t="s">
        <v>1428</v>
      </c>
      <c r="F68" s="318">
        <f ca="1">F40</f>
        <v>0</v>
      </c>
      <c r="O68" s="1611" t="s">
        <v>1011</v>
      </c>
      <c r="P68" s="1650" t="s">
        <v>1541</v>
      </c>
      <c r="Q68" s="1603">
        <f ca="1">ROUND(Q69-Q70*Q71,0)</f>
        <v>0</v>
      </c>
      <c r="R68" s="1603" t="s">
        <v>1019</v>
      </c>
    </row>
    <row r="69" spans="1:18" s="1567" customFormat="1" ht="13.5" thickBot="1">
      <c r="A69" s="1082"/>
      <c r="B69" s="1083"/>
      <c r="C69" s="312"/>
      <c r="D69" s="1101" t="s">
        <v>1431</v>
      </c>
      <c r="E69" s="1081" t="s">
        <v>1432</v>
      </c>
      <c r="F69" s="339">
        <f ca="1">F41</f>
        <v>0</v>
      </c>
      <c r="O69" s="1611" t="s">
        <v>1016</v>
      </c>
      <c r="P69" s="1650" t="s">
        <v>1542</v>
      </c>
      <c r="Q69" s="1603">
        <f ca="1">C39</f>
        <v>0</v>
      </c>
      <c r="R69" s="1603" t="s">
        <v>1487</v>
      </c>
    </row>
    <row r="70" spans="1:18" s="1567" customFormat="1" ht="13.5" thickBot="1">
      <c r="A70" s="1085"/>
      <c r="B70" s="1086"/>
      <c r="C70" s="316"/>
      <c r="D70" s="1097"/>
      <c r="E70" s="1081" t="s">
        <v>1435</v>
      </c>
      <c r="F70" s="1185">
        <f ca="1">F42</f>
        <v>0</v>
      </c>
      <c r="O70" s="1611" t="s">
        <v>1017</v>
      </c>
      <c r="P70" s="1650" t="s">
        <v>1543</v>
      </c>
      <c r="Q70" s="1603">
        <f ca="1">C13</f>
        <v>0</v>
      </c>
      <c r="R70" s="1603" t="s">
        <v>1487</v>
      </c>
    </row>
    <row r="71" spans="1:18" s="1567" customFormat="1" ht="13.5" thickBot="1">
      <c r="A71" s="1102" t="s">
        <v>1001</v>
      </c>
      <c r="B71" s="1103" t="s">
        <v>1445</v>
      </c>
      <c r="C71" s="342" t="e">
        <f ca="1">ROUND(C68/F71,0)</f>
        <v>#DIV/0!</v>
      </c>
      <c r="D71" s="1104" t="s">
        <v>1446</v>
      </c>
      <c r="E71" s="1105" t="s">
        <v>1447</v>
      </c>
      <c r="F71" s="345">
        <f ca="1">F43</f>
        <v>0</v>
      </c>
      <c r="O71" s="1611" t="s">
        <v>1018</v>
      </c>
      <c r="P71" s="1650" t="s">
        <v>1544</v>
      </c>
      <c r="Q71" s="1614">
        <f ca="1">C76</f>
        <v>0</v>
      </c>
      <c r="R71" s="1603"/>
    </row>
    <row r="72" spans="1:18" s="1567" customFormat="1" ht="13.5" thickBot="1">
      <c r="B72" s="735"/>
      <c r="C72" s="735"/>
      <c r="O72" s="1611" t="s">
        <v>1012</v>
      </c>
      <c r="P72" s="1602" t="s">
        <v>1522</v>
      </c>
      <c r="Q72" s="1614">
        <f>L52</f>
        <v>0</v>
      </c>
      <c r="R72" s="1603"/>
    </row>
    <row r="73" spans="1:18" ht="16.5" thickBot="1">
      <c r="A73" s="1567"/>
      <c r="B73" s="735"/>
      <c r="C73" s="735"/>
      <c r="D73" s="1567"/>
      <c r="E73" s="1567"/>
      <c r="F73" s="1567"/>
      <c r="O73" s="1611" t="s">
        <v>1013</v>
      </c>
      <c r="P73" s="1602" t="s">
        <v>1525</v>
      </c>
      <c r="Q73" s="1603" t="e">
        <f ca="1">L58</f>
        <v>#DIV/0!</v>
      </c>
      <c r="R73" s="1603" t="s">
        <v>1526</v>
      </c>
    </row>
    <row r="74" spans="1:18" ht="13.5" thickBot="1">
      <c r="A74" s="1567"/>
      <c r="B74" s="279" t="s">
        <v>1545</v>
      </c>
      <c r="C74" s="1652"/>
      <c r="D74" s="1567"/>
      <c r="E74" s="1567"/>
      <c r="F74" s="1567"/>
      <c r="O74" s="1611" t="s">
        <v>1020</v>
      </c>
      <c r="P74" s="1602" t="str">
        <f>K59</f>
        <v>建设期及建筑物耐用年限下的土地年期修正系数Kn</v>
      </c>
      <c r="Q74" s="1603" t="e">
        <f ca="1">L59</f>
        <v>#DIV/0!</v>
      </c>
      <c r="R74" s="1603" t="s">
        <v>1527</v>
      </c>
    </row>
    <row r="75" spans="1:18" ht="13.5" thickBot="1">
      <c r="A75" s="1567"/>
      <c r="B75" s="346" t="s">
        <v>1464</v>
      </c>
      <c r="C75" s="347">
        <f ca="1">ROUND(C13*C76,0)</f>
        <v>0</v>
      </c>
      <c r="D75" s="1567"/>
      <c r="E75" s="1567"/>
      <c r="F75" s="1567"/>
      <c r="K75" s="1585"/>
      <c r="L75" s="1567"/>
      <c r="O75" s="1601" t="s">
        <v>1014</v>
      </c>
      <c r="P75" s="1602" t="s">
        <v>1507</v>
      </c>
      <c r="Q75" s="1603" t="e">
        <f ca="1">Q65+Q66</f>
        <v>#DIV/0!</v>
      </c>
      <c r="R75" s="1603" t="s">
        <v>1015</v>
      </c>
    </row>
    <row r="76" spans="1:18">
      <c r="B76" s="348" t="s">
        <v>1465</v>
      </c>
      <c r="C76" s="349">
        <f ca="1">INDIRECT("'数据-取费表'!j"&amp;$G$1)</f>
        <v>0</v>
      </c>
      <c r="I76" s="1567"/>
      <c r="J76" s="1567"/>
      <c r="K76" s="1585"/>
      <c r="L76" s="1567"/>
    </row>
    <row r="77" spans="1:18">
      <c r="B77" s="350" t="s">
        <v>1466</v>
      </c>
      <c r="C77" s="351"/>
      <c r="I77" s="1567"/>
      <c r="J77" s="1567"/>
      <c r="K77" s="1585"/>
      <c r="L77" s="1567"/>
    </row>
    <row r="78" spans="1:18">
      <c r="B78" s="276" t="s">
        <v>1467</v>
      </c>
      <c r="C78" s="352"/>
    </row>
    <row r="79" spans="1:18">
      <c r="B79" s="346" t="s">
        <v>1468</v>
      </c>
      <c r="C79" s="280" t="e">
        <f ca="1">1-C80</f>
        <v>#DIV/0!</v>
      </c>
    </row>
    <row r="80" spans="1:18">
      <c r="B80" s="346" t="s">
        <v>1469</v>
      </c>
      <c r="C80" s="280" t="e">
        <f ca="1">ROUND(C75/C39,3)</f>
        <v>#DIV/0!</v>
      </c>
    </row>
    <row r="81" spans="2:3">
      <c r="B81" s="276" t="s">
        <v>1470</v>
      </c>
      <c r="C81" s="244"/>
    </row>
    <row r="82" spans="2:3">
      <c r="B82" s="279" t="s">
        <v>1471</v>
      </c>
      <c r="C82" s="281" t="e">
        <f ca="1">1-C83</f>
        <v>#DIV/0!</v>
      </c>
    </row>
    <row r="83" spans="2:3">
      <c r="B83" s="279" t="s">
        <v>1472</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2340</v>
      </c>
      <c r="B1" s="2052"/>
      <c r="C1" s="2052"/>
      <c r="D1" s="2052"/>
      <c r="E1" s="2053"/>
      <c r="F1" s="2934"/>
      <c r="G1" s="1673"/>
      <c r="H1" s="1673"/>
      <c r="I1" s="1673"/>
      <c r="J1" s="1673"/>
      <c r="K1" s="1673"/>
      <c r="L1" s="1673"/>
      <c r="M1" s="1673"/>
      <c r="N1" s="1673"/>
      <c r="O1" s="1673"/>
      <c r="P1" s="1673"/>
      <c r="Q1" s="1673"/>
      <c r="R1" s="1673"/>
      <c r="S1" s="1673"/>
    </row>
    <row r="2" spans="1:22" ht="15.75">
      <c r="A2" s="2054" t="s">
        <v>2141</v>
      </c>
      <c r="B2" s="2055">
        <f ca="1">SUMIF(B6:B13,"&lt;&gt;#ref!",B6:B13)</f>
        <v>37067</v>
      </c>
      <c r="C2" s="2056" t="s">
        <v>2333</v>
      </c>
      <c r="D2" s="2057" t="s">
        <v>2334</v>
      </c>
      <c r="E2" s="2831">
        <f>SUM(E6:E13)</f>
        <v>38981.680000000008</v>
      </c>
      <c r="F2" s="2934"/>
      <c r="G2" s="1673"/>
      <c r="H2" s="1673"/>
      <c r="I2" s="1673"/>
      <c r="J2" s="1673"/>
      <c r="K2" s="1673"/>
      <c r="L2" s="1673"/>
      <c r="M2" s="1673"/>
      <c r="N2" s="1673"/>
      <c r="O2" s="1673"/>
      <c r="P2" s="1673"/>
      <c r="Q2" s="1673"/>
      <c r="R2" s="1673"/>
      <c r="S2" s="1673"/>
    </row>
    <row r="3" spans="1:22" ht="15.75">
      <c r="A3" s="2054" t="s">
        <v>1353</v>
      </c>
      <c r="B3" s="2825">
        <f ca="1">ROUND(B2*10000/E2,0)</f>
        <v>9509</v>
      </c>
      <c r="C3" s="2056" t="s">
        <v>2341</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2335</v>
      </c>
      <c r="B5" s="3314" t="s">
        <v>2336</v>
      </c>
      <c r="C5" s="3315"/>
      <c r="D5" s="2935"/>
      <c r="E5" s="2058" t="s">
        <v>2337</v>
      </c>
      <c r="F5" s="2059" t="s">
        <v>2338</v>
      </c>
      <c r="G5" s="1673"/>
      <c r="H5" s="1673"/>
      <c r="I5" s="1673"/>
      <c r="J5" s="1673"/>
      <c r="K5" s="1673"/>
      <c r="L5" s="1673"/>
      <c r="M5" s="1673"/>
      <c r="N5" s="1673"/>
      <c r="O5" s="1673"/>
      <c r="P5" s="1673"/>
      <c r="Q5" s="1673"/>
      <c r="R5" s="1673"/>
      <c r="S5" s="1673"/>
    </row>
    <row r="6" spans="1:22">
      <c r="A6" s="2828" t="str">
        <f>'数据-取费表'!AN6</f>
        <v>收益法</v>
      </c>
      <c r="B6" s="2826">
        <f ca="1">IF(F6="是",'数据-取费表'!AO6,0)</f>
        <v>37067</v>
      </c>
      <c r="C6" s="2056" t="s">
        <v>2333</v>
      </c>
      <c r="D6" s="2936"/>
      <c r="E6" s="2830">
        <f>IF(OR(A6=0,F6="否"),0,'数据-取费表'!K6+'数据-取费表'!S6)</f>
        <v>38981.680000000008</v>
      </c>
      <c r="F6" s="2060" t="s">
        <v>2339</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2333</v>
      </c>
      <c r="D7" s="2936"/>
      <c r="E7" s="2830">
        <f>IF(OR(A7=0,F7="否"),0,'数据-取费表'!K7+'数据-取费表'!S7)</f>
        <v>0</v>
      </c>
      <c r="F7" s="2060" t="s">
        <v>2339</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2333</v>
      </c>
      <c r="D8" s="2936"/>
      <c r="E8" s="2830">
        <f>IF(OR(A8=0,F8="否"),0,'数据-取费表'!K8+'数据-取费表'!S8)</f>
        <v>0</v>
      </c>
      <c r="F8" s="2060" t="s">
        <v>2339</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2333</v>
      </c>
      <c r="D9" s="2936"/>
      <c r="E9" s="2830">
        <f>IF(OR(A9=0,F9="否"),0,'数据-取费表'!K9+'数据-取费表'!S9)</f>
        <v>0</v>
      </c>
      <c r="F9" s="2060" t="s">
        <v>2339</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2333</v>
      </c>
      <c r="D10" s="2936"/>
      <c r="E10" s="2830">
        <f>IF(OR(A10=0,F10="否"),0,'数据-取费表'!K10+'数据-取费表'!S10)</f>
        <v>0</v>
      </c>
      <c r="F10" s="2060" t="s">
        <v>2339</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2333</v>
      </c>
      <c r="D11" s="2936"/>
      <c r="E11" s="2830">
        <f>IF(OR(A11=0,F11="否"),0,'数据-取费表'!K11+'数据-取费表'!S11)</f>
        <v>0</v>
      </c>
      <c r="F11" s="2060" t="s">
        <v>2339</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2333</v>
      </c>
      <c r="D12" s="2936"/>
      <c r="E12" s="2830">
        <f>IF(OR(A12=0,F12="否"),0,'数据-取费表'!K12+'数据-取费表'!S12)</f>
        <v>0</v>
      </c>
      <c r="F12" s="2060" t="s">
        <v>2339</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2333</v>
      </c>
      <c r="D13" s="2937"/>
      <c r="E13" s="2830">
        <f>IF(OR(A13=0,F13="否"),0,'数据-取费表'!K13+'数据-取费表'!S13)</f>
        <v>0</v>
      </c>
      <c r="F13" s="2060" t="s">
        <v>2339</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0"/>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332" t="s">
        <v>1044</v>
      </c>
      <c r="B1" s="3333"/>
      <c r="C1" s="3334"/>
      <c r="D1" s="3335">
        <f>SUM(I12,I17,I22,I23,I25)</f>
        <v>5400</v>
      </c>
      <c r="E1" s="3335"/>
      <c r="F1" s="3335"/>
      <c r="G1" s="3335"/>
      <c r="H1" s="3335"/>
      <c r="I1" s="3336"/>
    </row>
    <row r="2" spans="1:9">
      <c r="A2" s="3322" t="s">
        <v>1045</v>
      </c>
      <c r="B2" s="3323" t="s">
        <v>1046</v>
      </c>
      <c r="C2" s="3323"/>
      <c r="D2" s="1211" t="s">
        <v>1047</v>
      </c>
      <c r="E2" s="1211" t="s">
        <v>1048</v>
      </c>
      <c r="F2" s="1211" t="s">
        <v>1049</v>
      </c>
      <c r="G2" s="1211" t="s">
        <v>1050</v>
      </c>
      <c r="H2" s="1211" t="s">
        <v>1051</v>
      </c>
      <c r="I2" s="1212" t="s">
        <v>1052</v>
      </c>
    </row>
    <row r="3" spans="1:9">
      <c r="A3" s="3322"/>
      <c r="B3" s="3323" t="s">
        <v>3094</v>
      </c>
      <c r="C3" s="3323"/>
      <c r="D3" s="1213">
        <v>47</v>
      </c>
      <c r="E3" s="1211">
        <v>2100</v>
      </c>
      <c r="F3" s="1214">
        <v>1</v>
      </c>
      <c r="G3" s="3071">
        <v>0.5</v>
      </c>
      <c r="H3" s="1215">
        <v>365</v>
      </c>
      <c r="I3" s="1216">
        <f>ROUND(D3*E3*F3*G3*H3/10000,0)</f>
        <v>1801</v>
      </c>
    </row>
    <row r="4" spans="1:9">
      <c r="A4" s="3322"/>
      <c r="B4" s="3323" t="s">
        <v>3095</v>
      </c>
      <c r="C4" s="3323"/>
      <c r="D4" s="1213">
        <v>17</v>
      </c>
      <c r="E4" s="1211">
        <v>2188</v>
      </c>
      <c r="F4" s="1214">
        <v>1</v>
      </c>
      <c r="G4" s="3071">
        <f>G3</f>
        <v>0.5</v>
      </c>
      <c r="H4" s="1215">
        <v>365</v>
      </c>
      <c r="I4" s="1216">
        <f t="shared" ref="I4:I11" si="0">ROUND(D4*E4*F4*G4*H4/10000,0)</f>
        <v>679</v>
      </c>
    </row>
    <row r="5" spans="1:9">
      <c r="A5" s="3322"/>
      <c r="B5" s="3323" t="s">
        <v>3096</v>
      </c>
      <c r="C5" s="3323"/>
      <c r="D5" s="1213">
        <v>10</v>
      </c>
      <c r="E5" s="1211">
        <v>3985</v>
      </c>
      <c r="F5" s="1214">
        <v>1</v>
      </c>
      <c r="G5" s="3071">
        <v>0.4</v>
      </c>
      <c r="H5" s="1215">
        <v>365</v>
      </c>
      <c r="I5" s="1216">
        <f t="shared" si="0"/>
        <v>582</v>
      </c>
    </row>
    <row r="6" spans="1:9">
      <c r="A6" s="3322"/>
      <c r="B6" s="3323" t="s">
        <v>3097</v>
      </c>
      <c r="C6" s="3323"/>
      <c r="D6" s="1213">
        <v>1</v>
      </c>
      <c r="E6" s="1211">
        <v>5088</v>
      </c>
      <c r="F6" s="1214">
        <v>1</v>
      </c>
      <c r="G6" s="3071">
        <v>0.3</v>
      </c>
      <c r="H6" s="1215">
        <v>365</v>
      </c>
      <c r="I6" s="1216">
        <f t="shared" si="0"/>
        <v>56</v>
      </c>
    </row>
    <row r="7" spans="1:9">
      <c r="A7" s="3322"/>
      <c r="B7" s="3323" t="s">
        <v>3098</v>
      </c>
      <c r="C7" s="3323"/>
      <c r="D7" s="1213">
        <v>2</v>
      </c>
      <c r="E7" s="1211">
        <v>7088</v>
      </c>
      <c r="F7" s="1214">
        <v>1</v>
      </c>
      <c r="G7" s="3071">
        <v>0.2</v>
      </c>
      <c r="H7" s="1215">
        <v>365</v>
      </c>
      <c r="I7" s="1216">
        <f t="shared" si="0"/>
        <v>103</v>
      </c>
    </row>
    <row r="8" spans="1:9">
      <c r="A8" s="3322"/>
      <c r="B8" s="3323" t="s">
        <v>3099</v>
      </c>
      <c r="C8" s="3323"/>
      <c r="D8" s="1213">
        <v>4</v>
      </c>
      <c r="E8" s="1211">
        <v>22222</v>
      </c>
      <c r="F8" s="1214">
        <v>1</v>
      </c>
      <c r="G8" s="3071">
        <v>0.15</v>
      </c>
      <c r="H8" s="1215">
        <v>365</v>
      </c>
      <c r="I8" s="1216">
        <f t="shared" si="0"/>
        <v>487</v>
      </c>
    </row>
    <row r="9" spans="1:9">
      <c r="A9" s="3322"/>
      <c r="B9" s="3323" t="s">
        <v>3100</v>
      </c>
      <c r="C9" s="3323"/>
      <c r="D9" s="1213">
        <v>1</v>
      </c>
      <c r="E9" s="1211">
        <v>22222</v>
      </c>
      <c r="F9" s="1214">
        <v>1</v>
      </c>
      <c r="G9" s="3071">
        <f t="shared" ref="G5:G9" si="1">G8</f>
        <v>0.15</v>
      </c>
      <c r="H9" s="1215">
        <v>365</v>
      </c>
      <c r="I9" s="1216">
        <f t="shared" si="0"/>
        <v>122</v>
      </c>
    </row>
    <row r="10" spans="1:9">
      <c r="A10" s="3322"/>
      <c r="B10" s="3337" t="s">
        <v>3101</v>
      </c>
      <c r="C10" s="3338"/>
      <c r="D10" s="1213">
        <v>1</v>
      </c>
      <c r="E10" s="3058">
        <v>44444</v>
      </c>
      <c r="F10" s="1214">
        <v>1</v>
      </c>
      <c r="G10" s="3071">
        <v>0.1</v>
      </c>
      <c r="H10" s="1215">
        <v>365</v>
      </c>
      <c r="I10" s="1216">
        <f t="shared" si="0"/>
        <v>162</v>
      </c>
    </row>
    <row r="11" spans="1:9">
      <c r="A11" s="3322"/>
      <c r="B11" s="3337" t="s">
        <v>3102</v>
      </c>
      <c r="C11" s="3338"/>
      <c r="D11" s="1213">
        <v>1</v>
      </c>
      <c r="E11" s="3058">
        <v>88888</v>
      </c>
      <c r="F11" s="1214">
        <v>1</v>
      </c>
      <c r="G11" s="3071">
        <v>0.05</v>
      </c>
      <c r="H11" s="1215">
        <v>365</v>
      </c>
      <c r="I11" s="1216">
        <f t="shared" si="0"/>
        <v>162</v>
      </c>
    </row>
    <row r="12" spans="1:9">
      <c r="A12" s="3322"/>
      <c r="B12" s="3324" t="s">
        <v>1053</v>
      </c>
      <c r="C12" s="3324"/>
      <c r="D12" s="1217">
        <f>SUM(D3:D11)</f>
        <v>84</v>
      </c>
      <c r="E12" s="1217">
        <f>ROUND(D1*10000/D12/H9,0)</f>
        <v>1761</v>
      </c>
      <c r="F12" s="1218"/>
      <c r="G12" s="1218"/>
      <c r="H12" s="1219"/>
      <c r="I12" s="1220">
        <f>SUM(I3:I11)</f>
        <v>4154</v>
      </c>
    </row>
    <row r="13" spans="1:9" ht="14.25">
      <c r="A13" s="3322" t="s">
        <v>1054</v>
      </c>
      <c r="B13" s="3323" t="s">
        <v>1055</v>
      </c>
      <c r="C13" s="3323"/>
      <c r="D13" s="1213" t="s">
        <v>1056</v>
      </c>
      <c r="E13" s="1213" t="s">
        <v>1057</v>
      </c>
      <c r="F13" s="1214" t="s">
        <v>1058</v>
      </c>
      <c r="G13" s="1214" t="s">
        <v>1051</v>
      </c>
      <c r="H13" s="1221" t="s">
        <v>1059</v>
      </c>
      <c r="I13" s="1212" t="s">
        <v>1052</v>
      </c>
    </row>
    <row r="14" spans="1:9">
      <c r="A14" s="3322"/>
      <c r="B14" s="3323" t="s">
        <v>1060</v>
      </c>
      <c r="C14" s="3323"/>
      <c r="D14" s="1213"/>
      <c r="E14" s="1213">
        <v>128</v>
      </c>
      <c r="F14" s="1214"/>
      <c r="G14" s="1215">
        <v>365</v>
      </c>
      <c r="H14" s="1222"/>
      <c r="I14" s="1212">
        <f>ROUND(D14*E14*F14*G14/10000,0)</f>
        <v>0</v>
      </c>
    </row>
    <row r="15" spans="1:9">
      <c r="A15" s="3322"/>
      <c r="B15" s="3323" t="s">
        <v>1061</v>
      </c>
      <c r="C15" s="3323"/>
      <c r="D15" s="1213"/>
      <c r="E15" s="1213"/>
      <c r="F15" s="1214"/>
      <c r="G15" s="1215"/>
      <c r="H15" s="1222"/>
      <c r="I15" s="1212">
        <f>ROUND(D15*E15*F15*G15/10000,0)</f>
        <v>0</v>
      </c>
    </row>
    <row r="16" spans="1:9">
      <c r="A16" s="3322"/>
      <c r="B16" s="3323" t="s">
        <v>1062</v>
      </c>
      <c r="C16" s="3323"/>
      <c r="D16" s="1213"/>
      <c r="E16" s="1213"/>
      <c r="F16" s="1214"/>
      <c r="G16" s="1215"/>
      <c r="H16" s="1222"/>
      <c r="I16" s="1212">
        <f>ROUND(D16*E16*F16*G16/10000,0)</f>
        <v>0</v>
      </c>
    </row>
    <row r="17" spans="1:12">
      <c r="A17" s="3322"/>
      <c r="B17" s="3324" t="s">
        <v>1053</v>
      </c>
      <c r="C17" s="3324"/>
      <c r="D17" s="1217"/>
      <c r="E17" s="1217">
        <f>SUM(E14:E16)</f>
        <v>128</v>
      </c>
      <c r="F17" s="1218"/>
      <c r="G17" s="1215"/>
      <c r="H17" s="1222"/>
      <c r="I17" s="1223">
        <f>SUM(I14:I16)</f>
        <v>0</v>
      </c>
    </row>
    <row r="18" spans="1:12" ht="24">
      <c r="A18" s="3322" t="s">
        <v>1063</v>
      </c>
      <c r="B18" s="3323" t="s">
        <v>1064</v>
      </c>
      <c r="C18" s="3323"/>
      <c r="D18" s="1213" t="s">
        <v>1047</v>
      </c>
      <c r="E18" s="1224" t="s">
        <v>1065</v>
      </c>
      <c r="F18" s="1214" t="s">
        <v>1066</v>
      </c>
      <c r="G18" s="1215" t="s">
        <v>1051</v>
      </c>
      <c r="H18" s="1221" t="s">
        <v>1059</v>
      </c>
      <c r="I18" s="1212" t="s">
        <v>1052</v>
      </c>
    </row>
    <row r="19" spans="1:12" ht="14.25">
      <c r="A19" s="3322"/>
      <c r="B19" s="3323" t="s">
        <v>1067</v>
      </c>
      <c r="C19" s="3323"/>
      <c r="D19" s="1213"/>
      <c r="E19" s="1213"/>
      <c r="F19" s="1214"/>
      <c r="G19" s="1215"/>
      <c r="H19" s="1225"/>
      <c r="I19" s="1226">
        <f>ROUND(D19*E19*F19*G19/10000,0)</f>
        <v>0</v>
      </c>
    </row>
    <row r="20" spans="1:12" ht="14.25">
      <c r="A20" s="3322"/>
      <c r="B20" s="3323" t="s">
        <v>1068</v>
      </c>
      <c r="C20" s="3323"/>
      <c r="D20" s="1213"/>
      <c r="E20" s="1213"/>
      <c r="F20" s="1214"/>
      <c r="G20" s="1215"/>
      <c r="H20" s="1225"/>
      <c r="I20" s="1226">
        <f>ROUND(D20*E20*F20*G20/10000,0)</f>
        <v>0</v>
      </c>
    </row>
    <row r="21" spans="1:12" ht="14.25">
      <c r="A21" s="3322"/>
      <c r="B21" s="3323" t="s">
        <v>1069</v>
      </c>
      <c r="C21" s="3323"/>
      <c r="D21" s="1213"/>
      <c r="E21" s="1213"/>
      <c r="F21" s="1214"/>
      <c r="G21" s="1215"/>
      <c r="H21" s="1225"/>
      <c r="I21" s="1226">
        <f>ROUND(D21*E21*F21*G21/10000,0)</f>
        <v>0</v>
      </c>
    </row>
    <row r="22" spans="1:12">
      <c r="A22" s="3322"/>
      <c r="B22" s="3324" t="s">
        <v>1053</v>
      </c>
      <c r="C22" s="3324"/>
      <c r="D22" s="1217">
        <f>SUM(D19:D21)</f>
        <v>0</v>
      </c>
      <c r="E22" s="1217"/>
      <c r="F22" s="1218"/>
      <c r="G22" s="1215"/>
      <c r="H22" s="1222"/>
      <c r="I22" s="1223">
        <f>SUM(I19:I21)</f>
        <v>0</v>
      </c>
    </row>
    <row r="23" spans="1:12">
      <c r="A23" s="3322" t="s">
        <v>1070</v>
      </c>
      <c r="B23" s="3325"/>
      <c r="C23" s="3325"/>
      <c r="D23" s="3325"/>
      <c r="E23" s="3325"/>
      <c r="F23" s="3325"/>
      <c r="G23" s="3325"/>
      <c r="H23" s="1501">
        <v>0.3</v>
      </c>
      <c r="I23" s="1220">
        <f>ROUND(I12*H23,0)</f>
        <v>1246</v>
      </c>
    </row>
    <row r="24" spans="1:12" ht="14.25">
      <c r="A24" s="3326" t="s">
        <v>1071</v>
      </c>
      <c r="B24" s="3327"/>
      <c r="C24" s="3328"/>
      <c r="D24" s="1227" t="s">
        <v>1072</v>
      </c>
      <c r="E24" s="1227" t="s">
        <v>1073</v>
      </c>
      <c r="F24" s="1228" t="s">
        <v>1074</v>
      </c>
      <c r="G24" s="1228" t="s">
        <v>1075</v>
      </c>
      <c r="H24" s="1221" t="s">
        <v>1076</v>
      </c>
      <c r="I24" s="1212" t="s">
        <v>1077</v>
      </c>
    </row>
    <row r="25" spans="1:12" ht="14.25" thickBot="1">
      <c r="A25" s="3329"/>
      <c r="B25" s="3330"/>
      <c r="C25" s="3331"/>
      <c r="D25" s="1229"/>
      <c r="E25" s="1229"/>
      <c r="F25" s="1229"/>
      <c r="G25" s="1230"/>
      <c r="H25" s="1231"/>
      <c r="I25" s="1232">
        <f>ROUND(E25*D25*F25*(1-G25)/10000,0)</f>
        <v>0</v>
      </c>
    </row>
    <row r="28" spans="1:12">
      <c r="A28" s="1233" t="s">
        <v>1078</v>
      </c>
      <c r="B28" s="1233"/>
      <c r="C28" s="1233"/>
      <c r="D28" s="1233"/>
      <c r="E28" s="3319">
        <f>C29-C32-C33-C34</f>
        <v>2970</v>
      </c>
      <c r="F28" s="3319"/>
      <c r="G28" s="3319"/>
      <c r="H28" s="1498" t="s">
        <v>1299</v>
      </c>
      <c r="L28">
        <f>E28/'数据-汇总表'!E19/365*10000</f>
        <v>2.0873872807354279</v>
      </c>
    </row>
    <row r="29" spans="1:12">
      <c r="A29" s="1234">
        <v>1</v>
      </c>
      <c r="B29" s="1235" t="s">
        <v>1079</v>
      </c>
      <c r="C29" s="3072">
        <f>D1</f>
        <v>5400</v>
      </c>
      <c r="D29" s="1235"/>
      <c r="E29" s="3320"/>
      <c r="F29" s="3320"/>
      <c r="G29" s="3320"/>
    </row>
    <row r="30" spans="1:12">
      <c r="A30" s="1236" t="s">
        <v>1080</v>
      </c>
      <c r="B30" s="1235" t="s">
        <v>1081</v>
      </c>
      <c r="C30" s="1235"/>
      <c r="D30" s="1235"/>
      <c r="E30" s="3320"/>
      <c r="F30" s="3320"/>
      <c r="G30" s="3320"/>
    </row>
    <row r="31" spans="1:12">
      <c r="A31" s="1236" t="s">
        <v>1082</v>
      </c>
      <c r="B31" s="1235" t="s">
        <v>1083</v>
      </c>
      <c r="C31" s="1235"/>
      <c r="D31" s="1235"/>
      <c r="E31" s="1235" t="s">
        <v>1084</v>
      </c>
      <c r="F31" s="1235"/>
      <c r="G31" s="1235"/>
    </row>
    <row r="32" spans="1:12">
      <c r="A32" s="1234">
        <v>2</v>
      </c>
      <c r="B32" s="1235" t="s">
        <v>1085</v>
      </c>
      <c r="C32" s="1235">
        <f>C29*D32</f>
        <v>1080</v>
      </c>
      <c r="D32" s="1237">
        <v>0.2</v>
      </c>
      <c r="E32" s="1235" t="s">
        <v>1086</v>
      </c>
      <c r="F32" s="1235"/>
      <c r="G32" s="1235"/>
    </row>
    <row r="33" spans="1:7">
      <c r="A33" s="1234">
        <v>3</v>
      </c>
      <c r="B33" s="1235" t="s">
        <v>1087</v>
      </c>
      <c r="C33" s="1235">
        <f>C29*D33</f>
        <v>810</v>
      </c>
      <c r="D33" s="1237">
        <v>0.15</v>
      </c>
      <c r="E33" s="1235" t="s">
        <v>1088</v>
      </c>
      <c r="F33" s="1235"/>
      <c r="G33" s="1235"/>
    </row>
    <row r="34" spans="1:7">
      <c r="A34" s="1234">
        <v>4</v>
      </c>
      <c r="B34" s="1235" t="s">
        <v>1089</v>
      </c>
      <c r="C34" s="1235">
        <f>C29*D34</f>
        <v>540</v>
      </c>
      <c r="D34" s="1237">
        <v>0.1</v>
      </c>
      <c r="E34" s="3321"/>
      <c r="F34" s="3321"/>
      <c r="G34" s="3321"/>
    </row>
    <row r="35" spans="1:7" hidden="1">
      <c r="A35" s="3316" t="s">
        <v>1090</v>
      </c>
      <c r="B35" s="3317"/>
      <c r="C35" s="3317"/>
      <c r="D35" s="3318"/>
      <c r="E35" s="3319"/>
      <c r="F35" s="3319"/>
      <c r="G35" s="3319"/>
    </row>
    <row r="36" spans="1:7" hidden="1">
      <c r="A36" s="1238">
        <v>1</v>
      </c>
      <c r="B36" s="1235" t="s">
        <v>1091</v>
      </c>
      <c r="C36" s="1235"/>
      <c r="D36" s="1235"/>
      <c r="E36" s="3320"/>
      <c r="F36" s="3320"/>
      <c r="G36" s="3320"/>
    </row>
    <row r="37" spans="1:7" hidden="1">
      <c r="A37" s="1238">
        <v>2</v>
      </c>
      <c r="B37" s="1235" t="s">
        <v>1092</v>
      </c>
      <c r="C37" s="1235"/>
      <c r="D37" s="1235"/>
      <c r="E37" s="3320"/>
      <c r="F37" s="3320"/>
      <c r="G37" s="3320"/>
    </row>
    <row r="38" spans="1:7" hidden="1">
      <c r="A38" s="1238">
        <v>3</v>
      </c>
      <c r="B38" s="1235" t="s">
        <v>1093</v>
      </c>
      <c r="C38" s="1235"/>
      <c r="D38" s="1235"/>
      <c r="E38" s="3320"/>
      <c r="F38" s="3320"/>
      <c r="G38" s="3320"/>
    </row>
    <row r="39" spans="1:7" hidden="1">
      <c r="A39" s="1238">
        <v>4</v>
      </c>
      <c r="B39" s="1235" t="s">
        <v>1094</v>
      </c>
      <c r="C39" s="1235"/>
      <c r="D39" s="1235"/>
      <c r="E39" s="3320"/>
      <c r="F39" s="3320"/>
      <c r="G39" s="3320"/>
    </row>
    <row r="40" spans="1:7" hidden="1">
      <c r="A40" s="3316" t="s">
        <v>1095</v>
      </c>
      <c r="B40" s="3317"/>
      <c r="C40" s="3317"/>
      <c r="D40" s="3318"/>
      <c r="E40" s="3319"/>
      <c r="F40" s="3319"/>
      <c r="G40" s="3319"/>
    </row>
  </sheetData>
  <mergeCells count="40">
    <mergeCell ref="A1:C1"/>
    <mergeCell ref="D1:I1"/>
    <mergeCell ref="A2:A12"/>
    <mergeCell ref="B2:C2"/>
    <mergeCell ref="B3:C3"/>
    <mergeCell ref="B4:C4"/>
    <mergeCell ref="B5:C5"/>
    <mergeCell ref="B6:C6"/>
    <mergeCell ref="B7:C7"/>
    <mergeCell ref="B8:C8"/>
    <mergeCell ref="B9:C9"/>
    <mergeCell ref="B12:C12"/>
    <mergeCell ref="B10:C10"/>
    <mergeCell ref="B11:C11"/>
    <mergeCell ref="A13:A17"/>
    <mergeCell ref="B13:C13"/>
    <mergeCell ref="B14:C14"/>
    <mergeCell ref="B15:C15"/>
    <mergeCell ref="B16:C16"/>
    <mergeCell ref="B17:C17"/>
    <mergeCell ref="E34:G34"/>
    <mergeCell ref="A18:A22"/>
    <mergeCell ref="B18:C18"/>
    <mergeCell ref="B19:C19"/>
    <mergeCell ref="B20:C20"/>
    <mergeCell ref="B21:C21"/>
    <mergeCell ref="B22:C22"/>
    <mergeCell ref="A23:G23"/>
    <mergeCell ref="A24:C25"/>
    <mergeCell ref="E28:G28"/>
    <mergeCell ref="E29:G29"/>
    <mergeCell ref="E30:G30"/>
    <mergeCell ref="A40:D40"/>
    <mergeCell ref="E40:G40"/>
    <mergeCell ref="A35:D35"/>
    <mergeCell ref="E35:G35"/>
    <mergeCell ref="E36:G36"/>
    <mergeCell ref="E37:G37"/>
    <mergeCell ref="E38:G38"/>
    <mergeCell ref="E39:G39"/>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062" t="s">
        <v>2343</v>
      </c>
      <c r="C1" s="1405" t="s">
        <v>2344</v>
      </c>
      <c r="D1" s="1392"/>
      <c r="E1" s="2542"/>
      <c r="F1" s="2063" t="s">
        <v>2345</v>
      </c>
      <c r="G1" s="1402" t="s">
        <v>2346</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1352</v>
      </c>
      <c r="B2" s="1326" t="e">
        <f ca="1">IF(C2="——",ROUND(C49*D3/10000,0),ROUND(C49*D3/10000,0)-D2)</f>
        <v>#DIV/0!</v>
      </c>
      <c r="C2" s="2065"/>
      <c r="D2" s="1275" t="e">
        <f ca="1">SUMIF(INDIRECT("'"&amp;F2&amp;"'"&amp;"!A:A"),"承租人权益价值",INDIRECT("'"&amp;F2&amp;"'"&amp;"!c:c"))</f>
        <v>#REF!</v>
      </c>
      <c r="E2" s="2066" t="s">
        <v>2347</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1353</v>
      </c>
      <c r="B3" s="359" t="e">
        <f ca="1">IF(C2="——",C49,ROUND(B2*10000/D3,0))</f>
        <v>#DIV/0!</v>
      </c>
      <c r="C3" s="360" t="s">
        <v>2348</v>
      </c>
      <c r="D3" s="359">
        <f>IF(D1="",'数据-汇总表'!E3,SUMIF('数据-汇总表'!$C19:$C33,D1,'数据-汇总表'!$E19:$E33))</f>
        <v>38981.680000000008</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2349</v>
      </c>
      <c r="B4" s="362"/>
      <c r="C4" s="3270" t="s">
        <v>2350</v>
      </c>
      <c r="D4" s="3283"/>
      <c r="E4" s="3284" t="s">
        <v>2351</v>
      </c>
      <c r="F4" s="3285"/>
      <c r="G4" s="3270" t="s">
        <v>2352</v>
      </c>
      <c r="H4" s="3283"/>
      <c r="I4" s="3270" t="s">
        <v>2353</v>
      </c>
      <c r="J4" s="3283"/>
      <c r="K4" s="2073" t="s">
        <v>2354</v>
      </c>
      <c r="L4" s="2942"/>
      <c r="M4" s="2943"/>
      <c r="N4" s="2943"/>
      <c r="O4" s="2943"/>
      <c r="P4" s="3286" t="s">
        <v>2355</v>
      </c>
      <c r="Q4" s="3287"/>
      <c r="R4" s="3292" t="s">
        <v>2351</v>
      </c>
      <c r="S4" s="3293"/>
      <c r="T4" s="3292" t="s">
        <v>2352</v>
      </c>
      <c r="U4" s="3293"/>
      <c r="V4" s="3279" t="s">
        <v>2353</v>
      </c>
      <c r="W4" s="3279"/>
      <c r="X4" s="1538"/>
      <c r="Y4" s="3292" t="s">
        <v>2355</v>
      </c>
      <c r="Z4" s="3293"/>
      <c r="AA4" s="3280" t="s">
        <v>2351</v>
      </c>
      <c r="AB4" s="3280" t="s">
        <v>2352</v>
      </c>
      <c r="AC4" s="3280" t="s">
        <v>2353</v>
      </c>
    </row>
    <row r="5" spans="1:29" ht="15">
      <c r="A5" s="364"/>
      <c r="B5" s="365"/>
      <c r="C5" s="3300" t="s">
        <v>2356</v>
      </c>
      <c r="D5" s="3301"/>
      <c r="E5" s="3307" t="s">
        <v>2357</v>
      </c>
      <c r="F5" s="3308"/>
      <c r="G5" s="3300" t="s">
        <v>2358</v>
      </c>
      <c r="H5" s="3301"/>
      <c r="I5" s="3300" t="s">
        <v>2359</v>
      </c>
      <c r="J5" s="3301"/>
      <c r="K5" s="2074"/>
      <c r="L5" s="2942"/>
      <c r="M5" s="2943"/>
      <c r="N5" s="2943"/>
      <c r="O5" s="2943"/>
      <c r="P5" s="3288"/>
      <c r="Q5" s="3289"/>
      <c r="R5" s="3294"/>
      <c r="S5" s="3295"/>
      <c r="T5" s="3294"/>
      <c r="U5" s="3295"/>
      <c r="V5" s="3279"/>
      <c r="W5" s="3279"/>
      <c r="X5" s="1538"/>
      <c r="Y5" s="3294"/>
      <c r="Z5" s="3295"/>
      <c r="AA5" s="3281"/>
      <c r="AB5" s="3281"/>
      <c r="AC5" s="3281"/>
    </row>
    <row r="6" spans="1:29" ht="15.75" thickBot="1">
      <c r="A6" s="366"/>
      <c r="B6" s="367"/>
      <c r="C6" s="3298" t="s">
        <v>2360</v>
      </c>
      <c r="D6" s="3299"/>
      <c r="E6" s="3305" t="s">
        <v>2360</v>
      </c>
      <c r="F6" s="3306"/>
      <c r="G6" s="3298" t="s">
        <v>2360</v>
      </c>
      <c r="H6" s="3299"/>
      <c r="I6" s="3298" t="s">
        <v>2360</v>
      </c>
      <c r="J6" s="3299"/>
      <c r="K6" s="2074" t="s">
        <v>2361</v>
      </c>
      <c r="L6" s="2942"/>
      <c r="M6" s="2943"/>
      <c r="N6" s="2943"/>
      <c r="O6" s="2943"/>
      <c r="P6" s="3290"/>
      <c r="Q6" s="3291"/>
      <c r="R6" s="3294"/>
      <c r="S6" s="3295"/>
      <c r="T6" s="3296"/>
      <c r="U6" s="3297"/>
      <c r="V6" s="3279"/>
      <c r="W6" s="3279"/>
      <c r="X6" s="1538"/>
      <c r="Y6" s="3296"/>
      <c r="Z6" s="3297"/>
      <c r="AA6" s="3282"/>
      <c r="AB6" s="3282"/>
      <c r="AC6" s="3282"/>
    </row>
    <row r="7" spans="1:29" s="113" customFormat="1" ht="15.75" thickBot="1">
      <c r="A7" s="368" t="s">
        <v>2362</v>
      </c>
      <c r="B7" s="369"/>
      <c r="C7" s="370">
        <f>'数据-取费表'!B2</f>
        <v>44322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02" t="s">
        <v>2363</v>
      </c>
      <c r="Q7" s="3304"/>
      <c r="R7" s="710" t="s">
        <v>23</v>
      </c>
      <c r="S7" s="711">
        <f t="shared" ref="S7:S15" si="0">F7</f>
        <v>0</v>
      </c>
      <c r="T7" s="710" t="s">
        <v>23</v>
      </c>
      <c r="U7" s="711">
        <f t="shared" ref="U7:U15" si="1">H7</f>
        <v>0</v>
      </c>
      <c r="V7" s="710" t="s">
        <v>23</v>
      </c>
      <c r="W7" s="711">
        <f t="shared" ref="W7:W15" si="2">J7</f>
        <v>0</v>
      </c>
      <c r="X7" s="712"/>
      <c r="Y7" s="3302" t="s">
        <v>2363</v>
      </c>
      <c r="Z7" s="3303"/>
      <c r="AA7" s="713" t="e">
        <f>D7/F7</f>
        <v>#DIV/0!</v>
      </c>
      <c r="AB7" s="713" t="e">
        <f>D7/H7</f>
        <v>#DIV/0!</v>
      </c>
      <c r="AC7" s="713" t="e">
        <f>D7/J7</f>
        <v>#DIV/0!</v>
      </c>
    </row>
    <row r="8" spans="1:29" s="113" customFormat="1" ht="15.75" thickBot="1">
      <c r="A8" s="368" t="s">
        <v>2364</v>
      </c>
      <c r="B8" s="369"/>
      <c r="C8" s="374" t="s">
        <v>2365</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02" t="s">
        <v>2366</v>
      </c>
      <c r="Q8" s="3303"/>
      <c r="R8" s="710" t="s">
        <v>23</v>
      </c>
      <c r="S8" s="711">
        <f t="shared" si="0"/>
        <v>0</v>
      </c>
      <c r="T8" s="710" t="s">
        <v>23</v>
      </c>
      <c r="U8" s="711">
        <f t="shared" si="1"/>
        <v>0</v>
      </c>
      <c r="V8" s="710" t="s">
        <v>23</v>
      </c>
      <c r="W8" s="711">
        <f t="shared" si="2"/>
        <v>0</v>
      </c>
      <c r="X8" s="712"/>
      <c r="Y8" s="3302" t="s">
        <v>2366</v>
      </c>
      <c r="Z8" s="3303"/>
      <c r="AA8" s="713" t="e">
        <f t="shared" ref="AA8:AA19" si="3">D8/F8</f>
        <v>#DIV/0!</v>
      </c>
      <c r="AB8" s="713" t="e">
        <f t="shared" ref="AB8:AB19" si="4">D8/H8</f>
        <v>#DIV/0!</v>
      </c>
      <c r="AC8" s="713" t="e">
        <f t="shared" ref="AC8:AC19" si="5">D8/J8</f>
        <v>#DIV/0!</v>
      </c>
    </row>
    <row r="9" spans="1:29" s="113" customFormat="1">
      <c r="A9" s="375" t="s">
        <v>2367</v>
      </c>
      <c r="B9" s="67" t="s">
        <v>2368</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72"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72"/>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72"/>
      <c r="Q11" s="1526" t="str">
        <f t="shared" si="6"/>
        <v>容积率</v>
      </c>
      <c r="R11" s="710" t="s">
        <v>21</v>
      </c>
      <c r="S11" s="711" t="e">
        <f t="shared" si="0"/>
        <v>#N/A</v>
      </c>
      <c r="T11" s="710" t="s">
        <v>21</v>
      </c>
      <c r="U11" s="711" t="e">
        <f t="shared" si="1"/>
        <v>#N/A</v>
      </c>
      <c r="V11" s="710" t="s">
        <v>21</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72"/>
      <c r="Q12" s="1526">
        <f t="shared" si="6"/>
        <v>111</v>
      </c>
      <c r="R12" s="710" t="s">
        <v>21</v>
      </c>
      <c r="S12" s="711">
        <f t="shared" si="0"/>
        <v>100</v>
      </c>
      <c r="T12" s="710" t="s">
        <v>21</v>
      </c>
      <c r="U12" s="711">
        <f t="shared" si="1"/>
        <v>100</v>
      </c>
      <c r="V12" s="710" t="s">
        <v>21</v>
      </c>
      <c r="W12" s="711">
        <f t="shared" si="2"/>
        <v>100</v>
      </c>
      <c r="X12" s="712"/>
      <c r="Y12" s="3167"/>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72"/>
      <c r="Q13" s="1526">
        <f t="shared" si="6"/>
        <v>111</v>
      </c>
      <c r="R13" s="710" t="s">
        <v>21</v>
      </c>
      <c r="S13" s="711">
        <f t="shared" si="0"/>
        <v>100</v>
      </c>
      <c r="T13" s="710" t="s">
        <v>21</v>
      </c>
      <c r="U13" s="711">
        <f t="shared" si="1"/>
        <v>100</v>
      </c>
      <c r="V13" s="710" t="s">
        <v>21</v>
      </c>
      <c r="W13" s="711">
        <f t="shared" si="2"/>
        <v>100</v>
      </c>
      <c r="X13" s="712"/>
      <c r="Y13" s="3167"/>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72"/>
      <c r="Q14" s="1526">
        <f t="shared" si="6"/>
        <v>111</v>
      </c>
      <c r="R14" s="710" t="s">
        <v>21</v>
      </c>
      <c r="S14" s="711">
        <f t="shared" si="0"/>
        <v>100</v>
      </c>
      <c r="T14" s="710" t="s">
        <v>21</v>
      </c>
      <c r="U14" s="711">
        <f t="shared" si="1"/>
        <v>100</v>
      </c>
      <c r="V14" s="710" t="s">
        <v>21</v>
      </c>
      <c r="W14" s="711">
        <f t="shared" si="2"/>
        <v>100</v>
      </c>
      <c r="X14" s="712"/>
      <c r="Y14" s="3167"/>
      <c r="Z14" s="55">
        <f t="shared" si="7"/>
        <v>111</v>
      </c>
      <c r="AA14" s="713">
        <f t="shared" si="3"/>
        <v>1</v>
      </c>
      <c r="AB14" s="713">
        <f t="shared" si="4"/>
        <v>1</v>
      </c>
      <c r="AC14" s="713">
        <f t="shared" si="5"/>
        <v>1</v>
      </c>
    </row>
    <row r="15" spans="1:29" ht="99.75">
      <c r="A15" s="399" t="s">
        <v>2373</v>
      </c>
      <c r="B15" s="65" t="s">
        <v>1936</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45" t="s">
        <v>2374</v>
      </c>
      <c r="Q15" s="1535" t="str">
        <f t="shared" si="6"/>
        <v>居住社区成熟度</v>
      </c>
      <c r="R15" s="714" t="s">
        <v>21</v>
      </c>
      <c r="S15" s="715">
        <f t="shared" si="0"/>
        <v>100</v>
      </c>
      <c r="T15" s="714" t="s">
        <v>21</v>
      </c>
      <c r="U15" s="715">
        <f t="shared" si="1"/>
        <v>100</v>
      </c>
      <c r="V15" s="714" t="s">
        <v>21</v>
      </c>
      <c r="W15" s="715">
        <f t="shared" si="2"/>
        <v>100</v>
      </c>
      <c r="X15" s="1538"/>
      <c r="Y15" s="3275" t="s">
        <v>2374</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46"/>
      <c r="Q16" s="1535"/>
      <c r="R16" s="714"/>
      <c r="S16" s="715"/>
      <c r="T16" s="714"/>
      <c r="U16" s="715"/>
      <c r="V16" s="714"/>
      <c r="W16" s="715"/>
      <c r="X16" s="1538"/>
      <c r="Y16" s="3276"/>
      <c r="Z16" s="1539"/>
      <c r="AA16" s="1536">
        <v>1</v>
      </c>
      <c r="AB16" s="1536">
        <v>1</v>
      </c>
      <c r="AC16" s="1536">
        <v>1</v>
      </c>
    </row>
    <row r="17" spans="1:29" ht="85.5">
      <c r="A17" s="387"/>
      <c r="B17" s="410" t="s">
        <v>1938</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6"/>
      <c r="Q17" s="1535" t="str">
        <f>B17</f>
        <v>交通便捷度</v>
      </c>
      <c r="R17" s="714" t="s">
        <v>21</v>
      </c>
      <c r="S17" s="715">
        <f>F17</f>
        <v>100</v>
      </c>
      <c r="T17" s="714" t="s">
        <v>21</v>
      </c>
      <c r="U17" s="715">
        <f>H17</f>
        <v>100</v>
      </c>
      <c r="V17" s="714" t="s">
        <v>21</v>
      </c>
      <c r="W17" s="715">
        <f>J17</f>
        <v>100</v>
      </c>
      <c r="X17" s="1538"/>
      <c r="Y17" s="3276"/>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46"/>
      <c r="Q18" s="1535"/>
      <c r="R18" s="714"/>
      <c r="S18" s="715"/>
      <c r="T18" s="714"/>
      <c r="U18" s="715"/>
      <c r="V18" s="714"/>
      <c r="W18" s="715"/>
      <c r="X18" s="1538"/>
      <c r="Y18" s="3276"/>
      <c r="Z18" s="1539"/>
      <c r="AA18" s="1536">
        <v>1</v>
      </c>
      <c r="AB18" s="1536">
        <v>1</v>
      </c>
      <c r="AC18" s="1536">
        <v>1</v>
      </c>
    </row>
    <row r="19" spans="1:29" ht="42.75">
      <c r="A19" s="387"/>
      <c r="B19" s="410" t="s">
        <v>1937</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6"/>
      <c r="Q19" s="1535" t="str">
        <f>B19</f>
        <v>公共配套设施</v>
      </c>
      <c r="R19" s="714" t="s">
        <v>21</v>
      </c>
      <c r="S19" s="715">
        <f>F19</f>
        <v>100</v>
      </c>
      <c r="T19" s="714" t="s">
        <v>21</v>
      </c>
      <c r="U19" s="715">
        <f>H19</f>
        <v>100</v>
      </c>
      <c r="V19" s="714" t="s">
        <v>21</v>
      </c>
      <c r="W19" s="715">
        <f>J19</f>
        <v>100</v>
      </c>
      <c r="X19" s="1538"/>
      <c r="Y19" s="3276"/>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46"/>
      <c r="Q20" s="1535"/>
      <c r="R20" s="714"/>
      <c r="S20" s="715"/>
      <c r="T20" s="714"/>
      <c r="U20" s="715"/>
      <c r="V20" s="714"/>
      <c r="W20" s="715"/>
      <c r="X20" s="1538"/>
      <c r="Y20" s="3276"/>
      <c r="Z20" s="1539"/>
      <c r="AA20" s="1536">
        <v>1</v>
      </c>
      <c r="AB20" s="1536">
        <v>1</v>
      </c>
      <c r="AC20" s="1536">
        <v>1</v>
      </c>
    </row>
    <row r="21" spans="1:29" ht="28.5">
      <c r="A21" s="387"/>
      <c r="B21" s="1293" t="s">
        <v>1939</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76"/>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46"/>
      <c r="Q22" s="1535"/>
      <c r="R22" s="714"/>
      <c r="S22" s="715"/>
      <c r="T22" s="714"/>
      <c r="U22" s="715"/>
      <c r="V22" s="714"/>
      <c r="W22" s="715"/>
      <c r="X22" s="1538"/>
      <c r="Y22" s="3276"/>
      <c r="Z22" s="1539"/>
      <c r="AA22" s="1536">
        <v>1</v>
      </c>
      <c r="AB22" s="1536">
        <v>1</v>
      </c>
      <c r="AC22" s="1536">
        <v>1</v>
      </c>
    </row>
    <row r="23" spans="1:29" ht="57">
      <c r="A23" s="387"/>
      <c r="B23" s="410" t="s">
        <v>1940</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6"/>
      <c r="Q23" s="1535" t="str">
        <f>B23</f>
        <v>自然及人文环境</v>
      </c>
      <c r="R23" s="714" t="s">
        <v>21</v>
      </c>
      <c r="S23" s="715">
        <f>F23</f>
        <v>100</v>
      </c>
      <c r="T23" s="714" t="s">
        <v>21</v>
      </c>
      <c r="U23" s="715">
        <f>H23</f>
        <v>100</v>
      </c>
      <c r="V23" s="714" t="s">
        <v>21</v>
      </c>
      <c r="W23" s="715">
        <f>J23</f>
        <v>100</v>
      </c>
      <c r="X23" s="1538"/>
      <c r="Y23" s="3276"/>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46"/>
      <c r="Q24" s="1535"/>
      <c r="R24" s="714"/>
      <c r="S24" s="715"/>
      <c r="T24" s="714"/>
      <c r="U24" s="715"/>
      <c r="V24" s="714"/>
      <c r="W24" s="715"/>
      <c r="X24" s="1538"/>
      <c r="Y24" s="3276"/>
      <c r="Z24" s="1539"/>
      <c r="AA24" s="1536">
        <v>1</v>
      </c>
      <c r="AB24" s="1536">
        <v>1</v>
      </c>
      <c r="AC24" s="1536">
        <v>1</v>
      </c>
    </row>
    <row r="25" spans="1:29" ht="15">
      <c r="A25" s="387"/>
      <c r="B25" s="381" t="s">
        <v>2375</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4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76"/>
      <c r="Z25" s="1539" t="str">
        <f>Q25</f>
        <v>楼层-1</v>
      </c>
      <c r="AA25" s="1536">
        <f t="shared" ref="AA25:AA46" si="15">D25/F25</f>
        <v>1</v>
      </c>
      <c r="AB25" s="1536">
        <f t="shared" ref="AB25:AB46" si="16">D25/H25</f>
        <v>1</v>
      </c>
      <c r="AC25" s="1536">
        <f t="shared" ref="AC25:AC46" si="17">D25/J25</f>
        <v>1</v>
      </c>
    </row>
    <row r="26" spans="1:29" ht="15">
      <c r="A26" s="387"/>
      <c r="B26" s="381" t="s">
        <v>2376</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46"/>
      <c r="Q26" s="1535" t="str">
        <f t="shared" si="11"/>
        <v>朝向</v>
      </c>
      <c r="R26" s="714" t="s">
        <v>21</v>
      </c>
      <c r="S26" s="715">
        <f t="shared" si="12"/>
        <v>100</v>
      </c>
      <c r="T26" s="714" t="s">
        <v>21</v>
      </c>
      <c r="U26" s="715">
        <f t="shared" si="13"/>
        <v>100</v>
      </c>
      <c r="V26" s="714" t="s">
        <v>21</v>
      </c>
      <c r="W26" s="715">
        <f t="shared" si="14"/>
        <v>100</v>
      </c>
      <c r="X26" s="1538"/>
      <c r="Y26" s="3276"/>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46"/>
      <c r="Q27" s="1526">
        <f t="shared" si="11"/>
        <v>111</v>
      </c>
      <c r="R27" s="710" t="s">
        <v>21</v>
      </c>
      <c r="S27" s="711">
        <f t="shared" si="12"/>
        <v>100</v>
      </c>
      <c r="T27" s="710" t="s">
        <v>21</v>
      </c>
      <c r="U27" s="711">
        <f t="shared" si="13"/>
        <v>100</v>
      </c>
      <c r="V27" s="710" t="s">
        <v>21</v>
      </c>
      <c r="W27" s="711">
        <f t="shared" si="14"/>
        <v>100</v>
      </c>
      <c r="X27" s="712"/>
      <c r="Y27" s="3276"/>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46"/>
      <c r="Q28" s="1535">
        <f t="shared" si="11"/>
        <v>111</v>
      </c>
      <c r="R28" s="714" t="s">
        <v>21</v>
      </c>
      <c r="S28" s="715">
        <f t="shared" si="12"/>
        <v>100</v>
      </c>
      <c r="T28" s="714" t="s">
        <v>21</v>
      </c>
      <c r="U28" s="715">
        <f t="shared" si="13"/>
        <v>100</v>
      </c>
      <c r="V28" s="714" t="s">
        <v>21</v>
      </c>
      <c r="W28" s="715">
        <f t="shared" si="14"/>
        <v>100</v>
      </c>
      <c r="X28" s="1538"/>
      <c r="Y28" s="3276"/>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46"/>
      <c r="Q29" s="1535">
        <f t="shared" si="11"/>
        <v>111</v>
      </c>
      <c r="R29" s="714" t="s">
        <v>21</v>
      </c>
      <c r="S29" s="715">
        <f t="shared" si="12"/>
        <v>100</v>
      </c>
      <c r="T29" s="714" t="s">
        <v>21</v>
      </c>
      <c r="U29" s="715">
        <f t="shared" si="13"/>
        <v>100</v>
      </c>
      <c r="V29" s="714" t="s">
        <v>21</v>
      </c>
      <c r="W29" s="715">
        <f t="shared" si="14"/>
        <v>100</v>
      </c>
      <c r="X29" s="1538"/>
      <c r="Y29" s="3276"/>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46"/>
      <c r="Q30" s="1535">
        <f t="shared" si="11"/>
        <v>111</v>
      </c>
      <c r="R30" s="714" t="s">
        <v>21</v>
      </c>
      <c r="S30" s="715">
        <f t="shared" si="12"/>
        <v>100</v>
      </c>
      <c r="T30" s="714" t="s">
        <v>21</v>
      </c>
      <c r="U30" s="715">
        <f t="shared" si="13"/>
        <v>100</v>
      </c>
      <c r="V30" s="714" t="s">
        <v>21</v>
      </c>
      <c r="W30" s="715">
        <f t="shared" si="14"/>
        <v>100</v>
      </c>
      <c r="X30" s="1538"/>
      <c r="Y30" s="3276"/>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46"/>
      <c r="Q31" s="1535">
        <f t="shared" si="11"/>
        <v>111</v>
      </c>
      <c r="R31" s="714" t="s">
        <v>21</v>
      </c>
      <c r="S31" s="715">
        <f t="shared" si="12"/>
        <v>100</v>
      </c>
      <c r="T31" s="714" t="s">
        <v>21</v>
      </c>
      <c r="U31" s="715">
        <f t="shared" si="13"/>
        <v>100</v>
      </c>
      <c r="V31" s="714" t="s">
        <v>21</v>
      </c>
      <c r="W31" s="715">
        <f t="shared" si="14"/>
        <v>100</v>
      </c>
      <c r="X31" s="1538"/>
      <c r="Y31" s="3276"/>
      <c r="Z31" s="1539">
        <f t="shared" si="18"/>
        <v>111</v>
      </c>
      <c r="AA31" s="1536">
        <f t="shared" si="15"/>
        <v>1</v>
      </c>
      <c r="AB31" s="1536">
        <f t="shared" si="16"/>
        <v>1</v>
      </c>
      <c r="AC31" s="1536">
        <f t="shared" si="17"/>
        <v>1</v>
      </c>
    </row>
    <row r="32" spans="1:29" ht="15">
      <c r="A32" s="399" t="s">
        <v>2377</v>
      </c>
      <c r="B32" s="67" t="s">
        <v>2378</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41" t="s">
        <v>2379</v>
      </c>
      <c r="Q32" s="1535" t="str">
        <f t="shared" si="11"/>
        <v>建筑类型</v>
      </c>
      <c r="R32" s="714" t="s">
        <v>21</v>
      </c>
      <c r="S32" s="715">
        <f t="shared" si="12"/>
        <v>100</v>
      </c>
      <c r="T32" s="714" t="s">
        <v>21</v>
      </c>
      <c r="U32" s="715">
        <f t="shared" si="13"/>
        <v>100</v>
      </c>
      <c r="V32" s="714" t="s">
        <v>21</v>
      </c>
      <c r="W32" s="715">
        <f t="shared" si="14"/>
        <v>100</v>
      </c>
      <c r="X32" s="1538"/>
      <c r="Y32" s="3278" t="s">
        <v>2379</v>
      </c>
      <c r="Z32" s="1539" t="str">
        <f t="shared" si="18"/>
        <v>建筑类型</v>
      </c>
      <c r="AA32" s="1536">
        <f t="shared" si="15"/>
        <v>1</v>
      </c>
      <c r="AB32" s="1536">
        <f t="shared" si="16"/>
        <v>1</v>
      </c>
      <c r="AC32" s="1536">
        <f t="shared" si="17"/>
        <v>1</v>
      </c>
    </row>
    <row r="33" spans="1:29" s="430" customFormat="1" ht="15">
      <c r="A33" s="427"/>
      <c r="B33" s="381" t="s">
        <v>2380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42"/>
      <c r="Q33" s="716" t="str">
        <f t="shared" si="11"/>
        <v>项目建筑规模</v>
      </c>
      <c r="R33" s="717" t="s">
        <v>21</v>
      </c>
      <c r="S33" s="718" t="e">
        <f t="shared" si="12"/>
        <v>#N/A</v>
      </c>
      <c r="T33" s="717" t="s">
        <v>21</v>
      </c>
      <c r="U33" s="718" t="e">
        <f t="shared" si="13"/>
        <v>#N/A</v>
      </c>
      <c r="V33" s="717" t="s">
        <v>21</v>
      </c>
      <c r="W33" s="718" t="e">
        <f t="shared" si="14"/>
        <v>#N/A</v>
      </c>
      <c r="X33" s="719"/>
      <c r="Y33" s="3278"/>
      <c r="Z33" s="720" t="str">
        <f t="shared" si="18"/>
        <v>项目建筑规模</v>
      </c>
      <c r="AA33" s="1536" t="e">
        <f t="shared" si="15"/>
        <v>#N/A</v>
      </c>
      <c r="AB33" s="1536" t="e">
        <f t="shared" si="16"/>
        <v>#N/A</v>
      </c>
      <c r="AC33" s="1536" t="e">
        <f t="shared" si="17"/>
        <v>#N/A</v>
      </c>
    </row>
    <row r="34" spans="1:29" ht="15">
      <c r="A34" s="431"/>
      <c r="B34" s="381" t="s">
        <v>2381</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42"/>
      <c r="Q34" s="1535" t="str">
        <f t="shared" si="11"/>
        <v>建筑结构</v>
      </c>
      <c r="R34" s="714" t="s">
        <v>21</v>
      </c>
      <c r="S34" s="715">
        <f t="shared" si="12"/>
        <v>100</v>
      </c>
      <c r="T34" s="714" t="s">
        <v>21</v>
      </c>
      <c r="U34" s="715">
        <f t="shared" si="13"/>
        <v>100</v>
      </c>
      <c r="V34" s="714" t="s">
        <v>21</v>
      </c>
      <c r="W34" s="715">
        <f t="shared" si="14"/>
        <v>100</v>
      </c>
      <c r="X34" s="1538"/>
      <c r="Y34" s="3278"/>
      <c r="Z34" s="1539" t="str">
        <f t="shared" si="18"/>
        <v>建筑结构</v>
      </c>
      <c r="AA34" s="1536">
        <f t="shared" si="15"/>
        <v>1</v>
      </c>
      <c r="AB34" s="1536">
        <f t="shared" si="16"/>
        <v>1</v>
      </c>
      <c r="AC34" s="1536">
        <f t="shared" si="17"/>
        <v>1</v>
      </c>
    </row>
    <row r="35" spans="1:29" ht="15">
      <c r="A35" s="431"/>
      <c r="B35" s="381" t="s">
        <v>2382</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42"/>
      <c r="Q35" s="1535" t="str">
        <f t="shared" si="11"/>
        <v>建筑品质</v>
      </c>
      <c r="R35" s="714" t="s">
        <v>21</v>
      </c>
      <c r="S35" s="715">
        <f t="shared" si="12"/>
        <v>100</v>
      </c>
      <c r="T35" s="714" t="s">
        <v>21</v>
      </c>
      <c r="U35" s="715">
        <f t="shared" si="13"/>
        <v>100</v>
      </c>
      <c r="V35" s="714" t="s">
        <v>21</v>
      </c>
      <c r="W35" s="715">
        <f t="shared" si="14"/>
        <v>100</v>
      </c>
      <c r="X35" s="1538"/>
      <c r="Y35" s="3278"/>
      <c r="Z35" s="1539" t="str">
        <f t="shared" si="18"/>
        <v>建筑品质</v>
      </c>
      <c r="AA35" s="1536">
        <f t="shared" si="15"/>
        <v>1</v>
      </c>
      <c r="AB35" s="1536">
        <f t="shared" si="16"/>
        <v>1</v>
      </c>
      <c r="AC35" s="1536">
        <f t="shared" si="17"/>
        <v>1</v>
      </c>
    </row>
    <row r="36" spans="1:29" ht="15">
      <c r="A36" s="431"/>
      <c r="B36" s="381" t="s">
        <v>2383</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42"/>
      <c r="Q36" s="1535" t="str">
        <f t="shared" si="11"/>
        <v>公共部分装修</v>
      </c>
      <c r="R36" s="714" t="s">
        <v>21</v>
      </c>
      <c r="S36" s="715">
        <f t="shared" si="12"/>
        <v>100</v>
      </c>
      <c r="T36" s="714" t="s">
        <v>21</v>
      </c>
      <c r="U36" s="715">
        <f t="shared" si="13"/>
        <v>100</v>
      </c>
      <c r="V36" s="714" t="s">
        <v>21</v>
      </c>
      <c r="W36" s="715">
        <f t="shared" si="14"/>
        <v>100</v>
      </c>
      <c r="X36" s="1538"/>
      <c r="Y36" s="3278"/>
      <c r="Z36" s="1539" t="str">
        <f t="shared" si="18"/>
        <v>公共部分装修</v>
      </c>
      <c r="AA36" s="1536">
        <f t="shared" si="15"/>
        <v>1</v>
      </c>
      <c r="AB36" s="1536">
        <f t="shared" si="16"/>
        <v>1</v>
      </c>
      <c r="AC36" s="1536">
        <f t="shared" si="17"/>
        <v>1</v>
      </c>
    </row>
    <row r="37" spans="1:29" s="113" customFormat="1" ht="15">
      <c r="A37" s="432"/>
      <c r="B37" s="381" t="s">
        <v>2384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42"/>
      <c r="Q37" s="1526" t="str">
        <f t="shared" si="11"/>
        <v>成新度</v>
      </c>
      <c r="R37" s="710" t="s">
        <v>21</v>
      </c>
      <c r="S37" s="711" t="e">
        <f t="shared" si="12"/>
        <v>#N/A</v>
      </c>
      <c r="T37" s="710" t="s">
        <v>21</v>
      </c>
      <c r="U37" s="711" t="e">
        <f t="shared" si="13"/>
        <v>#N/A</v>
      </c>
      <c r="V37" s="710" t="s">
        <v>21</v>
      </c>
      <c r="W37" s="711" t="e">
        <f t="shared" si="14"/>
        <v>#N/A</v>
      </c>
      <c r="X37" s="712"/>
      <c r="Y37" s="3278"/>
      <c r="Z37" s="55" t="str">
        <f t="shared" si="18"/>
        <v>成新度</v>
      </c>
      <c r="AA37" s="713" t="e">
        <f t="shared" si="15"/>
        <v>#N/A</v>
      </c>
      <c r="AB37" s="713" t="e">
        <f t="shared" si="16"/>
        <v>#N/A</v>
      </c>
      <c r="AC37" s="713" t="e">
        <f t="shared" si="17"/>
        <v>#N/A</v>
      </c>
    </row>
    <row r="38" spans="1:29" ht="15">
      <c r="A38" s="431"/>
      <c r="B38" s="381" t="s">
        <v>2385</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42" t="s">
        <v>2379</v>
      </c>
      <c r="Q38" s="1535" t="str">
        <f t="shared" si="11"/>
        <v>物业管理</v>
      </c>
      <c r="R38" s="714" t="s">
        <v>21</v>
      </c>
      <c r="S38" s="715">
        <f t="shared" si="12"/>
        <v>100</v>
      </c>
      <c r="T38" s="714" t="s">
        <v>21</v>
      </c>
      <c r="U38" s="715">
        <f t="shared" si="13"/>
        <v>100</v>
      </c>
      <c r="V38" s="714" t="s">
        <v>21</v>
      </c>
      <c r="W38" s="715">
        <f t="shared" si="14"/>
        <v>100</v>
      </c>
      <c r="X38" s="1538"/>
      <c r="Y38" s="3278" t="s">
        <v>2379</v>
      </c>
      <c r="Z38" s="1539" t="str">
        <f t="shared" si="18"/>
        <v>物业管理</v>
      </c>
      <c r="AA38" s="1536">
        <f t="shared" si="15"/>
        <v>1</v>
      </c>
      <c r="AB38" s="1536">
        <f t="shared" si="16"/>
        <v>1</v>
      </c>
      <c r="AC38" s="1536">
        <f t="shared" si="17"/>
        <v>1</v>
      </c>
    </row>
    <row r="39" spans="1:29" ht="15">
      <c r="A39" s="431"/>
      <c r="B39" s="381" t="s">
        <v>2386</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42"/>
      <c r="Q39" s="1535" t="str">
        <f t="shared" si="11"/>
        <v>市政基础设施</v>
      </c>
      <c r="R39" s="714" t="s">
        <v>21</v>
      </c>
      <c r="S39" s="715">
        <f t="shared" si="12"/>
        <v>100</v>
      </c>
      <c r="T39" s="714" t="s">
        <v>21</v>
      </c>
      <c r="U39" s="715">
        <f t="shared" si="13"/>
        <v>100</v>
      </c>
      <c r="V39" s="714" t="s">
        <v>21</v>
      </c>
      <c r="W39" s="715">
        <f t="shared" si="14"/>
        <v>100</v>
      </c>
      <c r="X39" s="1538"/>
      <c r="Y39" s="3278"/>
      <c r="Z39" s="1539" t="str">
        <f t="shared" si="18"/>
        <v>市政基础设施</v>
      </c>
      <c r="AA39" s="1536">
        <f t="shared" si="15"/>
        <v>1</v>
      </c>
      <c r="AB39" s="1536">
        <f t="shared" si="16"/>
        <v>1</v>
      </c>
      <c r="AC39" s="1536">
        <f t="shared" si="17"/>
        <v>1</v>
      </c>
    </row>
    <row r="40" spans="1:29" ht="15">
      <c r="A40" s="431"/>
      <c r="B40" s="381" t="s">
        <v>2387</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42"/>
      <c r="Q40" s="1535" t="str">
        <f t="shared" si="11"/>
        <v>房型</v>
      </c>
      <c r="R40" s="714" t="s">
        <v>21</v>
      </c>
      <c r="S40" s="715">
        <f t="shared" si="12"/>
        <v>100</v>
      </c>
      <c r="T40" s="714" t="s">
        <v>21</v>
      </c>
      <c r="U40" s="715">
        <f t="shared" si="13"/>
        <v>100</v>
      </c>
      <c r="V40" s="714" t="s">
        <v>21</v>
      </c>
      <c r="W40" s="715">
        <f t="shared" si="14"/>
        <v>100</v>
      </c>
      <c r="X40" s="1538"/>
      <c r="Y40" s="3278"/>
      <c r="Z40" s="1539" t="str">
        <f t="shared" si="18"/>
        <v>房型</v>
      </c>
      <c r="AA40" s="1536">
        <f t="shared" si="15"/>
        <v>1</v>
      </c>
      <c r="AB40" s="1536">
        <f t="shared" si="16"/>
        <v>1</v>
      </c>
      <c r="AC40" s="1536">
        <f t="shared" si="17"/>
        <v>1</v>
      </c>
    </row>
    <row r="41" spans="1:29" s="430" customFormat="1" ht="28.5">
      <c r="A41" s="427"/>
      <c r="B41" s="381" t="s">
        <v>2388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42"/>
      <c r="Q41" s="716" t="str">
        <f t="shared" si="11"/>
        <v>单套/主力户型建筑面积</v>
      </c>
      <c r="R41" s="717" t="s">
        <v>21</v>
      </c>
      <c r="S41" s="718">
        <f t="shared" si="12"/>
        <v>100</v>
      </c>
      <c r="T41" s="717" t="s">
        <v>21</v>
      </c>
      <c r="U41" s="718">
        <f t="shared" si="13"/>
        <v>100</v>
      </c>
      <c r="V41" s="717" t="s">
        <v>21</v>
      </c>
      <c r="W41" s="718">
        <f t="shared" si="14"/>
        <v>100</v>
      </c>
      <c r="X41" s="719"/>
      <c r="Y41" s="3278"/>
      <c r="Z41" s="720" t="str">
        <f t="shared" si="18"/>
        <v>单套/主力户型建筑面积</v>
      </c>
      <c r="AA41" s="1536">
        <f t="shared" si="15"/>
        <v>1</v>
      </c>
      <c r="AB41" s="1536">
        <f t="shared" si="16"/>
        <v>1</v>
      </c>
      <c r="AC41" s="1536">
        <f t="shared" si="17"/>
        <v>1</v>
      </c>
    </row>
    <row r="42" spans="1:29" ht="15">
      <c r="A42" s="431"/>
      <c r="B42" s="381" t="s">
        <v>2389</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42"/>
      <c r="Q42" s="1535" t="str">
        <f t="shared" si="11"/>
        <v>内部装修</v>
      </c>
      <c r="R42" s="714" t="s">
        <v>21</v>
      </c>
      <c r="S42" s="715">
        <f t="shared" si="12"/>
        <v>100</v>
      </c>
      <c r="T42" s="714" t="s">
        <v>21</v>
      </c>
      <c r="U42" s="715">
        <f t="shared" si="13"/>
        <v>100</v>
      </c>
      <c r="V42" s="714" t="s">
        <v>21</v>
      </c>
      <c r="W42" s="715">
        <f t="shared" si="14"/>
        <v>100</v>
      </c>
      <c r="X42" s="1538"/>
      <c r="Y42" s="3278"/>
      <c r="Z42" s="1539" t="str">
        <f t="shared" si="18"/>
        <v>内部装修</v>
      </c>
      <c r="AA42" s="1536">
        <f t="shared" si="15"/>
        <v>1</v>
      </c>
      <c r="AB42" s="1536">
        <f t="shared" si="16"/>
        <v>1</v>
      </c>
      <c r="AC42" s="1536">
        <f t="shared" si="17"/>
        <v>1</v>
      </c>
    </row>
    <row r="43" spans="1:29" ht="15">
      <c r="A43" s="431"/>
      <c r="B43" s="381" t="s">
        <v>2390</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42"/>
      <c r="Q43" s="1535" t="str">
        <f t="shared" si="11"/>
        <v>内部装修维护情况</v>
      </c>
      <c r="R43" s="714" t="s">
        <v>21</v>
      </c>
      <c r="S43" s="715">
        <f t="shared" si="12"/>
        <v>100</v>
      </c>
      <c r="T43" s="714" t="s">
        <v>21</v>
      </c>
      <c r="U43" s="715">
        <f t="shared" si="13"/>
        <v>100</v>
      </c>
      <c r="V43" s="714" t="s">
        <v>21</v>
      </c>
      <c r="W43" s="715">
        <f t="shared" si="14"/>
        <v>100</v>
      </c>
      <c r="X43" s="1538"/>
      <c r="Y43" s="3278"/>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42"/>
      <c r="Q44" s="1526">
        <f t="shared" si="11"/>
        <v>111</v>
      </c>
      <c r="R44" s="710" t="s">
        <v>21</v>
      </c>
      <c r="S44" s="711">
        <f t="shared" si="12"/>
        <v>100</v>
      </c>
      <c r="T44" s="710" t="s">
        <v>21</v>
      </c>
      <c r="U44" s="711">
        <f t="shared" si="13"/>
        <v>100</v>
      </c>
      <c r="V44" s="710" t="s">
        <v>21</v>
      </c>
      <c r="W44" s="711">
        <f t="shared" si="14"/>
        <v>100</v>
      </c>
      <c r="X44" s="712"/>
      <c r="Y44" s="327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42"/>
      <c r="Q45" s="1535">
        <f t="shared" si="11"/>
        <v>111</v>
      </c>
      <c r="R45" s="714" t="s">
        <v>21</v>
      </c>
      <c r="S45" s="715">
        <f t="shared" si="12"/>
        <v>100</v>
      </c>
      <c r="T45" s="714" t="s">
        <v>21</v>
      </c>
      <c r="U45" s="715">
        <f t="shared" si="13"/>
        <v>100</v>
      </c>
      <c r="V45" s="714" t="s">
        <v>21</v>
      </c>
      <c r="W45" s="715">
        <f t="shared" si="14"/>
        <v>100</v>
      </c>
      <c r="X45" s="1538"/>
      <c r="Y45" s="3278"/>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43"/>
      <c r="Q46" s="1535">
        <f t="shared" si="11"/>
        <v>111</v>
      </c>
      <c r="R46" s="714" t="s">
        <v>20</v>
      </c>
      <c r="S46" s="715">
        <f t="shared" si="12"/>
        <v>100</v>
      </c>
      <c r="T46" s="714" t="s">
        <v>20</v>
      </c>
      <c r="U46" s="715">
        <f t="shared" si="13"/>
        <v>100</v>
      </c>
      <c r="V46" s="714" t="s">
        <v>20</v>
      </c>
      <c r="W46" s="715">
        <f t="shared" si="14"/>
        <v>100</v>
      </c>
      <c r="X46" s="1538"/>
      <c r="Y46" s="3344"/>
      <c r="Z46" s="1539">
        <f t="shared" si="18"/>
        <v>111</v>
      </c>
      <c r="AA46" s="1536">
        <f t="shared" si="15"/>
        <v>1</v>
      </c>
      <c r="AB46" s="1536">
        <f t="shared" si="16"/>
        <v>1</v>
      </c>
      <c r="AC46" s="1536">
        <f t="shared" si="17"/>
        <v>1</v>
      </c>
    </row>
    <row r="47" spans="1:29" ht="15">
      <c r="A47" s="438" t="s">
        <v>2391</v>
      </c>
      <c r="B47" s="439"/>
      <c r="C47" s="1316" t="s">
        <v>19</v>
      </c>
      <c r="D47" s="1317"/>
      <c r="E47" s="1318"/>
      <c r="F47" s="1319"/>
      <c r="G47" s="1320"/>
      <c r="H47" s="1321"/>
      <c r="I47" s="1318"/>
      <c r="J47" s="1321"/>
      <c r="K47" s="2098"/>
      <c r="L47" s="2951"/>
      <c r="M47" s="2952"/>
      <c r="N47" s="2943"/>
      <c r="O47" s="2952"/>
      <c r="P47" s="3273" t="str">
        <f>A47</f>
        <v>成交单价（元/平方米）</v>
      </c>
      <c r="Q47" s="3273"/>
      <c r="R47" s="3340">
        <f>E47</f>
        <v>0</v>
      </c>
      <c r="S47" s="3340"/>
      <c r="T47" s="3340">
        <f>G47</f>
        <v>0</v>
      </c>
      <c r="U47" s="3340"/>
      <c r="V47" s="3340">
        <f>I47</f>
        <v>0</v>
      </c>
      <c r="W47" s="3340"/>
      <c r="X47" s="699"/>
      <c r="Y47" s="721"/>
      <c r="Z47" s="699"/>
      <c r="AA47" s="699"/>
      <c r="AB47" s="699"/>
      <c r="AC47" s="699"/>
    </row>
    <row r="48" spans="1:29" ht="15.75" thickBot="1">
      <c r="A48" s="445" t="s">
        <v>2392</v>
      </c>
      <c r="B48" s="446"/>
      <c r="C48" s="1322" t="e">
        <f>R49</f>
        <v>#DIV/0!</v>
      </c>
      <c r="D48" s="2536" t="s">
        <v>2874</v>
      </c>
      <c r="E48" s="1323" t="e">
        <f>R48</f>
        <v>#DIV/0!</v>
      </c>
      <c r="F48" s="2537"/>
      <c r="G48" s="1322" t="e">
        <f>T48</f>
        <v>#DIV/0!</v>
      </c>
      <c r="H48" s="2537"/>
      <c r="I48" s="1323" t="e">
        <f>V48</f>
        <v>#DIV/0!</v>
      </c>
      <c r="J48" s="2537"/>
      <c r="K48" s="2538">
        <f>F48+H48+J48</f>
        <v>0</v>
      </c>
      <c r="L48" s="2951"/>
      <c r="M48" s="2952"/>
      <c r="N48" s="2952"/>
      <c r="O48" s="2952"/>
      <c r="P48" s="3273" t="str">
        <f>A48</f>
        <v>比较价值（元/平方米）</v>
      </c>
      <c r="Q48" s="3273"/>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75" thickBot="1">
      <c r="A49" s="449" t="s">
        <v>2393</v>
      </c>
      <c r="B49" s="450"/>
      <c r="C49" s="1324" t="e">
        <f>R49</f>
        <v>#DIV/0!</v>
      </c>
      <c r="D49" s="1325"/>
      <c r="E49" s="1325"/>
      <c r="F49" s="1325"/>
      <c r="G49" s="1325"/>
      <c r="H49" s="1325"/>
      <c r="I49" s="1325"/>
      <c r="J49" s="1325"/>
      <c r="K49" s="2099"/>
      <c r="L49" s="2951"/>
      <c r="M49" s="2952"/>
      <c r="N49" s="2952"/>
      <c r="O49" s="2952"/>
      <c r="P49" s="3267" t="str">
        <f>A49</f>
        <v>估价对象XX用房的比较价值（楼面单价，元/平方米）</v>
      </c>
      <c r="Q49" s="326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2396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2397</v>
      </c>
      <c r="B57" s="699"/>
      <c r="C57" s="704"/>
      <c r="D57" s="704"/>
      <c r="E57" s="704"/>
      <c r="F57" s="705"/>
      <c r="G57" s="705"/>
      <c r="H57" s="704"/>
      <c r="I57" s="704"/>
      <c r="J57" s="704"/>
      <c r="K57" s="1072"/>
      <c r="L57" s="1073"/>
      <c r="M57" s="1071"/>
      <c r="N57" s="1071"/>
      <c r="O57" s="1071"/>
      <c r="P57" s="2102"/>
      <c r="Q57" s="461"/>
    </row>
    <row r="58" spans="1:29" s="465" customFormat="1" ht="15">
      <c r="A58" s="462" t="s">
        <v>2398</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2399</v>
      </c>
      <c r="B60" s="473"/>
      <c r="C60" s="474"/>
      <c r="D60" s="475"/>
      <c r="E60" s="475"/>
      <c r="F60" s="475"/>
      <c r="G60" s="475"/>
      <c r="H60" s="475"/>
      <c r="I60" s="475"/>
      <c r="J60" s="475"/>
      <c r="K60" s="475"/>
      <c r="L60" s="475"/>
      <c r="M60" s="476"/>
      <c r="N60" s="475"/>
      <c r="O60" s="476"/>
      <c r="P60" s="2104"/>
      <c r="Q60" s="461"/>
    </row>
    <row r="61" spans="1:29" s="113" customFormat="1" ht="15">
      <c r="A61" s="478" t="s">
        <v>2400</v>
      </c>
      <c r="B61" s="467"/>
      <c r="C61" s="479" t="s">
        <v>2401</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2402</v>
      </c>
      <c r="B63" s="485" t="s">
        <v>2368</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2371</v>
      </c>
      <c r="C65" s="496" t="s">
        <v>2403</v>
      </c>
      <c r="D65" s="496" t="s">
        <v>2404</v>
      </c>
      <c r="E65" s="496" t="s">
        <v>2405</v>
      </c>
      <c r="F65" s="496" t="s">
        <v>2406</v>
      </c>
      <c r="G65" s="496" t="s">
        <v>2407</v>
      </c>
      <c r="H65" s="496" t="s">
        <v>2408</v>
      </c>
      <c r="I65" s="496" t="s">
        <v>2409</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2373</v>
      </c>
      <c r="B76" s="485" t="s">
        <v>2410</v>
      </c>
      <c r="C76" s="530" t="s">
        <v>2411</v>
      </c>
      <c r="D76" s="530" t="s">
        <v>2412</v>
      </c>
      <c r="E76" s="530" t="s">
        <v>2413</v>
      </c>
      <c r="F76" s="530" t="s">
        <v>2414</v>
      </c>
      <c r="G76" s="530" t="s">
        <v>2415</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2416</v>
      </c>
      <c r="C78" s="535" t="s">
        <v>2411</v>
      </c>
      <c r="D78" s="535" t="s">
        <v>2412</v>
      </c>
      <c r="E78" s="535" t="s">
        <v>2413</v>
      </c>
      <c r="F78" s="535" t="s">
        <v>2414</v>
      </c>
      <c r="G78" s="535" t="s">
        <v>2415</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2417</v>
      </c>
      <c r="C80" s="535" t="s">
        <v>2411</v>
      </c>
      <c r="D80" s="535" t="s">
        <v>2412</v>
      </c>
      <c r="E80" s="535" t="s">
        <v>2413</v>
      </c>
      <c r="F80" s="535" t="s">
        <v>2414</v>
      </c>
      <c r="G80" s="535" t="s">
        <v>2415</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1939</v>
      </c>
      <c r="C82" s="496" t="s">
        <v>2418</v>
      </c>
      <c r="D82" s="496" t="s">
        <v>2419</v>
      </c>
      <c r="E82" s="496" t="s">
        <v>2420</v>
      </c>
      <c r="F82" s="496" t="s">
        <v>2421</v>
      </c>
      <c r="G82" s="496" t="s">
        <v>2422</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2423</v>
      </c>
      <c r="C84" s="535" t="s">
        <v>2411</v>
      </c>
      <c r="D84" s="535" t="s">
        <v>2412</v>
      </c>
      <c r="E84" s="535" t="s">
        <v>2413</v>
      </c>
      <c r="F84" s="535" t="s">
        <v>2414</v>
      </c>
      <c r="G84" s="535" t="s">
        <v>2415</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2424</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2425</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2377</v>
      </c>
      <c r="B100" s="485" t="s">
        <v>2426</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2427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2428</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2429</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2430</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1869</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2431</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2432</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2433</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2388</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2434</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2435</v>
      </c>
      <c r="C124" s="535" t="s">
        <v>2411</v>
      </c>
      <c r="D124" s="535" t="s">
        <v>2412</v>
      </c>
      <c r="E124" s="535" t="s">
        <v>2413</v>
      </c>
      <c r="F124" s="535" t="s">
        <v>2414</v>
      </c>
      <c r="G124" s="535" t="s">
        <v>2415</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2436</v>
      </c>
    </row>
    <row r="137" spans="1:17" ht="15">
      <c r="B137" s="2114" t="s">
        <v>2437</v>
      </c>
      <c r="C137" s="2115"/>
      <c r="D137" s="2115"/>
      <c r="E137" s="2115"/>
      <c r="F137" s="2115"/>
      <c r="G137" s="2116"/>
      <c r="H137" s="2117"/>
      <c r="I137" s="2118" t="s">
        <v>2438</v>
      </c>
      <c r="J137" s="2115"/>
      <c r="K137" s="2119"/>
    </row>
    <row r="138" spans="1:17" ht="15">
      <c r="B138" s="2120"/>
      <c r="C138" s="142" t="s">
        <v>2439</v>
      </c>
      <c r="D138" s="142" t="s">
        <v>2440</v>
      </c>
      <c r="E138" s="2121" t="s">
        <v>2441</v>
      </c>
      <c r="F138" s="2122" t="s">
        <v>2442</v>
      </c>
      <c r="G138" s="142" t="s">
        <v>2440</v>
      </c>
      <c r="H138" s="143" t="s">
        <v>2441</v>
      </c>
      <c r="I138" s="2123"/>
      <c r="J138" s="142" t="s">
        <v>2443</v>
      </c>
      <c r="K138" s="143" t="s">
        <v>2444</v>
      </c>
    </row>
    <row r="139" spans="1:17" ht="15">
      <c r="B139" s="998">
        <v>6</v>
      </c>
      <c r="C139" s="999">
        <v>96</v>
      </c>
      <c r="D139" s="2124" t="s">
        <v>2445</v>
      </c>
      <c r="E139" s="1000">
        <v>100</v>
      </c>
      <c r="F139" s="1001">
        <v>102.5</v>
      </c>
      <c r="G139" s="2124" t="s">
        <v>2445</v>
      </c>
      <c r="H139" s="1002">
        <v>105</v>
      </c>
      <c r="I139" s="2125" t="s">
        <v>2446</v>
      </c>
      <c r="J139" s="999">
        <v>20</v>
      </c>
      <c r="K139" s="1003">
        <f>C145/(J139-2)</f>
        <v>4.0555555555555553E-3</v>
      </c>
    </row>
    <row r="140" spans="1:17" ht="15">
      <c r="B140" s="1004">
        <v>5</v>
      </c>
      <c r="C140" s="1005">
        <v>100</v>
      </c>
      <c r="D140" s="1005"/>
      <c r="E140" s="1006"/>
      <c r="F140" s="1007">
        <v>102</v>
      </c>
      <c r="G140" s="1005"/>
      <c r="H140" s="1008"/>
      <c r="I140" s="2126" t="s">
        <v>2447</v>
      </c>
      <c r="J140" s="277">
        <f>ROUNDUP((J139-1)/2,0)</f>
        <v>10</v>
      </c>
      <c r="K140" s="1009">
        <v>100</v>
      </c>
    </row>
    <row r="141" spans="1:17" ht="15">
      <c r="B141" s="1004">
        <v>4</v>
      </c>
      <c r="C141" s="1005">
        <v>102</v>
      </c>
      <c r="D141" s="1005"/>
      <c r="E141" s="1006"/>
      <c r="F141" s="1007">
        <v>101.5</v>
      </c>
      <c r="G141" s="1005"/>
      <c r="H141" s="1008"/>
      <c r="I141" s="2126" t="s">
        <v>2448</v>
      </c>
      <c r="J141" s="277">
        <v>1</v>
      </c>
      <c r="K141" s="1010">
        <f>ROUND(100+(J141-J140)*K139*100,1)</f>
        <v>96.4</v>
      </c>
    </row>
    <row r="142" spans="1:17" ht="15">
      <c r="B142" s="1004">
        <v>3</v>
      </c>
      <c r="C142" s="1005">
        <v>103</v>
      </c>
      <c r="D142" s="1005"/>
      <c r="E142" s="1006"/>
      <c r="F142" s="1007">
        <v>101</v>
      </c>
      <c r="G142" s="1005"/>
      <c r="H142" s="1008"/>
      <c r="I142" s="2126" t="s">
        <v>2449</v>
      </c>
      <c r="J142" s="277">
        <f>J139</f>
        <v>20</v>
      </c>
      <c r="K142" s="1011">
        <v>95</v>
      </c>
    </row>
    <row r="143" spans="1:17" ht="15">
      <c r="B143" s="1004">
        <v>2</v>
      </c>
      <c r="C143" s="1005">
        <v>100</v>
      </c>
      <c r="D143" s="1005"/>
      <c r="E143" s="1006"/>
      <c r="F143" s="1007">
        <v>100.5</v>
      </c>
      <c r="G143" s="1005"/>
      <c r="H143" s="1008"/>
      <c r="I143" s="2126" t="s">
        <v>2450</v>
      </c>
      <c r="J143" s="1005">
        <v>15</v>
      </c>
      <c r="K143" s="1010">
        <f>ROUND(100+(J143-J140)*K139*100,1)</f>
        <v>102</v>
      </c>
    </row>
    <row r="144" spans="1:17" ht="15">
      <c r="B144" s="1004">
        <v>1</v>
      </c>
      <c r="C144" s="1005">
        <v>98</v>
      </c>
      <c r="D144" s="2127" t="s">
        <v>2451</v>
      </c>
      <c r="E144" s="1006">
        <v>102</v>
      </c>
      <c r="F144" s="1012">
        <v>100</v>
      </c>
      <c r="G144" s="2127" t="s">
        <v>2451</v>
      </c>
      <c r="H144" s="1008">
        <v>105</v>
      </c>
      <c r="I144" s="2126" t="s">
        <v>2450</v>
      </c>
      <c r="J144" s="1005">
        <v>18</v>
      </c>
      <c r="K144" s="1010">
        <f>ROUND(100+(J144-J140)*K139*100,1)</f>
        <v>103.2</v>
      </c>
    </row>
    <row r="145" spans="2:11" ht="15.75" thickBot="1">
      <c r="B145" s="2128" t="s">
        <v>2452</v>
      </c>
      <c r="C145" s="1013">
        <f>ROUND(MAX(C139:C144)/MIN(C139:C144)-1,3)</f>
        <v>7.2999999999999995E-2</v>
      </c>
      <c r="D145" s="1014"/>
      <c r="E145" s="1014"/>
      <c r="F145" s="2129" t="s">
        <v>2453</v>
      </c>
      <c r="G145" s="2130"/>
      <c r="H145" s="2131"/>
      <c r="I145" s="2132" t="s">
        <v>2450</v>
      </c>
      <c r="J145" s="1015">
        <v>8</v>
      </c>
      <c r="K145" s="1016">
        <f>ROUND(100+(J145-J140)*K139*100,1)</f>
        <v>99.2</v>
      </c>
    </row>
    <row r="147" spans="2:11">
      <c r="B147" s="2113" t="s">
        <v>2454</v>
      </c>
    </row>
    <row r="148" spans="2:11">
      <c r="B148" s="2113" t="s">
        <v>2455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1569</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1570</v>
      </c>
    </row>
    <row r="6" spans="1:1" ht="18.75">
      <c r="A6" s="1666" t="s">
        <v>1571</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估价对象为房地产，为所有。根据《国有土地使用证》[]，估价对象（分摊）出让国有建设用地使用权面积为155390.2平方米，建筑面积为38981.68平方米。</v>
      </c>
    </row>
    <row r="8" spans="1:1" ht="57.75">
      <c r="A8" s="1667" t="s">
        <v>1572</v>
      </c>
    </row>
    <row r="9" spans="1:1" ht="18.75">
      <c r="A9" s="1666" t="s">
        <v>1573</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估价对象为房地产,属开发建设的，该项目尚在开发建设中。根据《国有土地使用证》[]，估价对象（分摊）出让国有建设用地使用权面积为155390.2平方米，规划建筑面积为38981.68平方米。</v>
      </c>
    </row>
    <row r="11" spans="1:1" ht="76.5">
      <c r="A11" s="1667" t="s">
        <v>1574</v>
      </c>
    </row>
    <row r="12" spans="1:1" ht="18.75">
      <c r="A12" s="1665" t="s">
        <v>1575</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1576</v>
      </c>
    </row>
    <row r="15" spans="1:1" ht="18">
      <c r="A15" s="1670" t="str">
        <f>TEXT(项目基本情况!D3,"yyyy年m月d日;;")&amp;IF(项目基本情况!D3=项目基本情况!B3,"（评估专业人员实地查勘之日）","")</f>
        <v>2021年5月6日</v>
      </c>
    </row>
    <row r="16" spans="1:1" ht="18.75">
      <c r="A16" s="1669" t="s">
        <v>1577</v>
      </c>
    </row>
    <row r="17" spans="1:1" ht="75">
      <c r="A17" s="1664" t="s">
        <v>1578</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1567</v>
      </c>
    </row>
    <row r="24" spans="1:1" ht="18">
      <c r="A24" s="1671" t="str">
        <f>"本次评估采用的主估价方法为"&amp;结果表!K4&amp;"和"&amp;结果表!L4&amp;"。"</f>
        <v>本次评估采用的主估价方法为成本法和收益法。</v>
      </c>
    </row>
    <row r="25" spans="1:1" ht="18">
      <c r="A25" s="1671"/>
    </row>
    <row r="26" spans="1:1" ht="18.75">
      <c r="A26" s="1672" t="s">
        <v>1568</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062" t="s">
        <v>2456</v>
      </c>
      <c r="C1" s="1405" t="s">
        <v>2344</v>
      </c>
      <c r="D1" s="1392"/>
      <c r="E1" s="2541"/>
      <c r="F1" s="2063"/>
      <c r="G1" s="1402" t="s">
        <v>2457</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2141</v>
      </c>
      <c r="B2" s="1326" t="e">
        <f ca="1">IF(C2="——",ROUND(C49*D3/10000,0),ROUND(C49*D3/10000,0)-D2)</f>
        <v>#DIV/0!</v>
      </c>
      <c r="C2" s="2065"/>
      <c r="D2" s="1275" t="e">
        <f ca="1">SUMIF(INDIRECT("'"&amp;F2&amp;"'"&amp;"!A:A"),"承租人权益价值",INDIRECT("'"&amp;F2&amp;"'"&amp;"!c:c"))</f>
        <v>#REF!</v>
      </c>
      <c r="E2" s="2066" t="s">
        <v>2142</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2143</v>
      </c>
      <c r="B3" s="566" t="e">
        <f ca="1">IF(C2="——",C49,ROUND(B2*10000/D3,0))</f>
        <v>#DIV/0!</v>
      </c>
      <c r="C3" s="360" t="s">
        <v>2458</v>
      </c>
      <c r="D3" s="359">
        <f>IF(D1="",'数据-汇总表'!E3,SUMIF('数据-汇总表'!$C19:$C33,D1,'数据-汇总表'!$E19:$E33))</f>
        <v>38981.680000000008</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2459</v>
      </c>
      <c r="B4" s="362"/>
      <c r="C4" s="3270" t="s">
        <v>2460</v>
      </c>
      <c r="D4" s="3283"/>
      <c r="E4" s="3284" t="s">
        <v>2461</v>
      </c>
      <c r="F4" s="3285"/>
      <c r="G4" s="3270" t="s">
        <v>2462</v>
      </c>
      <c r="H4" s="3283"/>
      <c r="I4" s="3270" t="s">
        <v>2463</v>
      </c>
      <c r="J4" s="3283"/>
      <c r="K4" s="567" t="s">
        <v>2464</v>
      </c>
      <c r="L4" s="2942"/>
      <c r="M4" s="2943"/>
      <c r="N4" s="2943"/>
      <c r="O4" s="2943"/>
      <c r="P4" s="3286" t="s">
        <v>2465</v>
      </c>
      <c r="Q4" s="3287"/>
      <c r="R4" s="3292" t="s">
        <v>2461</v>
      </c>
      <c r="S4" s="3293"/>
      <c r="T4" s="3292" t="s">
        <v>2462</v>
      </c>
      <c r="U4" s="3293"/>
      <c r="V4" s="3279" t="s">
        <v>2463</v>
      </c>
      <c r="W4" s="3279"/>
      <c r="X4" s="1538"/>
      <c r="Y4" s="3292" t="s">
        <v>2465</v>
      </c>
      <c r="Z4" s="3293"/>
      <c r="AA4" s="3280" t="s">
        <v>2461</v>
      </c>
      <c r="AB4" s="3279" t="s">
        <v>2462</v>
      </c>
      <c r="AC4" s="3280" t="s">
        <v>2463</v>
      </c>
    </row>
    <row r="5" spans="1:29" ht="15">
      <c r="A5" s="364"/>
      <c r="B5" s="365"/>
      <c r="C5" s="3300" t="s">
        <v>2356</v>
      </c>
      <c r="D5" s="3301"/>
      <c r="E5" s="3307" t="s">
        <v>2357</v>
      </c>
      <c r="F5" s="3308"/>
      <c r="G5" s="3300" t="s">
        <v>2358</v>
      </c>
      <c r="H5" s="3301"/>
      <c r="I5" s="3300" t="s">
        <v>2359</v>
      </c>
      <c r="J5" s="3301"/>
      <c r="K5" s="567"/>
      <c r="L5" s="2942"/>
      <c r="M5" s="2943"/>
      <c r="N5" s="2943"/>
      <c r="O5" s="2943"/>
      <c r="P5" s="3288"/>
      <c r="Q5" s="3289"/>
      <c r="R5" s="3294"/>
      <c r="S5" s="3295"/>
      <c r="T5" s="3294"/>
      <c r="U5" s="3295"/>
      <c r="V5" s="3279"/>
      <c r="W5" s="3279"/>
      <c r="X5" s="1538"/>
      <c r="Y5" s="3294"/>
      <c r="Z5" s="3295"/>
      <c r="AA5" s="3281"/>
      <c r="AB5" s="3279"/>
      <c r="AC5" s="3281"/>
    </row>
    <row r="6" spans="1:29" ht="15.75" thickBot="1">
      <c r="A6" s="366"/>
      <c r="B6" s="367"/>
      <c r="C6" s="3298" t="s">
        <v>2360</v>
      </c>
      <c r="D6" s="3299"/>
      <c r="E6" s="3305" t="s">
        <v>2360</v>
      </c>
      <c r="F6" s="3306"/>
      <c r="G6" s="3298" t="s">
        <v>2360</v>
      </c>
      <c r="H6" s="3299"/>
      <c r="I6" s="3298" t="s">
        <v>2360</v>
      </c>
      <c r="J6" s="3299"/>
      <c r="K6" s="567" t="s">
        <v>2361</v>
      </c>
      <c r="L6" s="2942"/>
      <c r="M6" s="2943"/>
      <c r="N6" s="2943"/>
      <c r="O6" s="2943"/>
      <c r="P6" s="3290"/>
      <c r="Q6" s="3291"/>
      <c r="R6" s="3294"/>
      <c r="S6" s="3295"/>
      <c r="T6" s="3296"/>
      <c r="U6" s="3297"/>
      <c r="V6" s="3279"/>
      <c r="W6" s="3279"/>
      <c r="X6" s="1538"/>
      <c r="Y6" s="3296"/>
      <c r="Z6" s="3297"/>
      <c r="AA6" s="3282"/>
      <c r="AB6" s="3279"/>
      <c r="AC6" s="3282"/>
    </row>
    <row r="7" spans="1:29" s="113" customFormat="1" ht="15.75" thickBot="1">
      <c r="A7" s="368" t="s">
        <v>2362</v>
      </c>
      <c r="B7" s="369"/>
      <c r="C7" s="370">
        <f>'数据-取费表'!B2</f>
        <v>44322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02" t="s">
        <v>2363</v>
      </c>
      <c r="Q7" s="3304"/>
      <c r="R7" s="710" t="s">
        <v>17</v>
      </c>
      <c r="S7" s="711">
        <f t="shared" ref="S7:S15" si="0">F7</f>
        <v>0</v>
      </c>
      <c r="T7" s="710" t="s">
        <v>17</v>
      </c>
      <c r="U7" s="711">
        <f t="shared" ref="U7:U15" si="1">H7</f>
        <v>0</v>
      </c>
      <c r="V7" s="710" t="s">
        <v>17</v>
      </c>
      <c r="W7" s="711">
        <f t="shared" ref="W7:W15" si="2">J7</f>
        <v>0</v>
      </c>
      <c r="X7" s="712"/>
      <c r="Y7" s="3302" t="s">
        <v>2363</v>
      </c>
      <c r="Z7" s="3303"/>
      <c r="AA7" s="713" t="e">
        <f>D7/F7</f>
        <v>#DIV/0!</v>
      </c>
      <c r="AB7" s="713" t="e">
        <f>D7/H7</f>
        <v>#DIV/0!</v>
      </c>
      <c r="AC7" s="713" t="e">
        <f>D7/J7</f>
        <v>#DIV/0!</v>
      </c>
    </row>
    <row r="8" spans="1:29" s="113" customFormat="1" ht="15.75" thickBot="1">
      <c r="A8" s="368" t="s">
        <v>2364</v>
      </c>
      <c r="B8" s="369"/>
      <c r="C8" s="374" t="s">
        <v>2466</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02" t="s">
        <v>2366</v>
      </c>
      <c r="Q8" s="3303"/>
      <c r="R8" s="710" t="s">
        <v>17</v>
      </c>
      <c r="S8" s="711">
        <f t="shared" si="0"/>
        <v>0</v>
      </c>
      <c r="T8" s="710" t="s">
        <v>17</v>
      </c>
      <c r="U8" s="711">
        <f t="shared" si="1"/>
        <v>0</v>
      </c>
      <c r="V8" s="710" t="s">
        <v>17</v>
      </c>
      <c r="W8" s="711">
        <f t="shared" si="2"/>
        <v>0</v>
      </c>
      <c r="X8" s="712"/>
      <c r="Y8" s="3302" t="s">
        <v>2366</v>
      </c>
      <c r="Z8" s="3303"/>
      <c r="AA8" s="713" t="e">
        <f t="shared" ref="AA8:AA46" si="3">D8/F8</f>
        <v>#DIV/0!</v>
      </c>
      <c r="AB8" s="713" t="e">
        <f t="shared" ref="AB8:AB46" si="4">D8/H8</f>
        <v>#DIV/0!</v>
      </c>
      <c r="AC8" s="713" t="e">
        <f t="shared" ref="AC8:AC46" si="5">D8/J8</f>
        <v>#DIV/0!</v>
      </c>
    </row>
    <row r="9" spans="1:29" s="113" customFormat="1">
      <c r="A9" s="375" t="s">
        <v>2367</v>
      </c>
      <c r="B9" s="67" t="s">
        <v>2368</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72"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72"/>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72"/>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72"/>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72"/>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72"/>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71.25">
      <c r="A15" s="399" t="s">
        <v>2373</v>
      </c>
      <c r="B15" s="65" t="s">
        <v>2467</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45" t="s">
        <v>2374</v>
      </c>
      <c r="Q15" s="1535" t="str">
        <f t="shared" si="6"/>
        <v>商业繁华度</v>
      </c>
      <c r="R15" s="714" t="s">
        <v>17</v>
      </c>
      <c r="S15" s="715">
        <f t="shared" si="0"/>
        <v>100</v>
      </c>
      <c r="T15" s="714" t="s">
        <v>17</v>
      </c>
      <c r="U15" s="715">
        <f t="shared" si="1"/>
        <v>100</v>
      </c>
      <c r="V15" s="714" t="s">
        <v>17</v>
      </c>
      <c r="W15" s="715">
        <f t="shared" si="2"/>
        <v>100</v>
      </c>
      <c r="X15" s="1538"/>
      <c r="Y15" s="3275" t="s">
        <v>2374</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46"/>
      <c r="Q16" s="1535"/>
      <c r="R16" s="714"/>
      <c r="S16" s="715"/>
      <c r="T16" s="714"/>
      <c r="U16" s="715"/>
      <c r="V16" s="714"/>
      <c r="W16" s="715"/>
      <c r="X16" s="1538"/>
      <c r="Y16" s="3276"/>
      <c r="Z16" s="1539"/>
      <c r="AA16" s="1536">
        <v>1</v>
      </c>
      <c r="AB16" s="1536">
        <v>1</v>
      </c>
      <c r="AC16" s="1536">
        <v>1</v>
      </c>
    </row>
    <row r="17" spans="1:29" ht="85.5">
      <c r="A17" s="387"/>
      <c r="B17" s="410" t="s">
        <v>1938</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6"/>
      <c r="Q17" s="1535" t="str">
        <f>B17</f>
        <v>交通便捷度</v>
      </c>
      <c r="R17" s="714" t="s">
        <v>17</v>
      </c>
      <c r="S17" s="715">
        <f>F17</f>
        <v>100</v>
      </c>
      <c r="T17" s="714" t="s">
        <v>17</v>
      </c>
      <c r="U17" s="715">
        <f>H17</f>
        <v>100</v>
      </c>
      <c r="V17" s="714" t="s">
        <v>17</v>
      </c>
      <c r="W17" s="715">
        <f>J17</f>
        <v>100</v>
      </c>
      <c r="X17" s="1538"/>
      <c r="Y17" s="3276"/>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46"/>
      <c r="Q18" s="1535"/>
      <c r="R18" s="714"/>
      <c r="S18" s="715"/>
      <c r="T18" s="714"/>
      <c r="U18" s="715"/>
      <c r="V18" s="714"/>
      <c r="W18" s="715"/>
      <c r="X18" s="1538"/>
      <c r="Y18" s="3276"/>
      <c r="Z18" s="1539"/>
      <c r="AA18" s="1536">
        <v>1</v>
      </c>
      <c r="AB18" s="1536">
        <v>1</v>
      </c>
      <c r="AC18" s="1536">
        <v>1</v>
      </c>
    </row>
    <row r="19" spans="1:29" ht="42.75">
      <c r="A19" s="387"/>
      <c r="B19" s="410" t="s">
        <v>2468</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6"/>
      <c r="Q19" s="1535" t="str">
        <f>B19</f>
        <v>公共配套设施</v>
      </c>
      <c r="R19" s="714" t="s">
        <v>17</v>
      </c>
      <c r="S19" s="715">
        <f>F19</f>
        <v>100</v>
      </c>
      <c r="T19" s="714" t="s">
        <v>17</v>
      </c>
      <c r="U19" s="715">
        <f>H19</f>
        <v>100</v>
      </c>
      <c r="V19" s="714" t="s">
        <v>17</v>
      </c>
      <c r="W19" s="715">
        <f>J19</f>
        <v>100</v>
      </c>
      <c r="X19" s="1538"/>
      <c r="Y19" s="3276"/>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46"/>
      <c r="Q20" s="1535"/>
      <c r="R20" s="714"/>
      <c r="S20" s="715"/>
      <c r="T20" s="714"/>
      <c r="U20" s="715"/>
      <c r="V20" s="714"/>
      <c r="W20" s="715"/>
      <c r="X20" s="1538"/>
      <c r="Y20" s="3276"/>
      <c r="Z20" s="1539"/>
      <c r="AA20" s="1536">
        <v>1</v>
      </c>
      <c r="AB20" s="1536">
        <v>1</v>
      </c>
      <c r="AC20" s="1536">
        <v>1</v>
      </c>
    </row>
    <row r="21" spans="1:29" ht="28.5">
      <c r="A21" s="387"/>
      <c r="B21" s="1293" t="s">
        <v>2469</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76"/>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46"/>
      <c r="Q22" s="1535"/>
      <c r="R22" s="714"/>
      <c r="S22" s="715"/>
      <c r="T22" s="714"/>
      <c r="U22" s="715"/>
      <c r="V22" s="714"/>
      <c r="W22" s="715"/>
      <c r="X22" s="1538"/>
      <c r="Y22" s="3276"/>
      <c r="Z22" s="1539"/>
      <c r="AA22" s="1536">
        <v>1</v>
      </c>
      <c r="AB22" s="1536">
        <v>1</v>
      </c>
      <c r="AC22" s="1536">
        <v>1</v>
      </c>
    </row>
    <row r="23" spans="1:29" ht="57">
      <c r="A23" s="387"/>
      <c r="B23" s="410" t="s">
        <v>1940</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6"/>
      <c r="Q23" s="1535" t="str">
        <f>B23</f>
        <v>自然及人文环境</v>
      </c>
      <c r="R23" s="714" t="s">
        <v>17</v>
      </c>
      <c r="S23" s="715">
        <f>F23</f>
        <v>100</v>
      </c>
      <c r="T23" s="714" t="s">
        <v>17</v>
      </c>
      <c r="U23" s="715">
        <f>H23</f>
        <v>100</v>
      </c>
      <c r="V23" s="714" t="s">
        <v>17</v>
      </c>
      <c r="W23" s="715">
        <f>J23</f>
        <v>100</v>
      </c>
      <c r="X23" s="1538"/>
      <c r="Y23" s="3276"/>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46"/>
      <c r="Q24" s="1535"/>
      <c r="R24" s="714"/>
      <c r="S24" s="715"/>
      <c r="T24" s="714"/>
      <c r="U24" s="715"/>
      <c r="V24" s="714"/>
      <c r="W24" s="715"/>
      <c r="X24" s="1538"/>
      <c r="Y24" s="3276"/>
      <c r="Z24" s="1539"/>
      <c r="AA24" s="1536">
        <v>1</v>
      </c>
      <c r="AB24" s="1536">
        <v>1</v>
      </c>
      <c r="AC24" s="1536">
        <v>1</v>
      </c>
    </row>
    <row r="25" spans="1:29" ht="15">
      <c r="A25" s="387"/>
      <c r="B25" s="381" t="s">
        <v>2470</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6"/>
      <c r="Q25" s="1535" t="str">
        <f t="shared" ref="Q25:Q46" si="11">B25</f>
        <v>临街状况</v>
      </c>
      <c r="R25" s="714" t="s">
        <v>17</v>
      </c>
      <c r="S25" s="715">
        <f>F25</f>
        <v>100</v>
      </c>
      <c r="T25" s="714" t="s">
        <v>17</v>
      </c>
      <c r="U25" s="715">
        <f>H25</f>
        <v>100</v>
      </c>
      <c r="V25" s="714" t="s">
        <v>17</v>
      </c>
      <c r="W25" s="715">
        <f>J25</f>
        <v>100</v>
      </c>
      <c r="X25" s="1538"/>
      <c r="Y25" s="3276"/>
      <c r="Z25" s="1539" t="str">
        <f>Q25</f>
        <v>临街状况</v>
      </c>
      <c r="AA25" s="1536">
        <f t="shared" si="3"/>
        <v>1</v>
      </c>
      <c r="AB25" s="1536">
        <f t="shared" si="4"/>
        <v>1</v>
      </c>
      <c r="AC25" s="1536">
        <f t="shared" si="5"/>
        <v>1</v>
      </c>
    </row>
    <row r="26" spans="1:29" ht="15">
      <c r="A26" s="387"/>
      <c r="B26" s="1295" t="s">
        <v>2471</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6"/>
      <c r="Q26" s="1535" t="str">
        <f t="shared" si="11"/>
        <v>平面位置/可视性</v>
      </c>
      <c r="R26" s="714" t="s">
        <v>17</v>
      </c>
      <c r="S26" s="715">
        <f>F26</f>
        <v>100</v>
      </c>
      <c r="T26" s="714" t="s">
        <v>17</v>
      </c>
      <c r="U26" s="715">
        <f>H26</f>
        <v>100</v>
      </c>
      <c r="V26" s="714" t="s">
        <v>17</v>
      </c>
      <c r="W26" s="715">
        <f>J26</f>
        <v>100</v>
      </c>
      <c r="X26" s="1538"/>
      <c r="Y26" s="3276"/>
      <c r="Z26" s="1539" t="str">
        <f>Q26</f>
        <v>平面位置/可视性</v>
      </c>
      <c r="AA26" s="1536">
        <f t="shared" si="3"/>
        <v>1</v>
      </c>
      <c r="AB26" s="1536">
        <f t="shared" si="4"/>
        <v>1</v>
      </c>
      <c r="AC26" s="1536">
        <f t="shared" si="5"/>
        <v>1</v>
      </c>
    </row>
    <row r="27" spans="1:29" s="113" customFormat="1" ht="15">
      <c r="A27" s="390"/>
      <c r="B27" s="410" t="s">
        <v>2472</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46"/>
      <c r="Q27" s="1526" t="str">
        <f t="shared" si="11"/>
        <v>人流量</v>
      </c>
      <c r="R27" s="710" t="s">
        <v>17</v>
      </c>
      <c r="S27" s="711">
        <f>F27</f>
        <v>100</v>
      </c>
      <c r="T27" s="710" t="s">
        <v>17</v>
      </c>
      <c r="U27" s="711">
        <f>H27</f>
        <v>100</v>
      </c>
      <c r="V27" s="710" t="s">
        <v>17</v>
      </c>
      <c r="W27" s="711">
        <f>J27</f>
        <v>100</v>
      </c>
      <c r="X27" s="712"/>
      <c r="Y27" s="3276"/>
      <c r="Z27" s="55" t="str">
        <f>Q27</f>
        <v>人流量</v>
      </c>
      <c r="AA27" s="1536">
        <f>D27/F27</f>
        <v>1</v>
      </c>
      <c r="AB27" s="1536">
        <f>D27/H27</f>
        <v>1</v>
      </c>
      <c r="AC27" s="1536">
        <f>D27/J27</f>
        <v>1</v>
      </c>
    </row>
    <row r="28" spans="1:29" ht="15">
      <c r="A28" s="387"/>
      <c r="B28" s="381" t="s">
        <v>2473</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76"/>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6"/>
      <c r="Q29" s="1535">
        <f t="shared" si="11"/>
        <v>111</v>
      </c>
      <c r="R29" s="714" t="s">
        <v>17</v>
      </c>
      <c r="S29" s="715">
        <f t="shared" si="12"/>
        <v>100</v>
      </c>
      <c r="T29" s="714" t="s">
        <v>17</v>
      </c>
      <c r="U29" s="715">
        <f t="shared" si="13"/>
        <v>100</v>
      </c>
      <c r="V29" s="714" t="s">
        <v>17</v>
      </c>
      <c r="W29" s="715">
        <f t="shared" si="14"/>
        <v>100</v>
      </c>
      <c r="X29" s="1538"/>
      <c r="Y29" s="3276"/>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6"/>
      <c r="Q30" s="1535">
        <f t="shared" si="11"/>
        <v>111</v>
      </c>
      <c r="R30" s="714" t="s">
        <v>17</v>
      </c>
      <c r="S30" s="715">
        <f t="shared" si="12"/>
        <v>100</v>
      </c>
      <c r="T30" s="714" t="s">
        <v>17</v>
      </c>
      <c r="U30" s="715">
        <f t="shared" si="13"/>
        <v>100</v>
      </c>
      <c r="V30" s="714" t="s">
        <v>17</v>
      </c>
      <c r="W30" s="715">
        <f t="shared" si="14"/>
        <v>100</v>
      </c>
      <c r="X30" s="1538"/>
      <c r="Y30" s="3276"/>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6"/>
      <c r="Q31" s="1535">
        <f t="shared" si="11"/>
        <v>111</v>
      </c>
      <c r="R31" s="714" t="s">
        <v>17</v>
      </c>
      <c r="S31" s="715">
        <f t="shared" si="12"/>
        <v>100</v>
      </c>
      <c r="T31" s="714" t="s">
        <v>17</v>
      </c>
      <c r="U31" s="715">
        <f t="shared" si="13"/>
        <v>100</v>
      </c>
      <c r="V31" s="714" t="s">
        <v>17</v>
      </c>
      <c r="W31" s="715">
        <f t="shared" si="14"/>
        <v>100</v>
      </c>
      <c r="X31" s="1538"/>
      <c r="Y31" s="3276"/>
      <c r="Z31" s="1539">
        <f t="shared" si="15"/>
        <v>111</v>
      </c>
      <c r="AA31" s="1536">
        <f t="shared" si="3"/>
        <v>1</v>
      </c>
      <c r="AB31" s="1536">
        <f t="shared" si="4"/>
        <v>1</v>
      </c>
      <c r="AC31" s="1536">
        <f t="shared" si="5"/>
        <v>1</v>
      </c>
    </row>
    <row r="32" spans="1:29" ht="15">
      <c r="A32" s="399" t="s">
        <v>2377</v>
      </c>
      <c r="B32" s="67" t="s">
        <v>2474</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41" t="s">
        <v>2379</v>
      </c>
      <c r="Q32" s="1535" t="str">
        <f t="shared" si="11"/>
        <v>商业类型</v>
      </c>
      <c r="R32" s="714" t="s">
        <v>17</v>
      </c>
      <c r="S32" s="715">
        <f t="shared" si="12"/>
        <v>100</v>
      </c>
      <c r="T32" s="714" t="s">
        <v>17</v>
      </c>
      <c r="U32" s="715">
        <f t="shared" si="13"/>
        <v>100</v>
      </c>
      <c r="V32" s="714" t="s">
        <v>17</v>
      </c>
      <c r="W32" s="715">
        <f t="shared" si="14"/>
        <v>100</v>
      </c>
      <c r="X32" s="1538"/>
      <c r="Y32" s="3278" t="s">
        <v>2379</v>
      </c>
      <c r="Z32" s="1539" t="str">
        <f t="shared" si="15"/>
        <v>商业类型</v>
      </c>
      <c r="AA32" s="1536">
        <f t="shared" si="3"/>
        <v>1</v>
      </c>
      <c r="AB32" s="1536">
        <f t="shared" si="4"/>
        <v>1</v>
      </c>
      <c r="AC32" s="1536">
        <f t="shared" si="5"/>
        <v>1</v>
      </c>
    </row>
    <row r="33" spans="1:29" s="430" customFormat="1" ht="15">
      <c r="A33" s="427"/>
      <c r="B33" s="381" t="s">
        <v>2380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42"/>
      <c r="Q33" s="716" t="str">
        <f t="shared" si="11"/>
        <v>项目建筑规模</v>
      </c>
      <c r="R33" s="717" t="s">
        <v>17</v>
      </c>
      <c r="S33" s="718" t="e">
        <f t="shared" si="12"/>
        <v>#N/A</v>
      </c>
      <c r="T33" s="717" t="s">
        <v>17</v>
      </c>
      <c r="U33" s="718" t="e">
        <f t="shared" si="13"/>
        <v>#N/A</v>
      </c>
      <c r="V33" s="717" t="s">
        <v>17</v>
      </c>
      <c r="W33" s="718" t="e">
        <f t="shared" si="14"/>
        <v>#N/A</v>
      </c>
      <c r="X33" s="719"/>
      <c r="Y33" s="3278"/>
      <c r="Z33" s="720" t="str">
        <f t="shared" si="15"/>
        <v>项目建筑规模</v>
      </c>
      <c r="AA33" s="1536" t="e">
        <f t="shared" si="3"/>
        <v>#N/A</v>
      </c>
      <c r="AB33" s="1536" t="e">
        <f t="shared" si="4"/>
        <v>#N/A</v>
      </c>
      <c r="AC33" s="1536" t="e">
        <f t="shared" si="5"/>
        <v>#N/A</v>
      </c>
    </row>
    <row r="34" spans="1:29" ht="15">
      <c r="A34" s="431"/>
      <c r="B34" s="381" t="s">
        <v>2381</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42"/>
      <c r="Q34" s="1535" t="str">
        <f t="shared" si="11"/>
        <v>建筑结构</v>
      </c>
      <c r="R34" s="714" t="s">
        <v>17</v>
      </c>
      <c r="S34" s="715">
        <f t="shared" si="12"/>
        <v>100</v>
      </c>
      <c r="T34" s="714" t="s">
        <v>17</v>
      </c>
      <c r="U34" s="715">
        <f t="shared" si="13"/>
        <v>100</v>
      </c>
      <c r="V34" s="714" t="s">
        <v>17</v>
      </c>
      <c r="W34" s="715">
        <f t="shared" si="14"/>
        <v>100</v>
      </c>
      <c r="X34" s="1538"/>
      <c r="Y34" s="3278"/>
      <c r="Z34" s="1539" t="str">
        <f t="shared" si="15"/>
        <v>建筑结构</v>
      </c>
      <c r="AA34" s="1536">
        <f t="shared" si="3"/>
        <v>1</v>
      </c>
      <c r="AB34" s="1536">
        <f t="shared" si="4"/>
        <v>1</v>
      </c>
      <c r="AC34" s="1536">
        <f t="shared" si="5"/>
        <v>1</v>
      </c>
    </row>
    <row r="35" spans="1:29" ht="15">
      <c r="A35" s="431"/>
      <c r="B35" s="381" t="s">
        <v>2475</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42"/>
      <c r="Q35" s="1535" t="str">
        <f t="shared" si="11"/>
        <v>公共部分装修</v>
      </c>
      <c r="R35" s="714" t="s">
        <v>17</v>
      </c>
      <c r="S35" s="715">
        <f t="shared" si="12"/>
        <v>100</v>
      </c>
      <c r="T35" s="714" t="s">
        <v>17</v>
      </c>
      <c r="U35" s="715">
        <f t="shared" si="13"/>
        <v>100</v>
      </c>
      <c r="V35" s="714" t="s">
        <v>17</v>
      </c>
      <c r="W35" s="715">
        <f t="shared" si="14"/>
        <v>100</v>
      </c>
      <c r="X35" s="1538"/>
      <c r="Y35" s="3278"/>
      <c r="Z35" s="1539" t="str">
        <f t="shared" si="15"/>
        <v>公共部分装修</v>
      </c>
      <c r="AA35" s="1536">
        <f t="shared" si="3"/>
        <v>1</v>
      </c>
      <c r="AB35" s="1536">
        <f t="shared" si="4"/>
        <v>1</v>
      </c>
      <c r="AC35" s="1536">
        <f t="shared" si="5"/>
        <v>1</v>
      </c>
    </row>
    <row r="36" spans="1:29" ht="15">
      <c r="A36" s="431"/>
      <c r="B36" s="381" t="s">
        <v>2476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42"/>
      <c r="Q36" s="1535" t="str">
        <f t="shared" si="11"/>
        <v>成新度</v>
      </c>
      <c r="R36" s="714" t="s">
        <v>17</v>
      </c>
      <c r="S36" s="715" t="e">
        <f t="shared" si="12"/>
        <v>#N/A</v>
      </c>
      <c r="T36" s="714" t="s">
        <v>17</v>
      </c>
      <c r="U36" s="715" t="e">
        <f t="shared" si="13"/>
        <v>#N/A</v>
      </c>
      <c r="V36" s="714" t="s">
        <v>17</v>
      </c>
      <c r="W36" s="715" t="e">
        <f t="shared" si="14"/>
        <v>#N/A</v>
      </c>
      <c r="X36" s="1538"/>
      <c r="Y36" s="3278"/>
      <c r="Z36" s="1539" t="str">
        <f t="shared" si="15"/>
        <v>成新度</v>
      </c>
      <c r="AA36" s="1536" t="e">
        <f t="shared" si="3"/>
        <v>#N/A</v>
      </c>
      <c r="AB36" s="1536" t="e">
        <f t="shared" si="4"/>
        <v>#N/A</v>
      </c>
      <c r="AC36" s="1536" t="e">
        <f t="shared" si="5"/>
        <v>#N/A</v>
      </c>
    </row>
    <row r="37" spans="1:29" s="113" customFormat="1" ht="15">
      <c r="A37" s="432"/>
      <c r="B37" s="381" t="s">
        <v>2477</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42"/>
      <c r="Q37" s="1526" t="str">
        <f t="shared" si="11"/>
        <v>市政基础设施</v>
      </c>
      <c r="R37" s="710" t="s">
        <v>17</v>
      </c>
      <c r="S37" s="711">
        <f t="shared" si="12"/>
        <v>100</v>
      </c>
      <c r="T37" s="710" t="s">
        <v>17</v>
      </c>
      <c r="U37" s="711">
        <f t="shared" si="13"/>
        <v>100</v>
      </c>
      <c r="V37" s="710" t="s">
        <v>17</v>
      </c>
      <c r="W37" s="711">
        <f t="shared" si="14"/>
        <v>100</v>
      </c>
      <c r="X37" s="712"/>
      <c r="Y37" s="3278"/>
      <c r="Z37" s="55" t="str">
        <f t="shared" si="15"/>
        <v>市政基础设施</v>
      </c>
      <c r="AA37" s="713">
        <f t="shared" si="3"/>
        <v>1</v>
      </c>
      <c r="AB37" s="713">
        <f t="shared" si="4"/>
        <v>1</v>
      </c>
      <c r="AC37" s="713">
        <f t="shared" si="5"/>
        <v>1</v>
      </c>
    </row>
    <row r="38" spans="1:29" ht="15">
      <c r="A38" s="431"/>
      <c r="B38" s="381" t="s">
        <v>2478</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42" t="s">
        <v>2379</v>
      </c>
      <c r="Q38" s="1535" t="str">
        <f t="shared" si="11"/>
        <v>业态</v>
      </c>
      <c r="R38" s="714" t="s">
        <v>17</v>
      </c>
      <c r="S38" s="715">
        <f t="shared" si="12"/>
        <v>100</v>
      </c>
      <c r="T38" s="714" t="s">
        <v>17</v>
      </c>
      <c r="U38" s="715">
        <f t="shared" si="13"/>
        <v>100</v>
      </c>
      <c r="V38" s="714" t="s">
        <v>17</v>
      </c>
      <c r="W38" s="715">
        <f t="shared" si="14"/>
        <v>100</v>
      </c>
      <c r="X38" s="1538"/>
      <c r="Y38" s="3278" t="s">
        <v>2379</v>
      </c>
      <c r="Z38" s="1539" t="str">
        <f t="shared" si="15"/>
        <v>业态</v>
      </c>
      <c r="AA38" s="1536">
        <f t="shared" si="3"/>
        <v>1</v>
      </c>
      <c r="AB38" s="1536">
        <f t="shared" si="4"/>
        <v>1</v>
      </c>
      <c r="AC38" s="1536">
        <f t="shared" si="5"/>
        <v>1</v>
      </c>
    </row>
    <row r="39" spans="1:29" ht="15">
      <c r="A39" s="431"/>
      <c r="B39" s="381" t="s">
        <v>2479</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42"/>
      <c r="Q39" s="1535" t="str">
        <f t="shared" si="11"/>
        <v>层高</v>
      </c>
      <c r="R39" s="714" t="s">
        <v>17</v>
      </c>
      <c r="S39" s="715">
        <f t="shared" si="12"/>
        <v>100</v>
      </c>
      <c r="T39" s="714" t="s">
        <v>17</v>
      </c>
      <c r="U39" s="715">
        <f t="shared" si="13"/>
        <v>100</v>
      </c>
      <c r="V39" s="714" t="s">
        <v>17</v>
      </c>
      <c r="W39" s="715">
        <f t="shared" si="14"/>
        <v>100</v>
      </c>
      <c r="X39" s="1538"/>
      <c r="Y39" s="3278"/>
      <c r="Z39" s="1539" t="str">
        <f t="shared" si="15"/>
        <v>层高</v>
      </c>
      <c r="AA39" s="1536">
        <f t="shared" si="3"/>
        <v>1</v>
      </c>
      <c r="AB39" s="1536">
        <f t="shared" si="4"/>
        <v>1</v>
      </c>
      <c r="AC39" s="1536">
        <f t="shared" si="5"/>
        <v>1</v>
      </c>
    </row>
    <row r="40" spans="1:29" ht="15">
      <c r="A40" s="431"/>
      <c r="B40" s="381" t="s">
        <v>2480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42"/>
      <c r="Q40" s="1535" t="str">
        <f t="shared" si="11"/>
        <v>单套建筑面积</v>
      </c>
      <c r="R40" s="714" t="s">
        <v>17</v>
      </c>
      <c r="S40" s="715">
        <f t="shared" si="12"/>
        <v>100</v>
      </c>
      <c r="T40" s="714" t="s">
        <v>17</v>
      </c>
      <c r="U40" s="715">
        <f t="shared" si="13"/>
        <v>100</v>
      </c>
      <c r="V40" s="714" t="s">
        <v>17</v>
      </c>
      <c r="W40" s="715">
        <f t="shared" si="14"/>
        <v>100</v>
      </c>
      <c r="X40" s="1538"/>
      <c r="Y40" s="3278"/>
      <c r="Z40" s="1539" t="str">
        <f t="shared" si="15"/>
        <v>单套建筑面积</v>
      </c>
      <c r="AA40" s="1536">
        <f t="shared" si="3"/>
        <v>1</v>
      </c>
      <c r="AB40" s="1536">
        <f t="shared" si="4"/>
        <v>1</v>
      </c>
      <c r="AC40" s="1536">
        <f t="shared" si="5"/>
        <v>1</v>
      </c>
    </row>
    <row r="41" spans="1:29" s="430" customFormat="1" ht="15">
      <c r="A41" s="427"/>
      <c r="B41" s="1537" t="s">
        <v>2481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42"/>
      <c r="Q41" s="716" t="str">
        <f t="shared" si="11"/>
        <v>进深比</v>
      </c>
      <c r="R41" s="717" t="s">
        <v>17</v>
      </c>
      <c r="S41" s="718">
        <f t="shared" si="12"/>
        <v>100</v>
      </c>
      <c r="T41" s="717" t="s">
        <v>17</v>
      </c>
      <c r="U41" s="718">
        <f t="shared" si="13"/>
        <v>100</v>
      </c>
      <c r="V41" s="717" t="s">
        <v>17</v>
      </c>
      <c r="W41" s="718">
        <f t="shared" si="14"/>
        <v>100</v>
      </c>
      <c r="X41" s="719"/>
      <c r="Y41" s="3278"/>
      <c r="Z41" s="720" t="str">
        <f t="shared" si="15"/>
        <v>进深比</v>
      </c>
      <c r="AA41" s="1536">
        <f t="shared" si="3"/>
        <v>1</v>
      </c>
      <c r="AB41" s="1536">
        <f t="shared" si="4"/>
        <v>1</v>
      </c>
      <c r="AC41" s="1536">
        <f t="shared" si="5"/>
        <v>1</v>
      </c>
    </row>
    <row r="42" spans="1:29" ht="15">
      <c r="A42" s="431"/>
      <c r="B42" s="381" t="s">
        <v>2482</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42"/>
      <c r="Q42" s="1535" t="str">
        <f t="shared" si="11"/>
        <v>内部装修</v>
      </c>
      <c r="R42" s="714" t="s">
        <v>17</v>
      </c>
      <c r="S42" s="715">
        <f t="shared" si="12"/>
        <v>100</v>
      </c>
      <c r="T42" s="714" t="s">
        <v>17</v>
      </c>
      <c r="U42" s="715">
        <f t="shared" si="13"/>
        <v>100</v>
      </c>
      <c r="V42" s="714" t="s">
        <v>17</v>
      </c>
      <c r="W42" s="715">
        <f t="shared" si="14"/>
        <v>100</v>
      </c>
      <c r="X42" s="1538"/>
      <c r="Y42" s="3278"/>
      <c r="Z42" s="1539" t="str">
        <f t="shared" si="15"/>
        <v>内部装修</v>
      </c>
      <c r="AA42" s="1536">
        <f t="shared" si="3"/>
        <v>1</v>
      </c>
      <c r="AB42" s="1536">
        <f t="shared" si="4"/>
        <v>1</v>
      </c>
      <c r="AC42" s="1536">
        <f t="shared" si="5"/>
        <v>1</v>
      </c>
    </row>
    <row r="43" spans="1:29" ht="15">
      <c r="A43" s="431"/>
      <c r="B43" s="381" t="s">
        <v>2390</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42"/>
      <c r="Q43" s="1535" t="str">
        <f t="shared" si="11"/>
        <v>内部装修维护情况</v>
      </c>
      <c r="R43" s="714" t="s">
        <v>17</v>
      </c>
      <c r="S43" s="715">
        <f t="shared" si="12"/>
        <v>100</v>
      </c>
      <c r="T43" s="714" t="s">
        <v>17</v>
      </c>
      <c r="U43" s="715">
        <f t="shared" si="13"/>
        <v>100</v>
      </c>
      <c r="V43" s="714" t="s">
        <v>17</v>
      </c>
      <c r="W43" s="715">
        <f t="shared" si="14"/>
        <v>100</v>
      </c>
      <c r="X43" s="1538"/>
      <c r="Y43" s="3278"/>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42"/>
      <c r="Q44" s="1526">
        <f t="shared" si="11"/>
        <v>111</v>
      </c>
      <c r="R44" s="710" t="s">
        <v>17</v>
      </c>
      <c r="S44" s="711">
        <f t="shared" si="12"/>
        <v>100</v>
      </c>
      <c r="T44" s="710" t="s">
        <v>17</v>
      </c>
      <c r="U44" s="711">
        <f t="shared" si="13"/>
        <v>100</v>
      </c>
      <c r="V44" s="710" t="s">
        <v>17</v>
      </c>
      <c r="W44" s="711">
        <f t="shared" si="14"/>
        <v>100</v>
      </c>
      <c r="X44" s="712"/>
      <c r="Y44" s="327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42"/>
      <c r="Q45" s="1535">
        <f t="shared" si="11"/>
        <v>111</v>
      </c>
      <c r="R45" s="714" t="s">
        <v>17</v>
      </c>
      <c r="S45" s="715">
        <f t="shared" si="12"/>
        <v>100</v>
      </c>
      <c r="T45" s="714" t="s">
        <v>17</v>
      </c>
      <c r="U45" s="715">
        <f t="shared" si="13"/>
        <v>100</v>
      </c>
      <c r="V45" s="714" t="s">
        <v>17</v>
      </c>
      <c r="W45" s="715">
        <f t="shared" si="14"/>
        <v>100</v>
      </c>
      <c r="X45" s="1538"/>
      <c r="Y45" s="3278"/>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43"/>
      <c r="Q46" s="1535">
        <f t="shared" si="11"/>
        <v>111</v>
      </c>
      <c r="R46" s="714" t="s">
        <v>17</v>
      </c>
      <c r="S46" s="715">
        <f t="shared" si="12"/>
        <v>100</v>
      </c>
      <c r="T46" s="714" t="s">
        <v>17</v>
      </c>
      <c r="U46" s="715">
        <f t="shared" si="13"/>
        <v>100</v>
      </c>
      <c r="V46" s="714" t="s">
        <v>17</v>
      </c>
      <c r="W46" s="715">
        <f t="shared" si="14"/>
        <v>100</v>
      </c>
      <c r="X46" s="1538"/>
      <c r="Y46" s="3344"/>
      <c r="Z46" s="1539">
        <f t="shared" si="15"/>
        <v>111</v>
      </c>
      <c r="AA46" s="1536">
        <f t="shared" si="3"/>
        <v>1</v>
      </c>
      <c r="AB46" s="1536">
        <f t="shared" si="4"/>
        <v>1</v>
      </c>
      <c r="AC46" s="1536">
        <f t="shared" si="5"/>
        <v>1</v>
      </c>
    </row>
    <row r="47" spans="1:29" ht="15">
      <c r="A47" s="438" t="s">
        <v>2391</v>
      </c>
      <c r="B47" s="439"/>
      <c r="C47" s="1316" t="s">
        <v>1</v>
      </c>
      <c r="D47" s="1317"/>
      <c r="E47" s="1318"/>
      <c r="F47" s="1319"/>
      <c r="G47" s="1320"/>
      <c r="H47" s="1321"/>
      <c r="I47" s="1318"/>
      <c r="J47" s="1321"/>
      <c r="K47" s="723"/>
      <c r="L47" s="2951"/>
      <c r="M47" s="2952"/>
      <c r="N47" s="2943"/>
      <c r="O47" s="2952"/>
      <c r="P47" s="3273" t="str">
        <f>A47</f>
        <v>成交单价（元/平方米）</v>
      </c>
      <c r="Q47" s="3273"/>
      <c r="R47" s="3279">
        <f>E47</f>
        <v>0</v>
      </c>
      <c r="S47" s="3279"/>
      <c r="T47" s="3279">
        <f>G47</f>
        <v>0</v>
      </c>
      <c r="U47" s="3279"/>
      <c r="V47" s="3279">
        <f>I47</f>
        <v>0</v>
      </c>
      <c r="W47" s="3279"/>
      <c r="X47" s="699"/>
      <c r="Y47" s="721"/>
      <c r="Z47" s="699"/>
      <c r="AA47" s="699"/>
      <c r="AB47" s="699"/>
      <c r="AC47" s="699"/>
    </row>
    <row r="48" spans="1:29" ht="15.75" thickBot="1">
      <c r="A48" s="445" t="s">
        <v>2483</v>
      </c>
      <c r="B48" s="446"/>
      <c r="C48" s="1322" t="e">
        <f>R49</f>
        <v>#DIV/0!</v>
      </c>
      <c r="D48" s="2536" t="s">
        <v>2874</v>
      </c>
      <c r="E48" s="1323" t="e">
        <f>R48</f>
        <v>#DIV/0!</v>
      </c>
      <c r="F48" s="2537"/>
      <c r="G48" s="1322" t="e">
        <f>T48</f>
        <v>#DIV/0!</v>
      </c>
      <c r="H48" s="2537"/>
      <c r="I48" s="1323" t="e">
        <f>V48</f>
        <v>#DIV/0!</v>
      </c>
      <c r="J48" s="2537"/>
      <c r="K48" s="2539">
        <f>F48+H48+J48</f>
        <v>0</v>
      </c>
      <c r="L48" s="2951"/>
      <c r="M48" s="2952"/>
      <c r="N48" s="2943"/>
      <c r="O48" s="2952"/>
      <c r="P48" s="3273" t="str">
        <f>A48</f>
        <v>比较价值（元/平方米）</v>
      </c>
      <c r="Q48" s="3273"/>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75" thickBot="1">
      <c r="A49" s="449" t="s">
        <v>2484</v>
      </c>
      <c r="B49" s="450"/>
      <c r="C49" s="1325" t="e">
        <f>R49</f>
        <v>#DIV/0!</v>
      </c>
      <c r="D49" s="1325"/>
      <c r="E49" s="1325"/>
      <c r="F49" s="1325"/>
      <c r="G49" s="1325"/>
      <c r="H49" s="1325"/>
      <c r="I49" s="1325"/>
      <c r="J49" s="1325"/>
      <c r="K49" s="724"/>
      <c r="L49" s="2951"/>
      <c r="M49" s="2952"/>
      <c r="N49" s="2943"/>
      <c r="O49" s="2952"/>
      <c r="P49" s="3267" t="str">
        <f>A49</f>
        <v>估价对象XX用房的比较价值（楼面单价，元/平方米）</v>
      </c>
      <c r="Q49" s="326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2486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2487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2488</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2362</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2399</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2364</v>
      </c>
      <c r="B61" s="467"/>
      <c r="C61" s="479" t="s">
        <v>2466</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2402</v>
      </c>
      <c r="B63" s="485" t="s">
        <v>2368</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2371</v>
      </c>
      <c r="C65" s="496" t="s">
        <v>2403</v>
      </c>
      <c r="D65" s="496" t="s">
        <v>2404</v>
      </c>
      <c r="E65" s="496" t="s">
        <v>2405</v>
      </c>
      <c r="F65" s="496" t="s">
        <v>2406</v>
      </c>
      <c r="G65" s="496" t="s">
        <v>2407</v>
      </c>
      <c r="H65" s="496" t="s">
        <v>2408</v>
      </c>
      <c r="I65" s="496" t="s">
        <v>2409</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2373</v>
      </c>
      <c r="B76" s="485" t="s">
        <v>2410</v>
      </c>
      <c r="C76" s="530" t="s">
        <v>2411</v>
      </c>
      <c r="D76" s="530" t="s">
        <v>2412</v>
      </c>
      <c r="E76" s="530" t="s">
        <v>2413</v>
      </c>
      <c r="F76" s="530" t="s">
        <v>2414</v>
      </c>
      <c r="G76" s="530" t="s">
        <v>2415</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2416</v>
      </c>
      <c r="C78" s="535" t="s">
        <v>2411</v>
      </c>
      <c r="D78" s="535" t="s">
        <v>2412</v>
      </c>
      <c r="E78" s="535" t="s">
        <v>2413</v>
      </c>
      <c r="F78" s="535" t="s">
        <v>2414</v>
      </c>
      <c r="G78" s="535" t="s">
        <v>2415</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2417</v>
      </c>
      <c r="C80" s="535" t="s">
        <v>2411</v>
      </c>
      <c r="D80" s="535" t="s">
        <v>2412</v>
      </c>
      <c r="E80" s="535" t="s">
        <v>2413</v>
      </c>
      <c r="F80" s="535" t="s">
        <v>2414</v>
      </c>
      <c r="G80" s="535" t="s">
        <v>2415</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2469</v>
      </c>
      <c r="C82" s="616" t="s">
        <v>2489</v>
      </c>
      <c r="D82" s="616" t="s">
        <v>2490</v>
      </c>
      <c r="E82" s="616" t="s">
        <v>2491</v>
      </c>
      <c r="F82" s="616" t="s">
        <v>2492</v>
      </c>
      <c r="G82" s="616" t="s">
        <v>2493</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2423</v>
      </c>
      <c r="C84" s="535" t="s">
        <v>2411</v>
      </c>
      <c r="D84" s="535" t="s">
        <v>2412</v>
      </c>
      <c r="E84" s="535" t="s">
        <v>2413</v>
      </c>
      <c r="F84" s="535" t="s">
        <v>2414</v>
      </c>
      <c r="G84" s="535" t="s">
        <v>2415</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2494</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2377</v>
      </c>
      <c r="B100" s="485" t="s">
        <v>2495</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2427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2428</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2430</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1869</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2432</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2496</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2497</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2498</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2499</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2434</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2435</v>
      </c>
      <c r="C124" s="535" t="s">
        <v>2411</v>
      </c>
      <c r="D124" s="535" t="s">
        <v>2412</v>
      </c>
      <c r="E124" s="535" t="s">
        <v>2413</v>
      </c>
      <c r="F124" s="535" t="s">
        <v>2414</v>
      </c>
      <c r="G124" s="535" t="s">
        <v>2415</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141" t="s">
        <v>2500</v>
      </c>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IF(C2="——",ROUND(C50*D3/10000,0),ROUND(C50*D3/10000,0)-D2)</f>
        <v>#DIV/0!</v>
      </c>
      <c r="C2" s="2065"/>
      <c r="D2" s="1275" t="e">
        <f ca="1">SUMIF(INDIRECT("'"&amp;F2&amp;"'"&amp;"!A:A"),"承租人权益价值",INDIRECT("'"&amp;F2&amp;"'"&amp;"!c:c"))</f>
        <v>#REF!</v>
      </c>
      <c r="E2" s="2066" t="s">
        <v>2142</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 ca="1">IF(C2="——",C50,ROUND(B2*10000/D3,0))</f>
        <v>#DIV/0!</v>
      </c>
      <c r="C3" s="360" t="s">
        <v>2458</v>
      </c>
      <c r="D3" s="359">
        <f>IF(D1="",'数据-汇总表'!E3,SUMIF('数据-汇总表'!$C19:$C33,D1,'数据-汇总表'!$E19:$E33))</f>
        <v>38981.680000000008</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2459</v>
      </c>
      <c r="B4" s="362"/>
      <c r="C4" s="3270" t="s">
        <v>2460</v>
      </c>
      <c r="D4" s="3283"/>
      <c r="E4" s="3284" t="s">
        <v>2461</v>
      </c>
      <c r="F4" s="3285"/>
      <c r="G4" s="3270" t="s">
        <v>2462</v>
      </c>
      <c r="H4" s="3283"/>
      <c r="I4" s="3270" t="s">
        <v>2463</v>
      </c>
      <c r="J4" s="3283"/>
      <c r="K4" s="567" t="s">
        <v>2464</v>
      </c>
      <c r="L4" s="2942"/>
      <c r="M4" s="2943"/>
      <c r="N4" s="2943"/>
      <c r="O4" s="2943"/>
      <c r="P4" s="3353" t="s">
        <v>2465</v>
      </c>
      <c r="Q4" s="3354"/>
      <c r="R4" s="3357" t="s">
        <v>2461</v>
      </c>
      <c r="S4" s="3358"/>
      <c r="T4" s="3357" t="s">
        <v>2462</v>
      </c>
      <c r="U4" s="3358"/>
      <c r="V4" s="3359" t="s">
        <v>2463</v>
      </c>
      <c r="W4" s="3359"/>
      <c r="X4" s="2142"/>
      <c r="Y4" s="3357" t="s">
        <v>2465</v>
      </c>
      <c r="Z4" s="3358"/>
      <c r="AA4" s="3361" t="s">
        <v>2461</v>
      </c>
      <c r="AB4" s="3361" t="s">
        <v>2462</v>
      </c>
      <c r="AC4" s="3350" t="s">
        <v>2463</v>
      </c>
    </row>
    <row r="5" spans="1:29" ht="15">
      <c r="A5" s="364"/>
      <c r="B5" s="365"/>
      <c r="C5" s="3300" t="s">
        <v>2356</v>
      </c>
      <c r="D5" s="3301"/>
      <c r="E5" s="3307" t="s">
        <v>2357</v>
      </c>
      <c r="F5" s="3308"/>
      <c r="G5" s="3300" t="s">
        <v>2358</v>
      </c>
      <c r="H5" s="3301"/>
      <c r="I5" s="3300" t="s">
        <v>2359</v>
      </c>
      <c r="J5" s="3301"/>
      <c r="K5" s="567"/>
      <c r="L5" s="2942"/>
      <c r="M5" s="2943"/>
      <c r="N5" s="2943"/>
      <c r="O5" s="2943"/>
      <c r="P5" s="3355"/>
      <c r="Q5" s="3289"/>
      <c r="R5" s="3294"/>
      <c r="S5" s="3295"/>
      <c r="T5" s="3294"/>
      <c r="U5" s="3295"/>
      <c r="V5" s="3279"/>
      <c r="W5" s="3279"/>
      <c r="X5" s="1538"/>
      <c r="Y5" s="3294"/>
      <c r="Z5" s="3295"/>
      <c r="AA5" s="3281"/>
      <c r="AB5" s="3281"/>
      <c r="AC5" s="3351"/>
    </row>
    <row r="6" spans="1:29" ht="15.75" thickBot="1">
      <c r="A6" s="366"/>
      <c r="B6" s="367"/>
      <c r="C6" s="3298" t="s">
        <v>2360</v>
      </c>
      <c r="D6" s="3299"/>
      <c r="E6" s="3305" t="s">
        <v>2360</v>
      </c>
      <c r="F6" s="3306"/>
      <c r="G6" s="3298" t="s">
        <v>2360</v>
      </c>
      <c r="H6" s="3299"/>
      <c r="I6" s="3298" t="s">
        <v>2360</v>
      </c>
      <c r="J6" s="3299"/>
      <c r="K6" s="567" t="s">
        <v>2361</v>
      </c>
      <c r="L6" s="2942"/>
      <c r="M6" s="2943"/>
      <c r="N6" s="2943"/>
      <c r="O6" s="2943"/>
      <c r="P6" s="3356"/>
      <c r="Q6" s="3291"/>
      <c r="R6" s="3294"/>
      <c r="S6" s="3295"/>
      <c r="T6" s="3296"/>
      <c r="U6" s="3297"/>
      <c r="V6" s="3279"/>
      <c r="W6" s="3279"/>
      <c r="X6" s="1538"/>
      <c r="Y6" s="3296"/>
      <c r="Z6" s="3297"/>
      <c r="AA6" s="3282"/>
      <c r="AB6" s="3282"/>
      <c r="AC6" s="3352"/>
    </row>
    <row r="7" spans="1:29" s="113" customFormat="1" ht="15.75" thickBot="1">
      <c r="A7" s="368" t="s">
        <v>2362</v>
      </c>
      <c r="B7" s="369"/>
      <c r="C7" s="370">
        <f>'数据-取费表'!B2</f>
        <v>44322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0" t="s">
        <v>2363</v>
      </c>
      <c r="Q7" s="3304"/>
      <c r="R7" s="710" t="s">
        <v>17</v>
      </c>
      <c r="S7" s="711">
        <f t="shared" ref="S7:S15" si="0">F7</f>
        <v>0</v>
      </c>
      <c r="T7" s="710" t="s">
        <v>17</v>
      </c>
      <c r="U7" s="711">
        <f t="shared" ref="U7:U15" si="1">H7</f>
        <v>0</v>
      </c>
      <c r="V7" s="710" t="s">
        <v>17</v>
      </c>
      <c r="W7" s="711">
        <f t="shared" ref="W7:W15" si="2">J7</f>
        <v>0</v>
      </c>
      <c r="X7" s="712"/>
      <c r="Y7" s="3302" t="s">
        <v>2363</v>
      </c>
      <c r="Z7" s="3303"/>
      <c r="AA7" s="713" t="e">
        <f>D7/F7</f>
        <v>#DIV/0!</v>
      </c>
      <c r="AB7" s="713" t="e">
        <f>D7/H7</f>
        <v>#DIV/0!</v>
      </c>
      <c r="AC7" s="2143" t="e">
        <f>D7/J7</f>
        <v>#DIV/0!</v>
      </c>
    </row>
    <row r="8" spans="1:29" s="113" customFormat="1" ht="15.75" thickBot="1">
      <c r="A8" s="368" t="s">
        <v>2364</v>
      </c>
      <c r="B8" s="369"/>
      <c r="C8" s="374" t="s">
        <v>2466</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0" t="s">
        <v>2366</v>
      </c>
      <c r="Q8" s="3303"/>
      <c r="R8" s="710" t="s">
        <v>17</v>
      </c>
      <c r="S8" s="711">
        <f t="shared" si="0"/>
        <v>0</v>
      </c>
      <c r="T8" s="710" t="s">
        <v>17</v>
      </c>
      <c r="U8" s="711">
        <f t="shared" si="1"/>
        <v>0</v>
      </c>
      <c r="V8" s="710" t="s">
        <v>17</v>
      </c>
      <c r="W8" s="711">
        <f t="shared" si="2"/>
        <v>0</v>
      </c>
      <c r="X8" s="712"/>
      <c r="Y8" s="3302" t="s">
        <v>2366</v>
      </c>
      <c r="Z8" s="3303"/>
      <c r="AA8" s="713" t="e">
        <f t="shared" ref="AA8:AA47" si="3">D8/F8</f>
        <v>#DIV/0!</v>
      </c>
      <c r="AB8" s="713" t="e">
        <f t="shared" ref="AB8:AB47" si="4">D8/H8</f>
        <v>#DIV/0!</v>
      </c>
      <c r="AC8" s="2143" t="e">
        <f t="shared" ref="AC8:AC47" si="5">D8/J8</f>
        <v>#DIV/0!</v>
      </c>
    </row>
    <row r="9" spans="1:29" s="113" customFormat="1">
      <c r="A9" s="375" t="s">
        <v>2367</v>
      </c>
      <c r="B9" s="67" t="s">
        <v>2368</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72"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2143">
        <f t="shared" si="5"/>
        <v>1</v>
      </c>
    </row>
    <row r="10" spans="1:29" s="386" customFormat="1" ht="27">
      <c r="A10" s="380"/>
      <c r="B10" s="381" t="s">
        <v>2371</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72"/>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2143">
        <f t="shared" si="5"/>
        <v>1</v>
      </c>
    </row>
    <row r="11" spans="1:29" ht="15">
      <c r="A11" s="387"/>
      <c r="B11" s="381" t="s">
        <v>2372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72"/>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72"/>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72"/>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72"/>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2143">
        <f t="shared" si="5"/>
        <v>1</v>
      </c>
    </row>
    <row r="15" spans="1:29" ht="71.25">
      <c r="A15" s="399" t="s">
        <v>2373</v>
      </c>
      <c r="B15" s="585" t="s">
        <v>2501</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45" t="s">
        <v>2374</v>
      </c>
      <c r="Q15" s="1535" t="str">
        <f t="shared" si="6"/>
        <v>办公集聚程度</v>
      </c>
      <c r="R15" s="714" t="s">
        <v>17</v>
      </c>
      <c r="S15" s="715">
        <f t="shared" si="0"/>
        <v>100</v>
      </c>
      <c r="T15" s="714" t="s">
        <v>17</v>
      </c>
      <c r="U15" s="715">
        <f t="shared" si="1"/>
        <v>100</v>
      </c>
      <c r="V15" s="714" t="s">
        <v>17</v>
      </c>
      <c r="W15" s="715">
        <f t="shared" si="2"/>
        <v>100</v>
      </c>
      <c r="X15" s="1538"/>
      <c r="Y15" s="3275" t="s">
        <v>2374</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46"/>
      <c r="Q16" s="1535"/>
      <c r="R16" s="714"/>
      <c r="S16" s="715"/>
      <c r="T16" s="714"/>
      <c r="U16" s="715"/>
      <c r="V16" s="714"/>
      <c r="W16" s="715"/>
      <c r="X16" s="1538"/>
      <c r="Y16" s="3276"/>
      <c r="Z16" s="1539"/>
      <c r="AA16" s="1536">
        <v>1</v>
      </c>
      <c r="AB16" s="1536">
        <v>1</v>
      </c>
      <c r="AC16" s="2146">
        <v>1</v>
      </c>
    </row>
    <row r="17" spans="1:29" ht="71.25">
      <c r="A17" s="387"/>
      <c r="B17" s="587" t="s">
        <v>1938</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6"/>
      <c r="Q17" s="1535" t="str">
        <f>B17</f>
        <v>交通便捷度</v>
      </c>
      <c r="R17" s="714" t="s">
        <v>17</v>
      </c>
      <c r="S17" s="715">
        <f>F17</f>
        <v>100</v>
      </c>
      <c r="T17" s="714" t="s">
        <v>17</v>
      </c>
      <c r="U17" s="715">
        <f>H17</f>
        <v>100</v>
      </c>
      <c r="V17" s="714" t="s">
        <v>17</v>
      </c>
      <c r="W17" s="715">
        <f>J17</f>
        <v>100</v>
      </c>
      <c r="X17" s="1538"/>
      <c r="Y17" s="3276"/>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46"/>
      <c r="Q18" s="1535"/>
      <c r="R18" s="714"/>
      <c r="S18" s="715"/>
      <c r="T18" s="714"/>
      <c r="U18" s="715"/>
      <c r="V18" s="714"/>
      <c r="W18" s="715"/>
      <c r="X18" s="1538"/>
      <c r="Y18" s="3276"/>
      <c r="Z18" s="1539"/>
      <c r="AA18" s="1536">
        <v>1</v>
      </c>
      <c r="AB18" s="1536">
        <v>1</v>
      </c>
      <c r="AC18" s="2146">
        <v>1</v>
      </c>
    </row>
    <row r="19" spans="1:29" ht="42.75">
      <c r="A19" s="387"/>
      <c r="B19" s="587" t="s">
        <v>2502</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6"/>
      <c r="Q19" s="1535" t="str">
        <f>B19</f>
        <v>公共配套设施</v>
      </c>
      <c r="R19" s="714" t="s">
        <v>17</v>
      </c>
      <c r="S19" s="715">
        <f>F19</f>
        <v>100</v>
      </c>
      <c r="T19" s="714" t="s">
        <v>17</v>
      </c>
      <c r="U19" s="715">
        <f>H19</f>
        <v>100</v>
      </c>
      <c r="V19" s="714" t="s">
        <v>17</v>
      </c>
      <c r="W19" s="715">
        <f>J19</f>
        <v>100</v>
      </c>
      <c r="X19" s="1538"/>
      <c r="Y19" s="3276"/>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46"/>
      <c r="Q20" s="1535"/>
      <c r="R20" s="714"/>
      <c r="S20" s="715"/>
      <c r="T20" s="714"/>
      <c r="U20" s="715"/>
      <c r="V20" s="714"/>
      <c r="W20" s="715"/>
      <c r="X20" s="1538"/>
      <c r="Y20" s="3276"/>
      <c r="Z20" s="1539"/>
      <c r="AA20" s="1536">
        <v>1</v>
      </c>
      <c r="AB20" s="1536">
        <v>1</v>
      </c>
      <c r="AC20" s="2146">
        <v>1</v>
      </c>
    </row>
    <row r="21" spans="1:29" ht="28.5">
      <c r="A21" s="387"/>
      <c r="B21" s="589" t="s">
        <v>2503</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6"/>
      <c r="Q21" s="1535" t="str">
        <f>B21</f>
        <v>基础设施水平</v>
      </c>
      <c r="R21" s="714" t="s">
        <v>17</v>
      </c>
      <c r="S21" s="715">
        <f>F21</f>
        <v>100</v>
      </c>
      <c r="T21" s="714" t="s">
        <v>17</v>
      </c>
      <c r="U21" s="715">
        <f>H21</f>
        <v>100</v>
      </c>
      <c r="V21" s="714" t="s">
        <v>17</v>
      </c>
      <c r="W21" s="715">
        <f>J21</f>
        <v>100</v>
      </c>
      <c r="X21" s="1538"/>
      <c r="Y21" s="3276"/>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46"/>
      <c r="Q22" s="1535"/>
      <c r="R22" s="714"/>
      <c r="S22" s="715"/>
      <c r="T22" s="714"/>
      <c r="U22" s="715"/>
      <c r="V22" s="714"/>
      <c r="W22" s="715"/>
      <c r="X22" s="1538"/>
      <c r="Y22" s="3276"/>
      <c r="Z22" s="1539"/>
      <c r="AA22" s="1536">
        <v>1</v>
      </c>
      <c r="AB22" s="1536">
        <v>1</v>
      </c>
      <c r="AC22" s="2146">
        <v>1</v>
      </c>
    </row>
    <row r="23" spans="1:29" ht="42.75">
      <c r="A23" s="387"/>
      <c r="B23" s="587" t="s">
        <v>2504</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6"/>
      <c r="Q23" s="1535" t="str">
        <f>B23</f>
        <v>环境质量</v>
      </c>
      <c r="R23" s="714" t="s">
        <v>17</v>
      </c>
      <c r="S23" s="715">
        <f>F23</f>
        <v>100</v>
      </c>
      <c r="T23" s="714" t="s">
        <v>17</v>
      </c>
      <c r="U23" s="715">
        <f>H23</f>
        <v>100</v>
      </c>
      <c r="V23" s="714" t="s">
        <v>17</v>
      </c>
      <c r="W23" s="715">
        <f>J23</f>
        <v>100</v>
      </c>
      <c r="X23" s="1538"/>
      <c r="Y23" s="3276"/>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46"/>
      <c r="Q24" s="1535"/>
      <c r="R24" s="714"/>
      <c r="S24" s="715"/>
      <c r="T24" s="714"/>
      <c r="U24" s="715"/>
      <c r="V24" s="714"/>
      <c r="W24" s="715"/>
      <c r="X24" s="1538"/>
      <c r="Y24" s="3276"/>
      <c r="Z24" s="1539"/>
      <c r="AA24" s="1536">
        <v>1</v>
      </c>
      <c r="AB24" s="1536">
        <v>1</v>
      </c>
      <c r="AC24" s="2146">
        <v>1</v>
      </c>
    </row>
    <row r="25" spans="1:29" ht="27">
      <c r="A25" s="364"/>
      <c r="B25" s="587" t="s">
        <v>2505</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46"/>
      <c r="Q25" s="1535" t="str">
        <f>B25</f>
        <v>毗邻道路的类型与等级</v>
      </c>
      <c r="R25" s="714" t="s">
        <v>17</v>
      </c>
      <c r="S25" s="715">
        <f>F25</f>
        <v>100</v>
      </c>
      <c r="T25" s="714" t="s">
        <v>17</v>
      </c>
      <c r="U25" s="715">
        <f>H25</f>
        <v>100</v>
      </c>
      <c r="V25" s="714" t="s">
        <v>17</v>
      </c>
      <c r="W25" s="715">
        <f>J25</f>
        <v>100</v>
      </c>
      <c r="X25" s="1538"/>
      <c r="Y25" s="3276"/>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46"/>
      <c r="Q26" s="1535"/>
      <c r="R26" s="714"/>
      <c r="S26" s="715"/>
      <c r="T26" s="714"/>
      <c r="U26" s="715"/>
      <c r="V26" s="714"/>
      <c r="W26" s="715"/>
      <c r="X26" s="1538"/>
      <c r="Y26" s="3276"/>
      <c r="Z26" s="1539"/>
      <c r="AA26" s="1536">
        <v>1</v>
      </c>
      <c r="AB26" s="1536">
        <v>1</v>
      </c>
      <c r="AC26" s="2146">
        <v>1</v>
      </c>
    </row>
    <row r="27" spans="1:29" ht="15">
      <c r="A27" s="387"/>
      <c r="B27" s="588" t="s">
        <v>2473</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6"/>
      <c r="Q27" s="1535" t="str">
        <f t="shared" ref="Q27:Q47" si="11">B27</f>
        <v>楼层</v>
      </c>
      <c r="R27" s="714" t="s">
        <v>17</v>
      </c>
      <c r="S27" s="715">
        <f>F27</f>
        <v>100</v>
      </c>
      <c r="T27" s="714" t="s">
        <v>17</v>
      </c>
      <c r="U27" s="715">
        <f>H27</f>
        <v>100</v>
      </c>
      <c r="V27" s="714" t="s">
        <v>17</v>
      </c>
      <c r="W27" s="715">
        <f>J27</f>
        <v>100</v>
      </c>
      <c r="X27" s="1538"/>
      <c r="Y27" s="3276"/>
      <c r="Z27" s="1539" t="str">
        <f>Q27</f>
        <v>楼层</v>
      </c>
      <c r="AA27" s="1536">
        <f t="shared" si="3"/>
        <v>1</v>
      </c>
      <c r="AB27" s="1536">
        <f t="shared" si="4"/>
        <v>1</v>
      </c>
      <c r="AC27" s="2146">
        <f t="shared" si="5"/>
        <v>1</v>
      </c>
    </row>
    <row r="28" spans="1:29" s="113" customFormat="1" ht="15">
      <c r="A28" s="390"/>
      <c r="B28" s="587" t="s">
        <v>2506</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46"/>
      <c r="Q28" s="1526" t="str">
        <f t="shared" si="11"/>
        <v>朝向</v>
      </c>
      <c r="R28" s="710" t="s">
        <v>17</v>
      </c>
      <c r="S28" s="711">
        <f>F28</f>
        <v>100</v>
      </c>
      <c r="T28" s="710" t="s">
        <v>17</v>
      </c>
      <c r="U28" s="711">
        <f>H28</f>
        <v>100</v>
      </c>
      <c r="V28" s="710" t="s">
        <v>17</v>
      </c>
      <c r="W28" s="711">
        <f>J28</f>
        <v>100</v>
      </c>
      <c r="X28" s="712"/>
      <c r="Y28" s="3276"/>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46"/>
      <c r="Q29" s="1535">
        <f t="shared" si="11"/>
        <v>111</v>
      </c>
      <c r="R29" s="714" t="s">
        <v>17</v>
      </c>
      <c r="S29" s="715">
        <f t="shared" ref="S29:S47" si="12">F29</f>
        <v>100</v>
      </c>
      <c r="T29" s="714" t="s">
        <v>17</v>
      </c>
      <c r="U29" s="715">
        <f t="shared" ref="U29:U47" si="13">H29</f>
        <v>100</v>
      </c>
      <c r="V29" s="714" t="s">
        <v>17</v>
      </c>
      <c r="W29" s="715">
        <f t="shared" ref="W29:W47" si="14">J29</f>
        <v>100</v>
      </c>
      <c r="X29" s="1538"/>
      <c r="Y29" s="3276"/>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46"/>
      <c r="Q30" s="1535">
        <f t="shared" si="11"/>
        <v>111</v>
      </c>
      <c r="R30" s="714" t="s">
        <v>17</v>
      </c>
      <c r="S30" s="715">
        <f t="shared" si="12"/>
        <v>100</v>
      </c>
      <c r="T30" s="714" t="s">
        <v>17</v>
      </c>
      <c r="U30" s="715">
        <f t="shared" si="13"/>
        <v>100</v>
      </c>
      <c r="V30" s="714" t="s">
        <v>17</v>
      </c>
      <c r="W30" s="715">
        <f t="shared" si="14"/>
        <v>100</v>
      </c>
      <c r="X30" s="1538"/>
      <c r="Y30" s="3276"/>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46"/>
      <c r="Q31" s="1535">
        <f t="shared" si="11"/>
        <v>111</v>
      </c>
      <c r="R31" s="714" t="s">
        <v>17</v>
      </c>
      <c r="S31" s="715">
        <f t="shared" si="12"/>
        <v>100</v>
      </c>
      <c r="T31" s="714" t="s">
        <v>17</v>
      </c>
      <c r="U31" s="715">
        <f t="shared" si="13"/>
        <v>100</v>
      </c>
      <c r="V31" s="714" t="s">
        <v>17</v>
      </c>
      <c r="W31" s="715">
        <f t="shared" si="14"/>
        <v>100</v>
      </c>
      <c r="X31" s="1538"/>
      <c r="Y31" s="3276"/>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46"/>
      <c r="Q32" s="1535">
        <f t="shared" si="11"/>
        <v>111</v>
      </c>
      <c r="R32" s="714" t="s">
        <v>17</v>
      </c>
      <c r="S32" s="715">
        <f t="shared" si="12"/>
        <v>100</v>
      </c>
      <c r="T32" s="714" t="s">
        <v>17</v>
      </c>
      <c r="U32" s="715">
        <f t="shared" si="13"/>
        <v>100</v>
      </c>
      <c r="V32" s="714" t="s">
        <v>17</v>
      </c>
      <c r="W32" s="715">
        <f t="shared" si="14"/>
        <v>100</v>
      </c>
      <c r="X32" s="1538"/>
      <c r="Y32" s="3276"/>
      <c r="Z32" s="1539">
        <f t="shared" si="15"/>
        <v>111</v>
      </c>
      <c r="AA32" s="1536">
        <f t="shared" si="3"/>
        <v>1</v>
      </c>
      <c r="AB32" s="1536">
        <f t="shared" si="4"/>
        <v>1</v>
      </c>
      <c r="AC32" s="2146">
        <f t="shared" si="5"/>
        <v>1</v>
      </c>
    </row>
    <row r="33" spans="1:29" ht="15">
      <c r="A33" s="399" t="s">
        <v>2377</v>
      </c>
      <c r="B33" s="67" t="s">
        <v>2507</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41" t="s">
        <v>2379</v>
      </c>
      <c r="Q33" s="1535" t="str">
        <f t="shared" si="11"/>
        <v>建筑类型</v>
      </c>
      <c r="R33" s="714" t="s">
        <v>17</v>
      </c>
      <c r="S33" s="715">
        <f t="shared" si="12"/>
        <v>100</v>
      </c>
      <c r="T33" s="714" t="s">
        <v>17</v>
      </c>
      <c r="U33" s="715">
        <f t="shared" si="13"/>
        <v>100</v>
      </c>
      <c r="V33" s="714" t="s">
        <v>17</v>
      </c>
      <c r="W33" s="715">
        <f t="shared" si="14"/>
        <v>100</v>
      </c>
      <c r="X33" s="1538"/>
      <c r="Y33" s="3278" t="s">
        <v>2379</v>
      </c>
      <c r="Z33" s="1539" t="str">
        <f t="shared" si="15"/>
        <v>建筑类型</v>
      </c>
      <c r="AA33" s="1536">
        <f t="shared" si="3"/>
        <v>1</v>
      </c>
      <c r="AB33" s="1536">
        <f t="shared" si="4"/>
        <v>1</v>
      </c>
      <c r="AC33" s="2146">
        <f t="shared" si="5"/>
        <v>1</v>
      </c>
    </row>
    <row r="34" spans="1:29" s="430" customFormat="1" ht="15">
      <c r="A34" s="427"/>
      <c r="B34" s="381" t="s">
        <v>2380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42"/>
      <c r="Q34" s="716" t="str">
        <f t="shared" si="11"/>
        <v>项目建筑规模</v>
      </c>
      <c r="R34" s="717" t="s">
        <v>17</v>
      </c>
      <c r="S34" s="718" t="e">
        <f t="shared" si="12"/>
        <v>#N/A</v>
      </c>
      <c r="T34" s="717" t="s">
        <v>17</v>
      </c>
      <c r="U34" s="718" t="e">
        <f t="shared" si="13"/>
        <v>#N/A</v>
      </c>
      <c r="V34" s="717" t="s">
        <v>17</v>
      </c>
      <c r="W34" s="718" t="e">
        <f t="shared" si="14"/>
        <v>#N/A</v>
      </c>
      <c r="X34" s="719"/>
      <c r="Y34" s="3278"/>
      <c r="Z34" s="720" t="str">
        <f t="shared" si="15"/>
        <v>项目建筑规模</v>
      </c>
      <c r="AA34" s="1536" t="e">
        <f t="shared" si="3"/>
        <v>#N/A</v>
      </c>
      <c r="AB34" s="1536" t="e">
        <f t="shared" si="4"/>
        <v>#N/A</v>
      </c>
      <c r="AC34" s="2146" t="e">
        <f t="shared" si="5"/>
        <v>#N/A</v>
      </c>
    </row>
    <row r="35" spans="1:29" ht="15">
      <c r="A35" s="431"/>
      <c r="B35" s="381" t="s">
        <v>2381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42"/>
      <c r="Q35" s="1535" t="str">
        <f t="shared" si="11"/>
        <v>建筑结构</v>
      </c>
      <c r="R35" s="714" t="s">
        <v>17</v>
      </c>
      <c r="S35" s="715">
        <f t="shared" si="12"/>
        <v>100</v>
      </c>
      <c r="T35" s="714" t="s">
        <v>17</v>
      </c>
      <c r="U35" s="715">
        <f t="shared" si="13"/>
        <v>100</v>
      </c>
      <c r="V35" s="714" t="s">
        <v>17</v>
      </c>
      <c r="W35" s="715">
        <f t="shared" si="14"/>
        <v>100</v>
      </c>
      <c r="X35" s="1538"/>
      <c r="Y35" s="3278"/>
      <c r="Z35" s="1539" t="str">
        <f t="shared" si="15"/>
        <v>建筑结构</v>
      </c>
      <c r="AA35" s="1536">
        <f t="shared" si="3"/>
        <v>1</v>
      </c>
      <c r="AB35" s="1536">
        <f t="shared" si="4"/>
        <v>1</v>
      </c>
      <c r="AC35" s="2146">
        <f t="shared" si="5"/>
        <v>1</v>
      </c>
    </row>
    <row r="36" spans="1:29" ht="15">
      <c r="A36" s="431"/>
      <c r="B36" s="381" t="s">
        <v>2475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42"/>
      <c r="Q36" s="1535" t="str">
        <f t="shared" si="11"/>
        <v>公共部分装修</v>
      </c>
      <c r="R36" s="714" t="s">
        <v>17</v>
      </c>
      <c r="S36" s="715">
        <f t="shared" si="12"/>
        <v>100</v>
      </c>
      <c r="T36" s="714" t="s">
        <v>17</v>
      </c>
      <c r="U36" s="715">
        <f t="shared" si="13"/>
        <v>100</v>
      </c>
      <c r="V36" s="714" t="s">
        <v>17</v>
      </c>
      <c r="W36" s="715">
        <f t="shared" si="14"/>
        <v>100</v>
      </c>
      <c r="X36" s="1538"/>
      <c r="Y36" s="3278"/>
      <c r="Z36" s="1539" t="str">
        <f t="shared" si="15"/>
        <v>公共部分装修</v>
      </c>
      <c r="AA36" s="1536">
        <f t="shared" si="3"/>
        <v>1</v>
      </c>
      <c r="AB36" s="1536">
        <f t="shared" si="4"/>
        <v>1</v>
      </c>
      <c r="AC36" s="2146">
        <f t="shared" si="5"/>
        <v>1</v>
      </c>
    </row>
    <row r="37" spans="1:29" ht="15">
      <c r="A37" s="431"/>
      <c r="B37" s="381" t="s">
        <v>2476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42"/>
      <c r="Q37" s="1535" t="str">
        <f t="shared" si="11"/>
        <v>成新度</v>
      </c>
      <c r="R37" s="714" t="s">
        <v>17</v>
      </c>
      <c r="S37" s="715" t="e">
        <f t="shared" si="12"/>
        <v>#N/A</v>
      </c>
      <c r="T37" s="714" t="s">
        <v>17</v>
      </c>
      <c r="U37" s="715" t="e">
        <f t="shared" si="13"/>
        <v>#N/A</v>
      </c>
      <c r="V37" s="714" t="s">
        <v>17</v>
      </c>
      <c r="W37" s="715" t="e">
        <f t="shared" si="14"/>
        <v>#N/A</v>
      </c>
      <c r="X37" s="1538"/>
      <c r="Y37" s="3278"/>
      <c r="Z37" s="1539" t="str">
        <f t="shared" si="15"/>
        <v>成新度</v>
      </c>
      <c r="AA37" s="1536" t="e">
        <f t="shared" si="3"/>
        <v>#N/A</v>
      </c>
      <c r="AB37" s="1536" t="e">
        <f t="shared" si="4"/>
        <v>#N/A</v>
      </c>
      <c r="AC37" s="2146" t="e">
        <f t="shared" si="5"/>
        <v>#N/A</v>
      </c>
    </row>
    <row r="38" spans="1:29" s="113" customFormat="1" ht="15">
      <c r="A38" s="432"/>
      <c r="B38" s="381" t="s">
        <v>2508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42"/>
      <c r="Q38" s="1526" t="str">
        <f t="shared" si="11"/>
        <v>写字楼等级</v>
      </c>
      <c r="R38" s="710" t="s">
        <v>17</v>
      </c>
      <c r="S38" s="711">
        <f t="shared" si="12"/>
        <v>100</v>
      </c>
      <c r="T38" s="710" t="s">
        <v>17</v>
      </c>
      <c r="U38" s="711">
        <f t="shared" si="13"/>
        <v>100</v>
      </c>
      <c r="V38" s="710" t="s">
        <v>17</v>
      </c>
      <c r="W38" s="711">
        <f t="shared" si="14"/>
        <v>100</v>
      </c>
      <c r="X38" s="712"/>
      <c r="Y38" s="3278"/>
      <c r="Z38" s="55" t="str">
        <f t="shared" si="15"/>
        <v>写字楼等级</v>
      </c>
      <c r="AA38" s="713">
        <f t="shared" si="3"/>
        <v>1</v>
      </c>
      <c r="AB38" s="713">
        <f t="shared" si="4"/>
        <v>1</v>
      </c>
      <c r="AC38" s="2143">
        <f t="shared" si="5"/>
        <v>1</v>
      </c>
    </row>
    <row r="39" spans="1:29" ht="15">
      <c r="A39" s="431"/>
      <c r="B39" s="381" t="s">
        <v>2509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42" t="s">
        <v>2379</v>
      </c>
      <c r="Q39" s="1535" t="str">
        <f t="shared" si="11"/>
        <v>物业管理</v>
      </c>
      <c r="R39" s="714" t="s">
        <v>17</v>
      </c>
      <c r="S39" s="715">
        <f t="shared" si="12"/>
        <v>100</v>
      </c>
      <c r="T39" s="714" t="s">
        <v>17</v>
      </c>
      <c r="U39" s="715">
        <f t="shared" si="13"/>
        <v>100</v>
      </c>
      <c r="V39" s="714" t="s">
        <v>17</v>
      </c>
      <c r="W39" s="715">
        <f t="shared" si="14"/>
        <v>100</v>
      </c>
      <c r="X39" s="1538"/>
      <c r="Y39" s="3278" t="s">
        <v>2379</v>
      </c>
      <c r="Z39" s="1539" t="str">
        <f t="shared" si="15"/>
        <v>物业管理</v>
      </c>
      <c r="AA39" s="1536">
        <f t="shared" si="3"/>
        <v>1</v>
      </c>
      <c r="AB39" s="1536">
        <f t="shared" si="4"/>
        <v>1</v>
      </c>
      <c r="AC39" s="2146">
        <f t="shared" si="5"/>
        <v>1</v>
      </c>
    </row>
    <row r="40" spans="1:29" ht="15">
      <c r="A40" s="431"/>
      <c r="B40" s="381" t="s">
        <v>2477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42"/>
      <c r="Q40" s="1535" t="str">
        <f t="shared" si="11"/>
        <v>市政基础设施</v>
      </c>
      <c r="R40" s="714" t="s">
        <v>17</v>
      </c>
      <c r="S40" s="715">
        <f t="shared" si="12"/>
        <v>100</v>
      </c>
      <c r="T40" s="714" t="s">
        <v>17</v>
      </c>
      <c r="U40" s="715">
        <f t="shared" si="13"/>
        <v>100</v>
      </c>
      <c r="V40" s="714" t="s">
        <v>17</v>
      </c>
      <c r="W40" s="715">
        <f t="shared" si="14"/>
        <v>100</v>
      </c>
      <c r="X40" s="1538"/>
      <c r="Y40" s="3278"/>
      <c r="Z40" s="1539" t="str">
        <f t="shared" si="15"/>
        <v>市政基础设施</v>
      </c>
      <c r="AA40" s="1536">
        <f t="shared" si="3"/>
        <v>1</v>
      </c>
      <c r="AB40" s="1536">
        <f t="shared" si="4"/>
        <v>1</v>
      </c>
      <c r="AC40" s="2146">
        <f t="shared" si="5"/>
        <v>1</v>
      </c>
    </row>
    <row r="41" spans="1:29" ht="15">
      <c r="A41" s="431"/>
      <c r="B41" s="381" t="s">
        <v>2479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42"/>
      <c r="Q41" s="1535" t="str">
        <f t="shared" si="11"/>
        <v>层高</v>
      </c>
      <c r="R41" s="714" t="s">
        <v>17</v>
      </c>
      <c r="S41" s="715">
        <f t="shared" si="12"/>
        <v>100</v>
      </c>
      <c r="T41" s="714" t="s">
        <v>17</v>
      </c>
      <c r="U41" s="715">
        <f t="shared" si="13"/>
        <v>100</v>
      </c>
      <c r="V41" s="714" t="s">
        <v>17</v>
      </c>
      <c r="W41" s="715">
        <f t="shared" si="14"/>
        <v>100</v>
      </c>
      <c r="X41" s="1538"/>
      <c r="Y41" s="3278"/>
      <c r="Z41" s="1539" t="str">
        <f t="shared" si="15"/>
        <v>层高</v>
      </c>
      <c r="AA41" s="1536">
        <f t="shared" si="3"/>
        <v>1</v>
      </c>
      <c r="AB41" s="1536">
        <f t="shared" si="4"/>
        <v>1</v>
      </c>
      <c r="AC41" s="2146">
        <f t="shared" si="5"/>
        <v>1</v>
      </c>
    </row>
    <row r="42" spans="1:29" s="430" customFormat="1" ht="15">
      <c r="A42" s="427"/>
      <c r="B42" s="1537" t="s">
        <v>2510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42"/>
      <c r="Q42" s="716" t="str">
        <f t="shared" si="11"/>
        <v>单套建筑面积</v>
      </c>
      <c r="R42" s="717" t="s">
        <v>17</v>
      </c>
      <c r="S42" s="718">
        <f t="shared" si="12"/>
        <v>100</v>
      </c>
      <c r="T42" s="717" t="s">
        <v>17</v>
      </c>
      <c r="U42" s="718">
        <f t="shared" si="13"/>
        <v>100</v>
      </c>
      <c r="V42" s="717" t="s">
        <v>17</v>
      </c>
      <c r="W42" s="718">
        <f t="shared" si="14"/>
        <v>100</v>
      </c>
      <c r="X42" s="719"/>
      <c r="Y42" s="3278"/>
      <c r="Z42" s="720" t="str">
        <f t="shared" si="15"/>
        <v>单套建筑面积</v>
      </c>
      <c r="AA42" s="1536">
        <f t="shared" si="3"/>
        <v>1</v>
      </c>
      <c r="AB42" s="1536">
        <f t="shared" si="4"/>
        <v>1</v>
      </c>
      <c r="AC42" s="2146">
        <f t="shared" si="5"/>
        <v>1</v>
      </c>
    </row>
    <row r="43" spans="1:29" ht="15">
      <c r="A43" s="431"/>
      <c r="B43" s="381" t="s">
        <v>2482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42"/>
      <c r="Q43" s="1535" t="str">
        <f t="shared" si="11"/>
        <v>内部装修</v>
      </c>
      <c r="R43" s="714" t="s">
        <v>17</v>
      </c>
      <c r="S43" s="715">
        <f t="shared" si="12"/>
        <v>100</v>
      </c>
      <c r="T43" s="714" t="s">
        <v>17</v>
      </c>
      <c r="U43" s="715">
        <f t="shared" si="13"/>
        <v>100</v>
      </c>
      <c r="V43" s="714" t="s">
        <v>17</v>
      </c>
      <c r="W43" s="715">
        <f t="shared" si="14"/>
        <v>100</v>
      </c>
      <c r="X43" s="1538"/>
      <c r="Y43" s="3278"/>
      <c r="Z43" s="1539" t="str">
        <f t="shared" si="15"/>
        <v>内部装修</v>
      </c>
      <c r="AA43" s="1536">
        <f t="shared" si="3"/>
        <v>1</v>
      </c>
      <c r="AB43" s="1536">
        <f t="shared" si="4"/>
        <v>1</v>
      </c>
      <c r="AC43" s="2146">
        <f t="shared" si="5"/>
        <v>1</v>
      </c>
    </row>
    <row r="44" spans="1:29" ht="15">
      <c r="A44" s="431"/>
      <c r="B44" s="381" t="s">
        <v>2390</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42"/>
      <c r="Q44" s="1535" t="str">
        <f t="shared" si="11"/>
        <v>内部装修维护情况</v>
      </c>
      <c r="R44" s="714" t="s">
        <v>17</v>
      </c>
      <c r="S44" s="715">
        <f t="shared" si="12"/>
        <v>100</v>
      </c>
      <c r="T44" s="714" t="s">
        <v>17</v>
      </c>
      <c r="U44" s="715">
        <f t="shared" si="13"/>
        <v>100</v>
      </c>
      <c r="V44" s="714" t="s">
        <v>17</v>
      </c>
      <c r="W44" s="715">
        <f t="shared" si="14"/>
        <v>100</v>
      </c>
      <c r="X44" s="1538"/>
      <c r="Y44" s="3278"/>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42"/>
      <c r="Q45" s="1526">
        <f t="shared" si="11"/>
        <v>111</v>
      </c>
      <c r="R45" s="710" t="s">
        <v>17</v>
      </c>
      <c r="S45" s="711">
        <f t="shared" si="12"/>
        <v>100</v>
      </c>
      <c r="T45" s="710" t="s">
        <v>17</v>
      </c>
      <c r="U45" s="711">
        <f t="shared" si="13"/>
        <v>100</v>
      </c>
      <c r="V45" s="710" t="s">
        <v>17</v>
      </c>
      <c r="W45" s="711">
        <f t="shared" si="14"/>
        <v>100</v>
      </c>
      <c r="X45" s="712"/>
      <c r="Y45" s="3278"/>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42"/>
      <c r="Q46" s="1535">
        <f t="shared" si="11"/>
        <v>111</v>
      </c>
      <c r="R46" s="714" t="s">
        <v>17</v>
      </c>
      <c r="S46" s="715">
        <f t="shared" si="12"/>
        <v>100</v>
      </c>
      <c r="T46" s="714" t="s">
        <v>17</v>
      </c>
      <c r="U46" s="715">
        <f t="shared" si="13"/>
        <v>100</v>
      </c>
      <c r="V46" s="714" t="s">
        <v>17</v>
      </c>
      <c r="W46" s="715">
        <f t="shared" si="14"/>
        <v>100</v>
      </c>
      <c r="X46" s="1538"/>
      <c r="Y46" s="3278"/>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43"/>
      <c r="Q47" s="1535">
        <f t="shared" si="11"/>
        <v>111</v>
      </c>
      <c r="R47" s="714" t="s">
        <v>17</v>
      </c>
      <c r="S47" s="715">
        <f t="shared" si="12"/>
        <v>100</v>
      </c>
      <c r="T47" s="714" t="s">
        <v>17</v>
      </c>
      <c r="U47" s="715">
        <f t="shared" si="13"/>
        <v>100</v>
      </c>
      <c r="V47" s="714" t="s">
        <v>17</v>
      </c>
      <c r="W47" s="715">
        <f t="shared" si="14"/>
        <v>100</v>
      </c>
      <c r="X47" s="1538"/>
      <c r="Y47" s="3344"/>
      <c r="Z47" s="1539">
        <f t="shared" si="15"/>
        <v>111</v>
      </c>
      <c r="AA47" s="1536">
        <f t="shared" si="3"/>
        <v>1</v>
      </c>
      <c r="AB47" s="1536">
        <f t="shared" si="4"/>
        <v>1</v>
      </c>
      <c r="AC47" s="2146">
        <f t="shared" si="5"/>
        <v>1</v>
      </c>
    </row>
    <row r="48" spans="1:29" ht="15">
      <c r="A48" s="438" t="s">
        <v>2391</v>
      </c>
      <c r="B48" s="439"/>
      <c r="C48" s="1316" t="s">
        <v>1</v>
      </c>
      <c r="D48" s="1317"/>
      <c r="E48" s="1318"/>
      <c r="F48" s="1319"/>
      <c r="G48" s="1320"/>
      <c r="H48" s="1321"/>
      <c r="I48" s="1318"/>
      <c r="J48" s="444"/>
      <c r="K48" s="723"/>
      <c r="L48" s="2951"/>
      <c r="M48" s="2943"/>
      <c r="N48" s="2943"/>
      <c r="O48" s="2943"/>
      <c r="P48" s="3272" t="str">
        <f>A48</f>
        <v>成交单价（元/平方米）</v>
      </c>
      <c r="Q48" s="3273"/>
      <c r="R48" s="3340">
        <f>E48</f>
        <v>0</v>
      </c>
      <c r="S48" s="3340"/>
      <c r="T48" s="3340">
        <f>G48</f>
        <v>0</v>
      </c>
      <c r="U48" s="3340"/>
      <c r="V48" s="3340">
        <f>I48</f>
        <v>0</v>
      </c>
      <c r="W48" s="3340"/>
      <c r="X48" s="405"/>
      <c r="Y48" s="721"/>
      <c r="Z48" s="405"/>
      <c r="AA48" s="405"/>
      <c r="AB48" s="405"/>
      <c r="AC48" s="586"/>
    </row>
    <row r="49" spans="1:29" ht="15.75" thickBot="1">
      <c r="A49" s="445" t="s">
        <v>2483</v>
      </c>
      <c r="B49" s="446"/>
      <c r="C49" s="1322" t="e">
        <f>R50</f>
        <v>#DIV/0!</v>
      </c>
      <c r="D49" s="2536" t="s">
        <v>2874</v>
      </c>
      <c r="E49" s="1323" t="e">
        <f>R49</f>
        <v>#DIV/0!</v>
      </c>
      <c r="F49" s="2537"/>
      <c r="G49" s="1322" t="e">
        <f>T49</f>
        <v>#DIV/0!</v>
      </c>
      <c r="H49" s="2537"/>
      <c r="I49" s="1323" t="e">
        <f>V49</f>
        <v>#DIV/0!</v>
      </c>
      <c r="J49" s="2537"/>
      <c r="K49" s="2539">
        <f>F49+H49+J49</f>
        <v>0</v>
      </c>
      <c r="L49" s="2951"/>
      <c r="M49" s="2943"/>
      <c r="N49" s="2943"/>
      <c r="O49" s="2943"/>
      <c r="P49" s="3272" t="str">
        <f>A49</f>
        <v>比较价值（元/平方米）</v>
      </c>
      <c r="Q49" s="3273"/>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05"/>
      <c r="Y49" s="405"/>
      <c r="Z49" s="405"/>
      <c r="AA49" s="405"/>
      <c r="AB49" s="405"/>
      <c r="AC49" s="586"/>
    </row>
    <row r="50" spans="1:29" ht="15.75" thickBot="1">
      <c r="A50" s="449" t="s">
        <v>2484</v>
      </c>
      <c r="B50" s="450"/>
      <c r="C50" s="1325" t="e">
        <f>R50</f>
        <v>#DIV/0!</v>
      </c>
      <c r="D50" s="1325"/>
      <c r="E50" s="1325"/>
      <c r="F50" s="1325"/>
      <c r="G50" s="1325"/>
      <c r="H50" s="1325"/>
      <c r="I50" s="1325"/>
      <c r="J50" s="451"/>
      <c r="K50" s="724"/>
      <c r="L50" s="2951"/>
      <c r="M50" s="2943"/>
      <c r="N50" s="2943"/>
      <c r="O50" s="2943"/>
      <c r="P50" s="3347" t="str">
        <f>A50</f>
        <v>估价对象XX用房的比较价值（楼面单价，元/平方米）</v>
      </c>
      <c r="Q50" s="3348"/>
      <c r="R50" s="3349" t="e">
        <f>IF(F1="售价",ROUND(IF(D49="简单平均",AVERAGE(R49:V49),R49*F49+T49*H49+V49*J49),0),ROUND(IF(D49="简单平均",AVERAGE(R49:V49),R49*F49+T49*H49+V49*J49),1))</f>
        <v>#DIV/0!</v>
      </c>
      <c r="S50" s="3349"/>
      <c r="T50" s="3349"/>
      <c r="U50" s="3349"/>
      <c r="V50" s="3349"/>
      <c r="W50" s="3349"/>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2486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2487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2488</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2362</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2399</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2364</v>
      </c>
      <c r="B62" s="467"/>
      <c r="C62" s="479" t="s">
        <v>2466</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2402</v>
      </c>
      <c r="B64" s="485" t="s">
        <v>2368</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2371</v>
      </c>
      <c r="C66" s="496" t="s">
        <v>2403</v>
      </c>
      <c r="D66" s="496" t="s">
        <v>2404</v>
      </c>
      <c r="E66" s="496" t="s">
        <v>2405</v>
      </c>
      <c r="F66" s="496" t="s">
        <v>2406</v>
      </c>
      <c r="G66" s="496" t="s">
        <v>2407</v>
      </c>
      <c r="H66" s="496" t="s">
        <v>2408</v>
      </c>
      <c r="I66" s="496" t="s">
        <v>2409</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2373</v>
      </c>
      <c r="B77" s="485" t="s">
        <v>2511</v>
      </c>
      <c r="C77" s="530" t="s">
        <v>2411</v>
      </c>
      <c r="D77" s="530" t="s">
        <v>2412</v>
      </c>
      <c r="E77" s="530" t="s">
        <v>2413</v>
      </c>
      <c r="F77" s="530" t="s">
        <v>2414</v>
      </c>
      <c r="G77" s="530" t="s">
        <v>2415</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2416</v>
      </c>
      <c r="C79" s="535" t="s">
        <v>2411</v>
      </c>
      <c r="D79" s="535" t="s">
        <v>2412</v>
      </c>
      <c r="E79" s="535" t="s">
        <v>2413</v>
      </c>
      <c r="F79" s="535" t="s">
        <v>2414</v>
      </c>
      <c r="G79" s="535" t="s">
        <v>2415</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2417</v>
      </c>
      <c r="C81" s="535" t="s">
        <v>2411</v>
      </c>
      <c r="D81" s="535" t="s">
        <v>2412</v>
      </c>
      <c r="E81" s="535" t="s">
        <v>2413</v>
      </c>
      <c r="F81" s="535" t="s">
        <v>2414</v>
      </c>
      <c r="G81" s="535" t="s">
        <v>2415</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2503</v>
      </c>
      <c r="C83" s="616" t="s">
        <v>2489</v>
      </c>
      <c r="D83" s="616" t="s">
        <v>2490</v>
      </c>
      <c r="E83" s="616" t="s">
        <v>2491</v>
      </c>
      <c r="F83" s="616" t="s">
        <v>2492</v>
      </c>
      <c r="G83" s="616" t="s">
        <v>2493</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2512</v>
      </c>
      <c r="C85" s="535" t="s">
        <v>2411</v>
      </c>
      <c r="D85" s="535" t="s">
        <v>2412</v>
      </c>
      <c r="E85" s="535" t="s">
        <v>2413</v>
      </c>
      <c r="F85" s="535" t="s">
        <v>2414</v>
      </c>
      <c r="G85" s="535" t="s">
        <v>2415</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2513</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2377</v>
      </c>
      <c r="B101" s="485" t="s">
        <v>2426</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2427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2428</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2430</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1869</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2514</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2431</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2432</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2515</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2498</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2434</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2435</v>
      </c>
      <c r="C125" s="535" t="s">
        <v>2411</v>
      </c>
      <c r="D125" s="535" t="s">
        <v>2412</v>
      </c>
      <c r="E125" s="535" t="s">
        <v>2413</v>
      </c>
      <c r="F125" s="535" t="s">
        <v>2414</v>
      </c>
      <c r="G125" s="535" t="s">
        <v>2415</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141" t="s">
        <v>2516</v>
      </c>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IF(C2="——",ROUND(C43*D3/10000,0),ROUND(C43*D3/10000,0)-D2)</f>
        <v>#DIV/0!</v>
      </c>
      <c r="C2" s="2065"/>
      <c r="D2" s="1038" t="e">
        <f ca="1">SUMIF(INDIRECT("'"&amp;F2&amp;"'"&amp;"!A:A"),"承租人权益价值",INDIRECT("'"&amp;F2&amp;"'"&amp;"!c:c"))</f>
        <v>#REF!</v>
      </c>
      <c r="E2" s="2066" t="s">
        <v>2142</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2143</v>
      </c>
      <c r="B3" s="566" t="e">
        <f ca="1">IF(C2="——",C43,ROUND(B2*10000/D3,0))</f>
        <v>#DIV/0!</v>
      </c>
      <c r="C3" s="360" t="s">
        <v>2458</v>
      </c>
      <c r="D3" s="359">
        <f>IF(D1="",'数据-汇总表'!E3,SUMIF('数据-汇总表'!$C19:$C33,D1,'数据-汇总表'!$E19:$E33))</f>
        <v>38981.680000000008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2459</v>
      </c>
      <c r="B4" s="362"/>
      <c r="C4" s="3270" t="s">
        <v>2460</v>
      </c>
      <c r="D4" s="3283"/>
      <c r="E4" s="3284" t="s">
        <v>2461</v>
      </c>
      <c r="F4" s="3285"/>
      <c r="G4" s="3270" t="s">
        <v>2462</v>
      </c>
      <c r="H4" s="3283"/>
      <c r="I4" s="3270" t="s">
        <v>2463</v>
      </c>
      <c r="J4" s="3283"/>
      <c r="K4" s="567" t="s">
        <v>2464</v>
      </c>
      <c r="L4" s="1044"/>
      <c r="M4" s="1045"/>
      <c r="N4" s="1045"/>
      <c r="O4" s="1045"/>
      <c r="P4" s="3286" t="s">
        <v>2465</v>
      </c>
      <c r="Q4" s="3287"/>
      <c r="R4" s="3292" t="s">
        <v>2461</v>
      </c>
      <c r="S4" s="3293"/>
      <c r="T4" s="3292" t="s">
        <v>2462</v>
      </c>
      <c r="U4" s="3293"/>
      <c r="V4" s="3279" t="s">
        <v>2463</v>
      </c>
      <c r="W4" s="3279"/>
      <c r="X4" s="1538"/>
      <c r="Y4" s="3292" t="s">
        <v>2465</v>
      </c>
      <c r="Z4" s="3293"/>
      <c r="AA4" s="3280" t="s">
        <v>2461</v>
      </c>
      <c r="AB4" s="3281" t="s">
        <v>2462</v>
      </c>
      <c r="AC4" s="3280" t="s">
        <v>2463</v>
      </c>
    </row>
    <row r="5" spans="1:29" ht="15">
      <c r="A5" s="364"/>
      <c r="B5" s="365"/>
      <c r="C5" s="3300" t="s">
        <v>2356</v>
      </c>
      <c r="D5" s="3301"/>
      <c r="E5" s="3307" t="s">
        <v>2357</v>
      </c>
      <c r="F5" s="3308"/>
      <c r="G5" s="3300" t="s">
        <v>2358</v>
      </c>
      <c r="H5" s="3301"/>
      <c r="I5" s="3300" t="s">
        <v>2359</v>
      </c>
      <c r="J5" s="3301"/>
      <c r="K5" s="567"/>
      <c r="L5" s="1044"/>
      <c r="M5" s="1045"/>
      <c r="N5" s="1045"/>
      <c r="O5" s="1045"/>
      <c r="P5" s="3288"/>
      <c r="Q5" s="3289"/>
      <c r="R5" s="3294"/>
      <c r="S5" s="3295"/>
      <c r="T5" s="3294"/>
      <c r="U5" s="3295"/>
      <c r="V5" s="3279"/>
      <c r="W5" s="3279"/>
      <c r="X5" s="1538"/>
      <c r="Y5" s="3294"/>
      <c r="Z5" s="3295"/>
      <c r="AA5" s="3281"/>
      <c r="AB5" s="3281"/>
      <c r="AC5" s="3281"/>
    </row>
    <row r="6" spans="1:29" ht="15.75" thickBot="1">
      <c r="A6" s="366"/>
      <c r="B6" s="367"/>
      <c r="C6" s="3298" t="s">
        <v>2360</v>
      </c>
      <c r="D6" s="3299"/>
      <c r="E6" s="3305" t="s">
        <v>2360</v>
      </c>
      <c r="F6" s="3306"/>
      <c r="G6" s="3298" t="s">
        <v>2360</v>
      </c>
      <c r="H6" s="3299"/>
      <c r="I6" s="3298" t="s">
        <v>2360</v>
      </c>
      <c r="J6" s="3299"/>
      <c r="K6" s="567" t="s">
        <v>2361</v>
      </c>
      <c r="L6" s="1044"/>
      <c r="M6" s="1045"/>
      <c r="N6" s="1045"/>
      <c r="O6" s="1045"/>
      <c r="P6" s="3290"/>
      <c r="Q6" s="3291"/>
      <c r="R6" s="3294"/>
      <c r="S6" s="3295"/>
      <c r="T6" s="3296"/>
      <c r="U6" s="3297"/>
      <c r="V6" s="3279"/>
      <c r="W6" s="3279"/>
      <c r="X6" s="1538"/>
      <c r="Y6" s="3296"/>
      <c r="Z6" s="3297"/>
      <c r="AA6" s="3282"/>
      <c r="AB6" s="3282"/>
      <c r="AC6" s="3282"/>
    </row>
    <row r="7" spans="1:29" s="113" customFormat="1" ht="15.75" thickBot="1">
      <c r="A7" s="368" t="s">
        <v>2362</v>
      </c>
      <c r="B7" s="369"/>
      <c r="C7" s="370">
        <f>'数据-取费表'!B2</f>
        <v>44322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2363</v>
      </c>
      <c r="Q7" s="3304"/>
      <c r="R7" s="710" t="s">
        <v>17</v>
      </c>
      <c r="S7" s="711">
        <f t="shared" ref="S7:S15" si="0">F7</f>
        <v>0</v>
      </c>
      <c r="T7" s="710" t="s">
        <v>17</v>
      </c>
      <c r="U7" s="711">
        <f t="shared" ref="U7:U15" si="1">H7</f>
        <v>0</v>
      </c>
      <c r="V7" s="710" t="s">
        <v>17</v>
      </c>
      <c r="W7" s="711">
        <f t="shared" ref="W7:W15" si="2">J7</f>
        <v>0</v>
      </c>
      <c r="X7" s="712"/>
      <c r="Y7" s="3302" t="s">
        <v>2363</v>
      </c>
      <c r="Z7" s="3303"/>
      <c r="AA7" s="713" t="e">
        <f>D7/F7</f>
        <v>#DIV/0!</v>
      </c>
      <c r="AB7" s="713" t="e">
        <f>D7/H7</f>
        <v>#DIV/0!</v>
      </c>
      <c r="AC7" s="713" t="e">
        <f>D7/J7</f>
        <v>#DIV/0!</v>
      </c>
    </row>
    <row r="8" spans="1:29" s="113" customFormat="1" ht="15.75" thickBot="1">
      <c r="A8" s="368" t="s">
        <v>2364</v>
      </c>
      <c r="B8" s="369"/>
      <c r="C8" s="374" t="s">
        <v>2365</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2366</v>
      </c>
      <c r="Q8" s="3303"/>
      <c r="R8" s="710" t="s">
        <v>17</v>
      </c>
      <c r="S8" s="711">
        <f t="shared" si="0"/>
        <v>0</v>
      </c>
      <c r="T8" s="710" t="s">
        <v>17</v>
      </c>
      <c r="U8" s="711">
        <f t="shared" si="1"/>
        <v>0</v>
      </c>
      <c r="V8" s="710" t="s">
        <v>17</v>
      </c>
      <c r="W8" s="711">
        <f t="shared" si="2"/>
        <v>0</v>
      </c>
      <c r="X8" s="712"/>
      <c r="Y8" s="3302" t="s">
        <v>2366</v>
      </c>
      <c r="Z8" s="3303"/>
      <c r="AA8" s="713" t="e">
        <f t="shared" ref="AA8:AA40" si="3">D8/F8</f>
        <v>#DIV/0!</v>
      </c>
      <c r="AB8" s="713" t="e">
        <f t="shared" ref="AB8:AB40" si="4">D8/H8</f>
        <v>#DIV/0!</v>
      </c>
      <c r="AC8" s="713" t="e">
        <f t="shared" ref="AC8:AC40" si="5">D8/J8</f>
        <v>#DIV/0!</v>
      </c>
    </row>
    <row r="9" spans="1:29" s="113" customFormat="1">
      <c r="A9" s="375" t="s">
        <v>2367</v>
      </c>
      <c r="B9" s="67" t="s">
        <v>2368</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3"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3"/>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3"/>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73"/>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73"/>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73"/>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57">
      <c r="A15" s="399" t="s">
        <v>2373</v>
      </c>
      <c r="B15" s="65" t="s">
        <v>2517</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5" t="s">
        <v>2374</v>
      </c>
      <c r="Q15" s="1535" t="str">
        <f t="shared" si="6"/>
        <v>产业集聚程度</v>
      </c>
      <c r="R15" s="714" t="s">
        <v>17</v>
      </c>
      <c r="S15" s="715">
        <f t="shared" si="0"/>
        <v>100</v>
      </c>
      <c r="T15" s="714" t="s">
        <v>17</v>
      </c>
      <c r="U15" s="715">
        <f t="shared" si="1"/>
        <v>100</v>
      </c>
      <c r="V15" s="714" t="s">
        <v>17</v>
      </c>
      <c r="W15" s="715">
        <f t="shared" si="2"/>
        <v>100</v>
      </c>
      <c r="X15" s="1538"/>
      <c r="Y15" s="3275" t="s">
        <v>2374</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76"/>
      <c r="Q16" s="1535"/>
      <c r="R16" s="714"/>
      <c r="S16" s="715"/>
      <c r="T16" s="714"/>
      <c r="U16" s="715"/>
      <c r="V16" s="714"/>
      <c r="W16" s="715"/>
      <c r="X16" s="1538"/>
      <c r="Y16" s="3276"/>
      <c r="Z16" s="1539"/>
      <c r="AA16" s="1536">
        <v>1</v>
      </c>
      <c r="AB16" s="1536">
        <v>1</v>
      </c>
      <c r="AC16" s="1536">
        <v>1</v>
      </c>
    </row>
    <row r="17" spans="1:29" ht="85.5">
      <c r="A17" s="387"/>
      <c r="B17" s="410" t="s">
        <v>1938</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6"/>
      <c r="Q17" s="1535" t="str">
        <f>B17</f>
        <v>交通便捷度</v>
      </c>
      <c r="R17" s="714" t="s">
        <v>17</v>
      </c>
      <c r="S17" s="715">
        <f>F17</f>
        <v>100</v>
      </c>
      <c r="T17" s="714" t="s">
        <v>17</v>
      </c>
      <c r="U17" s="715">
        <f>H17</f>
        <v>100</v>
      </c>
      <c r="V17" s="714" t="s">
        <v>17</v>
      </c>
      <c r="W17" s="715">
        <f>J17</f>
        <v>100</v>
      </c>
      <c r="X17" s="1538"/>
      <c r="Y17" s="3276"/>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76"/>
      <c r="Q18" s="1535"/>
      <c r="R18" s="714"/>
      <c r="S18" s="715"/>
      <c r="T18" s="714"/>
      <c r="U18" s="715"/>
      <c r="V18" s="714"/>
      <c r="W18" s="715"/>
      <c r="X18" s="1538"/>
      <c r="Y18" s="3276"/>
      <c r="Z18" s="1539"/>
      <c r="AA18" s="1536">
        <v>1</v>
      </c>
      <c r="AB18" s="1536">
        <v>1</v>
      </c>
      <c r="AC18" s="1536">
        <v>1</v>
      </c>
    </row>
    <row r="19" spans="1:29" ht="42.75">
      <c r="A19" s="387"/>
      <c r="B19" s="410" t="s">
        <v>2502</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6"/>
      <c r="Q19" s="1535" t="str">
        <f>B19</f>
        <v>公共配套设施</v>
      </c>
      <c r="R19" s="714" t="s">
        <v>17</v>
      </c>
      <c r="S19" s="715">
        <f>F19</f>
        <v>100</v>
      </c>
      <c r="T19" s="714" t="s">
        <v>17</v>
      </c>
      <c r="U19" s="715">
        <f>H19</f>
        <v>100</v>
      </c>
      <c r="V19" s="714" t="s">
        <v>17</v>
      </c>
      <c r="W19" s="715">
        <f>J19</f>
        <v>100</v>
      </c>
      <c r="X19" s="1538"/>
      <c r="Y19" s="3276"/>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76"/>
      <c r="Q20" s="1535"/>
      <c r="R20" s="714"/>
      <c r="S20" s="715"/>
      <c r="T20" s="714"/>
      <c r="U20" s="715"/>
      <c r="V20" s="714"/>
      <c r="W20" s="715"/>
      <c r="X20" s="1538"/>
      <c r="Y20" s="3276"/>
      <c r="Z20" s="1539"/>
      <c r="AA20" s="1536">
        <v>1</v>
      </c>
      <c r="AB20" s="1536">
        <v>1</v>
      </c>
      <c r="AC20" s="1536">
        <v>1</v>
      </c>
    </row>
    <row r="21" spans="1:29" ht="28.5">
      <c r="A21" s="387"/>
      <c r="B21" s="1293" t="s">
        <v>2503</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6"/>
      <c r="Q21" s="1535" t="str">
        <f>B21</f>
        <v>基础设施水平</v>
      </c>
      <c r="R21" s="714" t="s">
        <v>17</v>
      </c>
      <c r="S21" s="715">
        <f>F21</f>
        <v>100</v>
      </c>
      <c r="T21" s="714" t="s">
        <v>17</v>
      </c>
      <c r="U21" s="715">
        <f>H21</f>
        <v>100</v>
      </c>
      <c r="V21" s="714" t="s">
        <v>17</v>
      </c>
      <c r="W21" s="715">
        <f>J21</f>
        <v>100</v>
      </c>
      <c r="X21" s="1538"/>
      <c r="Y21" s="3276"/>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76"/>
      <c r="Q22" s="1535"/>
      <c r="R22" s="714"/>
      <c r="S22" s="715"/>
      <c r="T22" s="714"/>
      <c r="U22" s="715"/>
      <c r="V22" s="714"/>
      <c r="W22" s="715"/>
      <c r="X22" s="1538"/>
      <c r="Y22" s="3276"/>
      <c r="Z22" s="1539"/>
      <c r="AA22" s="1536">
        <v>1</v>
      </c>
      <c r="AB22" s="1536">
        <v>1</v>
      </c>
      <c r="AC22" s="1536">
        <v>1</v>
      </c>
    </row>
    <row r="23" spans="1:29" ht="71.25">
      <c r="A23" s="387"/>
      <c r="B23" s="410" t="s">
        <v>2504</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6"/>
      <c r="Q23" s="1535" t="str">
        <f>B23</f>
        <v>环境质量</v>
      </c>
      <c r="R23" s="714" t="s">
        <v>17</v>
      </c>
      <c r="S23" s="715">
        <f>F23</f>
        <v>100</v>
      </c>
      <c r="T23" s="714" t="s">
        <v>17</v>
      </c>
      <c r="U23" s="715">
        <f>H23</f>
        <v>100</v>
      </c>
      <c r="V23" s="714" t="s">
        <v>17</v>
      </c>
      <c r="W23" s="715">
        <f>J23</f>
        <v>100</v>
      </c>
      <c r="X23" s="1538"/>
      <c r="Y23" s="3276"/>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76"/>
      <c r="Q24" s="1535"/>
      <c r="R24" s="714"/>
      <c r="S24" s="715"/>
      <c r="T24" s="714"/>
      <c r="U24" s="715"/>
      <c r="V24" s="714"/>
      <c r="W24" s="715"/>
      <c r="X24" s="1538"/>
      <c r="Y24" s="3276"/>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6"/>
      <c r="Q25" s="1535">
        <f>B25</f>
        <v>111</v>
      </c>
      <c r="R25" s="714" t="s">
        <v>17</v>
      </c>
      <c r="S25" s="715">
        <f>F25</f>
        <v>100</v>
      </c>
      <c r="T25" s="714" t="s">
        <v>17</v>
      </c>
      <c r="U25" s="715">
        <f>H25</f>
        <v>100</v>
      </c>
      <c r="V25" s="714" t="s">
        <v>17</v>
      </c>
      <c r="W25" s="715">
        <f>J25</f>
        <v>100</v>
      </c>
      <c r="X25" s="1538"/>
      <c r="Y25" s="3276"/>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6"/>
      <c r="Q26" s="1535">
        <f t="shared" ref="Q26:Q40" si="11">B26</f>
        <v>111</v>
      </c>
      <c r="R26" s="714" t="s">
        <v>17</v>
      </c>
      <c r="S26" s="715">
        <f>F26</f>
        <v>100</v>
      </c>
      <c r="T26" s="714" t="s">
        <v>17</v>
      </c>
      <c r="U26" s="715">
        <f>H26</f>
        <v>100</v>
      </c>
      <c r="V26" s="714" t="s">
        <v>17</v>
      </c>
      <c r="W26" s="715">
        <f>J26</f>
        <v>100</v>
      </c>
      <c r="X26" s="1538"/>
      <c r="Y26" s="3276"/>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6"/>
      <c r="Q27" s="1526">
        <f t="shared" si="11"/>
        <v>111</v>
      </c>
      <c r="R27" s="710" t="s">
        <v>17</v>
      </c>
      <c r="S27" s="711">
        <f>F27</f>
        <v>100</v>
      </c>
      <c r="T27" s="710" t="s">
        <v>17</v>
      </c>
      <c r="U27" s="711">
        <f>H27</f>
        <v>100</v>
      </c>
      <c r="V27" s="710" t="s">
        <v>17</v>
      </c>
      <c r="W27" s="711">
        <f>J27</f>
        <v>100</v>
      </c>
      <c r="X27" s="712"/>
      <c r="Y27" s="3276"/>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6"/>
      <c r="Q28" s="1535">
        <f t="shared" si="11"/>
        <v>111</v>
      </c>
      <c r="R28" s="714" t="s">
        <v>17</v>
      </c>
      <c r="S28" s="715">
        <f t="shared" ref="S28:S40" si="12">F28</f>
        <v>100</v>
      </c>
      <c r="T28" s="714" t="s">
        <v>17</v>
      </c>
      <c r="U28" s="715">
        <f t="shared" ref="U28:U40" si="13">H28</f>
        <v>100</v>
      </c>
      <c r="V28" s="714" t="s">
        <v>17</v>
      </c>
      <c r="W28" s="715">
        <f t="shared" ref="W28:W40" si="14">J28</f>
        <v>100</v>
      </c>
      <c r="X28" s="1538"/>
      <c r="Y28" s="3276"/>
      <c r="Z28" s="1539">
        <f t="shared" ref="Z28:Z40" si="15">Q28</f>
        <v>111</v>
      </c>
      <c r="AA28" s="1536">
        <f t="shared" si="3"/>
        <v>1</v>
      </c>
      <c r="AB28" s="1536">
        <f t="shared" si="4"/>
        <v>1</v>
      </c>
      <c r="AC28" s="1536">
        <f t="shared" si="5"/>
        <v>1</v>
      </c>
    </row>
    <row r="29" spans="1:29" ht="28.5">
      <c r="A29" s="425" t="s">
        <v>2377</v>
      </c>
      <c r="B29" s="67" t="s">
        <v>2507</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277" t="s">
        <v>2379</v>
      </c>
      <c r="Q29" s="1535" t="str">
        <f t="shared" si="11"/>
        <v>建筑类型</v>
      </c>
      <c r="R29" s="714" t="s">
        <v>17</v>
      </c>
      <c r="S29" s="715">
        <f t="shared" si="12"/>
        <v>100</v>
      </c>
      <c r="T29" s="714" t="s">
        <v>17</v>
      </c>
      <c r="U29" s="715">
        <f t="shared" si="13"/>
        <v>100</v>
      </c>
      <c r="V29" s="714" t="s">
        <v>17</v>
      </c>
      <c r="W29" s="715">
        <f t="shared" si="14"/>
        <v>100</v>
      </c>
      <c r="X29" s="1538"/>
      <c r="Y29" s="3278" t="s">
        <v>2379</v>
      </c>
      <c r="Z29" s="1539" t="str">
        <f t="shared" si="15"/>
        <v>建筑类型</v>
      </c>
      <c r="AA29" s="1536">
        <f t="shared" si="3"/>
        <v>1</v>
      </c>
      <c r="AB29" s="1536">
        <f t="shared" si="4"/>
        <v>1</v>
      </c>
      <c r="AC29" s="1536">
        <f t="shared" si="5"/>
        <v>1</v>
      </c>
    </row>
    <row r="30" spans="1:29" s="430" customFormat="1" ht="15">
      <c r="A30" s="427"/>
      <c r="B30" s="381" t="s">
        <v>2380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8"/>
      <c r="Q30" s="716" t="str">
        <f t="shared" si="11"/>
        <v>项目建筑规模</v>
      </c>
      <c r="R30" s="717" t="s">
        <v>17</v>
      </c>
      <c r="S30" s="718" t="e">
        <f t="shared" si="12"/>
        <v>#N/A</v>
      </c>
      <c r="T30" s="717" t="s">
        <v>17</v>
      </c>
      <c r="U30" s="718" t="e">
        <f t="shared" si="13"/>
        <v>#N/A</v>
      </c>
      <c r="V30" s="717" t="s">
        <v>17</v>
      </c>
      <c r="W30" s="718" t="e">
        <f t="shared" si="14"/>
        <v>#N/A</v>
      </c>
      <c r="X30" s="719"/>
      <c r="Y30" s="3278"/>
      <c r="Z30" s="720" t="str">
        <f t="shared" si="15"/>
        <v>项目建筑规模</v>
      </c>
      <c r="AA30" s="1536" t="e">
        <f t="shared" si="3"/>
        <v>#N/A</v>
      </c>
      <c r="AB30" s="1536" t="e">
        <f t="shared" si="4"/>
        <v>#N/A</v>
      </c>
      <c r="AC30" s="1536" t="e">
        <f t="shared" si="5"/>
        <v>#N/A</v>
      </c>
    </row>
    <row r="31" spans="1:29" ht="15">
      <c r="A31" s="431"/>
      <c r="B31" s="381" t="s">
        <v>2381</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8"/>
      <c r="Q31" s="1535" t="str">
        <f t="shared" si="11"/>
        <v>建筑结构</v>
      </c>
      <c r="R31" s="714" t="s">
        <v>17</v>
      </c>
      <c r="S31" s="715">
        <f t="shared" si="12"/>
        <v>100</v>
      </c>
      <c r="T31" s="714" t="s">
        <v>17</v>
      </c>
      <c r="U31" s="715">
        <f t="shared" si="13"/>
        <v>100</v>
      </c>
      <c r="V31" s="714" t="s">
        <v>17</v>
      </c>
      <c r="W31" s="715">
        <f t="shared" si="14"/>
        <v>100</v>
      </c>
      <c r="X31" s="1538"/>
      <c r="Y31" s="3278"/>
      <c r="Z31" s="1539" t="str">
        <f t="shared" si="15"/>
        <v>建筑结构</v>
      </c>
      <c r="AA31" s="1536">
        <f t="shared" si="3"/>
        <v>1</v>
      </c>
      <c r="AB31" s="1536">
        <f t="shared" si="4"/>
        <v>1</v>
      </c>
      <c r="AC31" s="1536">
        <f t="shared" si="5"/>
        <v>1</v>
      </c>
    </row>
    <row r="32" spans="1:29" ht="15">
      <c r="A32" s="431"/>
      <c r="B32" s="381" t="s">
        <v>2475</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8"/>
      <c r="Q32" s="1535" t="str">
        <f t="shared" si="11"/>
        <v>公共部分装修</v>
      </c>
      <c r="R32" s="714" t="s">
        <v>17</v>
      </c>
      <c r="S32" s="715">
        <f t="shared" si="12"/>
        <v>100</v>
      </c>
      <c r="T32" s="714" t="s">
        <v>17</v>
      </c>
      <c r="U32" s="715">
        <f t="shared" si="13"/>
        <v>100</v>
      </c>
      <c r="V32" s="714" t="s">
        <v>17</v>
      </c>
      <c r="W32" s="715">
        <f t="shared" si="14"/>
        <v>100</v>
      </c>
      <c r="X32" s="1538"/>
      <c r="Y32" s="3278"/>
      <c r="Z32" s="1539" t="str">
        <f t="shared" si="15"/>
        <v>公共部分装修</v>
      </c>
      <c r="AA32" s="1536">
        <f t="shared" si="3"/>
        <v>1</v>
      </c>
      <c r="AB32" s="1536">
        <f t="shared" si="4"/>
        <v>1</v>
      </c>
      <c r="AC32" s="1536">
        <f t="shared" si="5"/>
        <v>1</v>
      </c>
    </row>
    <row r="33" spans="1:29" ht="15">
      <c r="A33" s="431"/>
      <c r="B33" s="381" t="s">
        <v>2476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8"/>
      <c r="Q33" s="1535" t="str">
        <f t="shared" si="11"/>
        <v>成新度</v>
      </c>
      <c r="R33" s="714" t="s">
        <v>17</v>
      </c>
      <c r="S33" s="715" t="e">
        <f t="shared" si="12"/>
        <v>#N/A</v>
      </c>
      <c r="T33" s="714" t="s">
        <v>17</v>
      </c>
      <c r="U33" s="715" t="e">
        <f t="shared" si="13"/>
        <v>#N/A</v>
      </c>
      <c r="V33" s="714" t="s">
        <v>17</v>
      </c>
      <c r="W33" s="715" t="e">
        <f t="shared" si="14"/>
        <v>#N/A</v>
      </c>
      <c r="X33" s="1538"/>
      <c r="Y33" s="3278"/>
      <c r="Z33" s="1539" t="str">
        <f t="shared" si="15"/>
        <v>成新度</v>
      </c>
      <c r="AA33" s="1536" t="e">
        <f t="shared" si="3"/>
        <v>#N/A</v>
      </c>
      <c r="AB33" s="1536" t="e">
        <f t="shared" si="4"/>
        <v>#N/A</v>
      </c>
      <c r="AC33" s="1536" t="e">
        <f t="shared" si="5"/>
        <v>#N/A</v>
      </c>
    </row>
    <row r="34" spans="1:29" s="113" customFormat="1" ht="15">
      <c r="A34" s="432"/>
      <c r="B34" s="381" t="s">
        <v>2509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8"/>
      <c r="Q34" s="1526" t="str">
        <f t="shared" si="11"/>
        <v>物业管理</v>
      </c>
      <c r="R34" s="710" t="s">
        <v>17</v>
      </c>
      <c r="S34" s="711">
        <f t="shared" si="12"/>
        <v>100</v>
      </c>
      <c r="T34" s="710" t="s">
        <v>17</v>
      </c>
      <c r="U34" s="711">
        <f t="shared" si="13"/>
        <v>100</v>
      </c>
      <c r="V34" s="710" t="s">
        <v>17</v>
      </c>
      <c r="W34" s="711">
        <f t="shared" si="14"/>
        <v>100</v>
      </c>
      <c r="X34" s="712"/>
      <c r="Y34" s="3278"/>
      <c r="Z34" s="55" t="str">
        <f t="shared" si="15"/>
        <v>物业管理</v>
      </c>
      <c r="AA34" s="713">
        <f t="shared" si="3"/>
        <v>1</v>
      </c>
      <c r="AB34" s="713">
        <f t="shared" si="4"/>
        <v>1</v>
      </c>
      <c r="AC34" s="713">
        <f t="shared" si="5"/>
        <v>1</v>
      </c>
    </row>
    <row r="35" spans="1:29" ht="15">
      <c r="A35" s="431"/>
      <c r="B35" s="381" t="s">
        <v>2477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8" t="s">
        <v>2379</v>
      </c>
      <c r="Q35" s="1535" t="str">
        <f t="shared" si="11"/>
        <v>市政基础设施</v>
      </c>
      <c r="R35" s="714" t="s">
        <v>17</v>
      </c>
      <c r="S35" s="715">
        <f t="shared" si="12"/>
        <v>100</v>
      </c>
      <c r="T35" s="714" t="s">
        <v>17</v>
      </c>
      <c r="U35" s="715">
        <f t="shared" si="13"/>
        <v>100</v>
      </c>
      <c r="V35" s="714" t="s">
        <v>17</v>
      </c>
      <c r="W35" s="715">
        <f t="shared" si="14"/>
        <v>100</v>
      </c>
      <c r="X35" s="1538"/>
      <c r="Y35" s="3278" t="s">
        <v>2379</v>
      </c>
      <c r="Z35" s="1539" t="str">
        <f t="shared" si="15"/>
        <v>市政基础设施</v>
      </c>
      <c r="AA35" s="1536">
        <f t="shared" si="3"/>
        <v>1</v>
      </c>
      <c r="AB35" s="1536">
        <f t="shared" si="4"/>
        <v>1</v>
      </c>
      <c r="AC35" s="1536">
        <f t="shared" si="5"/>
        <v>1</v>
      </c>
    </row>
    <row r="36" spans="1:29" ht="15">
      <c r="A36" s="431"/>
      <c r="B36" s="381" t="s">
        <v>2482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8"/>
      <c r="Q36" s="1535" t="str">
        <f t="shared" si="11"/>
        <v>内部装修</v>
      </c>
      <c r="R36" s="714" t="s">
        <v>17</v>
      </c>
      <c r="S36" s="715">
        <f t="shared" si="12"/>
        <v>100</v>
      </c>
      <c r="T36" s="714" t="s">
        <v>17</v>
      </c>
      <c r="U36" s="715">
        <f t="shared" si="13"/>
        <v>100</v>
      </c>
      <c r="V36" s="714" t="s">
        <v>17</v>
      </c>
      <c r="W36" s="715">
        <f t="shared" si="14"/>
        <v>100</v>
      </c>
      <c r="X36" s="1538"/>
      <c r="Y36" s="3278"/>
      <c r="Z36" s="1539" t="str">
        <f t="shared" si="15"/>
        <v>内部装修</v>
      </c>
      <c r="AA36" s="1536">
        <f t="shared" si="3"/>
        <v>1</v>
      </c>
      <c r="AB36" s="1536">
        <f t="shared" si="4"/>
        <v>1</v>
      </c>
      <c r="AC36" s="1536">
        <f t="shared" si="5"/>
        <v>1</v>
      </c>
    </row>
    <row r="37" spans="1:29" ht="15">
      <c r="A37" s="431"/>
      <c r="B37" s="381" t="s">
        <v>2518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8"/>
      <c r="Q37" s="1535" t="str">
        <f t="shared" si="11"/>
        <v>内部装修状况</v>
      </c>
      <c r="R37" s="714" t="s">
        <v>17</v>
      </c>
      <c r="S37" s="715">
        <f t="shared" si="12"/>
        <v>100</v>
      </c>
      <c r="T37" s="714" t="s">
        <v>17</v>
      </c>
      <c r="U37" s="715">
        <f t="shared" si="13"/>
        <v>100</v>
      </c>
      <c r="V37" s="714" t="s">
        <v>17</v>
      </c>
      <c r="W37" s="715">
        <f t="shared" si="14"/>
        <v>100</v>
      </c>
      <c r="X37" s="1538"/>
      <c r="Y37" s="3278"/>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8"/>
      <c r="Q38" s="716">
        <f t="shared" si="11"/>
        <v>111</v>
      </c>
      <c r="R38" s="717" t="s">
        <v>17</v>
      </c>
      <c r="S38" s="718">
        <f t="shared" si="12"/>
        <v>100</v>
      </c>
      <c r="T38" s="717" t="s">
        <v>17</v>
      </c>
      <c r="U38" s="718">
        <f t="shared" si="13"/>
        <v>100</v>
      </c>
      <c r="V38" s="717" t="s">
        <v>17</v>
      </c>
      <c r="W38" s="718">
        <f t="shared" si="14"/>
        <v>100</v>
      </c>
      <c r="X38" s="719"/>
      <c r="Y38" s="3278"/>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8"/>
      <c r="Q39" s="1535">
        <f t="shared" si="11"/>
        <v>111</v>
      </c>
      <c r="R39" s="714" t="s">
        <v>17</v>
      </c>
      <c r="S39" s="715">
        <f t="shared" si="12"/>
        <v>100</v>
      </c>
      <c r="T39" s="714" t="s">
        <v>17</v>
      </c>
      <c r="U39" s="715">
        <f t="shared" si="13"/>
        <v>100</v>
      </c>
      <c r="V39" s="714" t="s">
        <v>17</v>
      </c>
      <c r="W39" s="715">
        <f t="shared" si="14"/>
        <v>100</v>
      </c>
      <c r="X39" s="1538"/>
      <c r="Y39" s="3278"/>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4"/>
      <c r="Q40" s="1535">
        <f t="shared" si="11"/>
        <v>111</v>
      </c>
      <c r="R40" s="714" t="s">
        <v>17</v>
      </c>
      <c r="S40" s="715">
        <f t="shared" si="12"/>
        <v>100</v>
      </c>
      <c r="T40" s="714" t="s">
        <v>17</v>
      </c>
      <c r="U40" s="715">
        <f t="shared" si="13"/>
        <v>100</v>
      </c>
      <c r="V40" s="714" t="s">
        <v>17</v>
      </c>
      <c r="W40" s="715">
        <f t="shared" si="14"/>
        <v>100</v>
      </c>
      <c r="X40" s="1538"/>
      <c r="Y40" s="3344"/>
      <c r="Z40" s="1539">
        <f t="shared" si="15"/>
        <v>111</v>
      </c>
      <c r="AA40" s="1536">
        <f t="shared" si="3"/>
        <v>1</v>
      </c>
      <c r="AB40" s="1536">
        <f t="shared" si="4"/>
        <v>1</v>
      </c>
      <c r="AC40" s="1536">
        <f t="shared" si="5"/>
        <v>1</v>
      </c>
    </row>
    <row r="41" spans="1:29" ht="15">
      <c r="A41" s="438" t="s">
        <v>2391</v>
      </c>
      <c r="B41" s="439"/>
      <c r="C41" s="1316" t="s">
        <v>1</v>
      </c>
      <c r="D41" s="1317"/>
      <c r="E41" s="1318"/>
      <c r="F41" s="1319"/>
      <c r="G41" s="1320"/>
      <c r="H41" s="1321"/>
      <c r="I41" s="1318"/>
      <c r="J41" s="1321"/>
      <c r="K41" s="723"/>
      <c r="L41" s="1057"/>
      <c r="M41" s="1058"/>
      <c r="N41" s="1045"/>
      <c r="O41" s="1058"/>
      <c r="P41" s="3273" t="str">
        <f>A41</f>
        <v>成交单价（元/平方米）</v>
      </c>
      <c r="Q41" s="3273"/>
      <c r="R41" s="3340">
        <f>E41</f>
        <v>0</v>
      </c>
      <c r="S41" s="3340"/>
      <c r="T41" s="3340">
        <f>G41</f>
        <v>0</v>
      </c>
      <c r="U41" s="3340"/>
      <c r="V41" s="3340">
        <f>I41</f>
        <v>0</v>
      </c>
      <c r="W41" s="3340"/>
      <c r="X41" s="699"/>
      <c r="Y41" s="721"/>
      <c r="Z41" s="699"/>
      <c r="AA41" s="699"/>
      <c r="AB41" s="699"/>
      <c r="AC41" s="699"/>
    </row>
    <row r="42" spans="1:29" ht="15.75" thickBot="1">
      <c r="A42" s="445" t="s">
        <v>2483</v>
      </c>
      <c r="B42" s="446"/>
      <c r="C42" s="1322" t="e">
        <f>R43</f>
        <v>#DIV/0!</v>
      </c>
      <c r="D42" s="2536" t="s">
        <v>2874</v>
      </c>
      <c r="E42" s="1323" t="e">
        <f>R42</f>
        <v>#DIV/0!</v>
      </c>
      <c r="F42" s="2537"/>
      <c r="G42" s="1322" t="e">
        <f>T42</f>
        <v>#DIV/0!</v>
      </c>
      <c r="H42" s="2537"/>
      <c r="I42" s="1323" t="e">
        <f>V42</f>
        <v>#DIV/0!</v>
      </c>
      <c r="J42" s="2537"/>
      <c r="K42" s="2539">
        <f>F42+H42+J42</f>
        <v>0</v>
      </c>
      <c r="L42" s="1057"/>
      <c r="M42" s="1058"/>
      <c r="N42" s="1045"/>
      <c r="O42" s="1058"/>
      <c r="P42" s="3273" t="str">
        <f>A42</f>
        <v>比较价值（元/平方米）</v>
      </c>
      <c r="Q42" s="3273"/>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9"/>
      <c r="Y42" s="699"/>
      <c r="Z42" s="699"/>
      <c r="AA42" s="699"/>
      <c r="AB42" s="699"/>
      <c r="AC42" s="699"/>
    </row>
    <row r="43" spans="1:29" ht="15.75" thickBot="1">
      <c r="A43" s="449" t="s">
        <v>2484</v>
      </c>
      <c r="B43" s="450"/>
      <c r="C43" s="1325" t="e">
        <f>R43</f>
        <v>#DIV/0!</v>
      </c>
      <c r="D43" s="1325"/>
      <c r="E43" s="1325"/>
      <c r="F43" s="1325"/>
      <c r="G43" s="1325"/>
      <c r="H43" s="1325"/>
      <c r="I43" s="1325"/>
      <c r="J43" s="1325"/>
      <c r="K43" s="724"/>
      <c r="L43" s="1057"/>
      <c r="M43" s="1058"/>
      <c r="N43" s="1058"/>
      <c r="O43" s="1058"/>
      <c r="P43" s="3267" t="str">
        <f>A43</f>
        <v>估价对象XX用房的比较价值（楼面单价，元/平方米）</v>
      </c>
      <c r="Q43" s="3268"/>
      <c r="R43" s="3339" t="e">
        <f>IF(F1="售价",ROUND(IF(D42="简单平均",AVERAGE(R42:V42),R42*F42+T42*H42+V42*J42),0),ROUND(IF(D42="简单平均",AVERAGE(R42:V42),R42*F42+T42*H42+V42*J42),1))</f>
        <v>#DIV/0!</v>
      </c>
      <c r="S43" s="3339"/>
      <c r="T43" s="3339"/>
      <c r="U43" s="3339"/>
      <c r="V43" s="3339"/>
      <c r="W43" s="333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2486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2487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2488</v>
      </c>
      <c r="B51" s="699"/>
      <c r="C51" s="704"/>
      <c r="D51" s="704"/>
      <c r="E51" s="704"/>
      <c r="F51" s="705"/>
      <c r="G51" s="705"/>
      <c r="H51" s="704"/>
      <c r="I51" s="704"/>
      <c r="J51" s="704"/>
      <c r="K51" s="1072"/>
      <c r="L51" s="1073"/>
      <c r="M51" s="1071"/>
      <c r="N51" s="1071"/>
      <c r="O51" s="1071"/>
      <c r="P51" s="460"/>
      <c r="Q51" s="461"/>
    </row>
    <row r="52" spans="1:17" s="465" customFormat="1" ht="15">
      <c r="A52" s="462" t="s">
        <v>2362</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2399</v>
      </c>
      <c r="B54" s="473"/>
      <c r="C54" s="474"/>
      <c r="D54" s="475"/>
      <c r="E54" s="475"/>
      <c r="F54" s="475"/>
      <c r="G54" s="475"/>
      <c r="H54" s="475"/>
      <c r="I54" s="475"/>
      <c r="J54" s="475"/>
      <c r="K54" s="475"/>
      <c r="L54" s="475"/>
      <c r="M54" s="476"/>
      <c r="N54" s="2997"/>
      <c r="O54" s="2998"/>
      <c r="P54" s="461"/>
      <c r="Q54" s="461"/>
    </row>
    <row r="55" spans="1:17" s="113" customFormat="1" ht="15">
      <c r="A55" s="478" t="s">
        <v>2364</v>
      </c>
      <c r="B55" s="467"/>
      <c r="C55" s="479" t="s">
        <v>2466</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2402</v>
      </c>
      <c r="B57" s="485" t="s">
        <v>2368</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2371</v>
      </c>
      <c r="C59" s="496" t="s">
        <v>2403</v>
      </c>
      <c r="D59" s="496" t="s">
        <v>2404</v>
      </c>
      <c r="E59" s="496" t="s">
        <v>2405</v>
      </c>
      <c r="F59" s="496" t="s">
        <v>2406</v>
      </c>
      <c r="G59" s="496" t="s">
        <v>2407</v>
      </c>
      <c r="H59" s="496" t="s">
        <v>2408</v>
      </c>
      <c r="I59" s="496" t="s">
        <v>2409</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2373</v>
      </c>
      <c r="B70" s="485" t="s">
        <v>2519</v>
      </c>
      <c r="C70" s="530" t="s">
        <v>2411</v>
      </c>
      <c r="D70" s="530" t="s">
        <v>2412</v>
      </c>
      <c r="E70" s="530" t="s">
        <v>2413</v>
      </c>
      <c r="F70" s="530" t="s">
        <v>2414</v>
      </c>
      <c r="G70" s="530" t="s">
        <v>2415</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2416</v>
      </c>
      <c r="C72" s="535" t="s">
        <v>2411</v>
      </c>
      <c r="D72" s="535" t="s">
        <v>2412</v>
      </c>
      <c r="E72" s="535" t="s">
        <v>2413</v>
      </c>
      <c r="F72" s="535" t="s">
        <v>2414</v>
      </c>
      <c r="G72" s="535" t="s">
        <v>2415</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2417</v>
      </c>
      <c r="C74" s="535" t="s">
        <v>2411</v>
      </c>
      <c r="D74" s="535" t="s">
        <v>2412</v>
      </c>
      <c r="E74" s="535" t="s">
        <v>2413</v>
      </c>
      <c r="F74" s="535" t="s">
        <v>2414</v>
      </c>
      <c r="G74" s="535" t="s">
        <v>2415</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2503</v>
      </c>
      <c r="C76" s="616" t="s">
        <v>2489</v>
      </c>
      <c r="D76" s="616" t="s">
        <v>2490</v>
      </c>
      <c r="E76" s="616" t="s">
        <v>2491</v>
      </c>
      <c r="F76" s="616" t="s">
        <v>2492</v>
      </c>
      <c r="G76" s="616" t="s">
        <v>2493</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2512</v>
      </c>
      <c r="C78" s="535" t="s">
        <v>2411</v>
      </c>
      <c r="D78" s="535" t="s">
        <v>2412</v>
      </c>
      <c r="E78" s="535" t="s">
        <v>2413</v>
      </c>
      <c r="F78" s="535" t="s">
        <v>2414</v>
      </c>
      <c r="G78" s="535" t="s">
        <v>2415</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2377</v>
      </c>
      <c r="B88" s="485" t="s">
        <v>2426</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2428</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2430</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1869</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2431</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2432</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2434</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2520</v>
      </c>
      <c r="C106" s="535" t="s">
        <v>2411</v>
      </c>
      <c r="D106" s="535" t="s">
        <v>2412</v>
      </c>
      <c r="E106" s="535" t="s">
        <v>2413</v>
      </c>
      <c r="F106" s="535" t="s">
        <v>2414</v>
      </c>
      <c r="G106" s="535" t="s">
        <v>2415</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2521</v>
      </c>
      <c r="B1" s="1390"/>
      <c r="C1" s="1391" t="s">
        <v>2344</v>
      </c>
      <c r="D1" s="1392"/>
      <c r="E1" s="1393"/>
      <c r="F1" s="2063"/>
      <c r="G1" s="1394" t="s">
        <v>2457</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2141</v>
      </c>
      <c r="B2" s="1326" t="e">
        <f ca="1">IF(C2="——",IF(B37="元/平方米",ROUND(C39*D3/10000,0),ROUND(F3*C39/10000,0)),IF(B37="元/平方米",ROUND(C39*D3/10000,0),ROUND(F3*C39/10000,0))-D2)</f>
        <v>#DIV/0!</v>
      </c>
      <c r="C2" s="2065"/>
      <c r="D2" s="1038" t="e">
        <f ca="1">SUMIF(INDIRECT("'"&amp;F2&amp;"'"&amp;"!A:A"),"承租人权益价值",INDIRECT("'"&amp;F2&amp;"'"&amp;"!c:c"))</f>
        <v>#REF!</v>
      </c>
      <c r="E2" s="2066" t="s">
        <v>2142</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2143</v>
      </c>
      <c r="B3" s="566" t="e">
        <f ca="1">IF(AND(C2="——",B37="元/平方米"),C39,ROUND(B2*10000/D3,0))</f>
        <v>#DIV/0!</v>
      </c>
      <c r="C3" s="360" t="s">
        <v>2458</v>
      </c>
      <c r="D3" s="359">
        <f>SUMIF('数据-汇总表'!$C19:$C33,D1,'数据-汇总表'!$E19:$E33)</f>
        <v>0</v>
      </c>
      <c r="E3" s="360" t="s">
        <v>2522</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2459</v>
      </c>
      <c r="B4" s="362"/>
      <c r="C4" s="3270" t="s">
        <v>2460</v>
      </c>
      <c r="D4" s="3283"/>
      <c r="E4" s="3284" t="s">
        <v>2461</v>
      </c>
      <c r="F4" s="3285"/>
      <c r="G4" s="3270" t="s">
        <v>2462</v>
      </c>
      <c r="H4" s="3283"/>
      <c r="I4" s="3270" t="s">
        <v>2463</v>
      </c>
      <c r="J4" s="3283"/>
      <c r="K4" s="567" t="s">
        <v>2464</v>
      </c>
      <c r="L4" s="2942"/>
      <c r="M4" s="2943"/>
      <c r="N4" s="2943"/>
      <c r="O4" s="2943"/>
      <c r="P4" s="3286" t="s">
        <v>2465</v>
      </c>
      <c r="Q4" s="3287"/>
      <c r="R4" s="3292" t="s">
        <v>2461</v>
      </c>
      <c r="S4" s="3293"/>
      <c r="T4" s="3292" t="s">
        <v>2462</v>
      </c>
      <c r="U4" s="3293"/>
      <c r="V4" s="3279" t="s">
        <v>2463</v>
      </c>
      <c r="W4" s="3279"/>
      <c r="X4" s="1538"/>
      <c r="Y4" s="3292" t="s">
        <v>2465</v>
      </c>
      <c r="Z4" s="3293"/>
      <c r="AA4" s="3280" t="s">
        <v>2461</v>
      </c>
      <c r="AB4" s="3281" t="s">
        <v>2462</v>
      </c>
      <c r="AC4" s="3280" t="s">
        <v>2463</v>
      </c>
    </row>
    <row r="5" spans="1:29" ht="15">
      <c r="A5" s="364"/>
      <c r="B5" s="365"/>
      <c r="C5" s="3300" t="s">
        <v>2356</v>
      </c>
      <c r="D5" s="3301"/>
      <c r="E5" s="3307" t="s">
        <v>2357</v>
      </c>
      <c r="F5" s="3308"/>
      <c r="G5" s="3300" t="s">
        <v>2358</v>
      </c>
      <c r="H5" s="3301"/>
      <c r="I5" s="3300" t="s">
        <v>2359</v>
      </c>
      <c r="J5" s="3301"/>
      <c r="K5" s="567"/>
      <c r="L5" s="2942"/>
      <c r="M5" s="2943"/>
      <c r="N5" s="2943"/>
      <c r="O5" s="2943"/>
      <c r="P5" s="3288"/>
      <c r="Q5" s="3289"/>
      <c r="R5" s="3294"/>
      <c r="S5" s="3295"/>
      <c r="T5" s="3294"/>
      <c r="U5" s="3295"/>
      <c r="V5" s="3279"/>
      <c r="W5" s="3279"/>
      <c r="X5" s="1538"/>
      <c r="Y5" s="3294"/>
      <c r="Z5" s="3295"/>
      <c r="AA5" s="3281"/>
      <c r="AB5" s="3281"/>
      <c r="AC5" s="3281"/>
    </row>
    <row r="6" spans="1:29" ht="15.75" thickBot="1">
      <c r="A6" s="366"/>
      <c r="B6" s="367"/>
      <c r="C6" s="3298" t="s">
        <v>2360</v>
      </c>
      <c r="D6" s="3299"/>
      <c r="E6" s="3305" t="s">
        <v>2360</v>
      </c>
      <c r="F6" s="3306"/>
      <c r="G6" s="3298" t="s">
        <v>2360</v>
      </c>
      <c r="H6" s="3299"/>
      <c r="I6" s="3298" t="s">
        <v>2360</v>
      </c>
      <c r="J6" s="3299"/>
      <c r="K6" s="567" t="s">
        <v>2361</v>
      </c>
      <c r="L6" s="2942"/>
      <c r="M6" s="2943"/>
      <c r="N6" s="2943"/>
      <c r="O6" s="2943"/>
      <c r="P6" s="3290"/>
      <c r="Q6" s="3291"/>
      <c r="R6" s="3294"/>
      <c r="S6" s="3295"/>
      <c r="T6" s="3296"/>
      <c r="U6" s="3297"/>
      <c r="V6" s="3279"/>
      <c r="W6" s="3279"/>
      <c r="X6" s="1538"/>
      <c r="Y6" s="3296"/>
      <c r="Z6" s="3297"/>
      <c r="AA6" s="3282"/>
      <c r="AB6" s="3282"/>
      <c r="AC6" s="3282"/>
    </row>
    <row r="7" spans="1:29" s="113" customFormat="1" ht="15.75" thickBot="1">
      <c r="A7" s="368" t="s">
        <v>2362</v>
      </c>
      <c r="B7" s="369"/>
      <c r="C7" s="370">
        <f>'数据-取费表'!B2</f>
        <v>44322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02" t="s">
        <v>2363</v>
      </c>
      <c r="Q7" s="3304"/>
      <c r="R7" s="710" t="s">
        <v>17</v>
      </c>
      <c r="S7" s="711">
        <f t="shared" ref="S7:S14" si="0">F7</f>
        <v>0</v>
      </c>
      <c r="T7" s="710" t="s">
        <v>17</v>
      </c>
      <c r="U7" s="711">
        <f t="shared" ref="U7:U14" si="1">H7</f>
        <v>0</v>
      </c>
      <c r="V7" s="710" t="s">
        <v>17</v>
      </c>
      <c r="W7" s="711">
        <f t="shared" ref="W7:W14" si="2">J7</f>
        <v>0</v>
      </c>
      <c r="X7" s="712"/>
      <c r="Y7" s="3302" t="s">
        <v>2363</v>
      </c>
      <c r="Z7" s="3303"/>
      <c r="AA7" s="713" t="e">
        <f>D7/F7</f>
        <v>#DIV/0!</v>
      </c>
      <c r="AB7" s="713" t="e">
        <f>D7/H7</f>
        <v>#DIV/0!</v>
      </c>
      <c r="AC7" s="713" t="e">
        <f>D7/J7</f>
        <v>#DIV/0!</v>
      </c>
    </row>
    <row r="8" spans="1:29" s="113" customFormat="1" ht="15.75" thickBot="1">
      <c r="A8" s="368" t="s">
        <v>2364</v>
      </c>
      <c r="B8" s="369"/>
      <c r="C8" s="374" t="s">
        <v>2466</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02" t="s">
        <v>2366</v>
      </c>
      <c r="Q8" s="3303"/>
      <c r="R8" s="710" t="s">
        <v>17</v>
      </c>
      <c r="S8" s="711">
        <f t="shared" si="0"/>
        <v>0</v>
      </c>
      <c r="T8" s="710" t="s">
        <v>17</v>
      </c>
      <c r="U8" s="711">
        <f t="shared" si="1"/>
        <v>0</v>
      </c>
      <c r="V8" s="710" t="s">
        <v>17</v>
      </c>
      <c r="W8" s="711">
        <f t="shared" si="2"/>
        <v>0</v>
      </c>
      <c r="X8" s="712"/>
      <c r="Y8" s="3302" t="s">
        <v>2366</v>
      </c>
      <c r="Z8" s="3303"/>
      <c r="AA8" s="713" t="e">
        <f t="shared" ref="AA8:AA36" si="3">D8/F8</f>
        <v>#DIV/0!</v>
      </c>
      <c r="AB8" s="713" t="e">
        <f t="shared" ref="AB8:AB36" si="4">D8/H8</f>
        <v>#DIV/0!</v>
      </c>
      <c r="AC8" s="713" t="e">
        <f t="shared" ref="AC8:AC36" si="5">D8/J8</f>
        <v>#DIV/0!</v>
      </c>
    </row>
    <row r="9" spans="1:29" s="113" customFormat="1">
      <c r="A9" s="64" t="s">
        <v>2367</v>
      </c>
      <c r="B9" s="596" t="s">
        <v>2368</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3" t="s">
        <v>2369</v>
      </c>
      <c r="Q9" s="1526" t="str">
        <f t="shared" ref="Q9:Q14" si="6">B9</f>
        <v>用途</v>
      </c>
      <c r="R9" s="710" t="s">
        <v>17</v>
      </c>
      <c r="S9" s="711">
        <f t="shared" si="0"/>
        <v>100</v>
      </c>
      <c r="T9" s="710" t="s">
        <v>17</v>
      </c>
      <c r="U9" s="711">
        <f t="shared" si="1"/>
        <v>100</v>
      </c>
      <c r="V9" s="710" t="s">
        <v>17</v>
      </c>
      <c r="W9" s="711">
        <f t="shared" si="2"/>
        <v>100</v>
      </c>
      <c r="X9" s="712"/>
      <c r="Y9" s="3167" t="s">
        <v>2370</v>
      </c>
      <c r="Z9" s="55" t="str">
        <f t="shared" ref="Z9:Z14" si="7">Q9</f>
        <v>用途</v>
      </c>
      <c r="AA9" s="713">
        <f t="shared" si="3"/>
        <v>1</v>
      </c>
      <c r="AB9" s="713">
        <f t="shared" si="4"/>
        <v>1</v>
      </c>
      <c r="AC9" s="713">
        <f t="shared" si="5"/>
        <v>1</v>
      </c>
    </row>
    <row r="10" spans="1:29" s="386" customFormat="1" ht="27">
      <c r="A10" s="597"/>
      <c r="B10" s="598" t="s">
        <v>2371</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3"/>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3"/>
      <c r="Q11" s="1526">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3"/>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3"/>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61" t="s">
        <v>2373</v>
      </c>
      <c r="B14" s="585" t="s">
        <v>2523</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75" t="s">
        <v>2374</v>
      </c>
      <c r="Q14" s="1535" t="str">
        <f t="shared" si="6"/>
        <v>交通便捷度</v>
      </c>
      <c r="R14" s="714" t="s">
        <v>17</v>
      </c>
      <c r="S14" s="715">
        <f t="shared" si="0"/>
        <v>100</v>
      </c>
      <c r="T14" s="714" t="s">
        <v>17</v>
      </c>
      <c r="U14" s="715">
        <f t="shared" si="1"/>
        <v>100</v>
      </c>
      <c r="V14" s="714" t="s">
        <v>17</v>
      </c>
      <c r="W14" s="715">
        <f t="shared" si="2"/>
        <v>100</v>
      </c>
      <c r="X14" s="1538"/>
      <c r="Y14" s="3275" t="s">
        <v>2374</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76"/>
      <c r="Q15" s="1535"/>
      <c r="R15" s="714"/>
      <c r="S15" s="715"/>
      <c r="T15" s="714"/>
      <c r="U15" s="715"/>
      <c r="V15" s="714"/>
      <c r="W15" s="715"/>
      <c r="X15" s="1538"/>
      <c r="Y15" s="3276"/>
      <c r="Z15" s="1539"/>
      <c r="AA15" s="1536">
        <v>1</v>
      </c>
      <c r="AB15" s="1536">
        <v>1</v>
      </c>
      <c r="AC15" s="1536">
        <v>1</v>
      </c>
    </row>
    <row r="16" spans="1:29" ht="42.75">
      <c r="A16" s="364"/>
      <c r="B16" s="587" t="s">
        <v>2502</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76"/>
      <c r="Q16" s="1535" t="str">
        <f>B16</f>
        <v>公共配套设施</v>
      </c>
      <c r="R16" s="714" t="s">
        <v>17</v>
      </c>
      <c r="S16" s="715">
        <f>F16</f>
        <v>100</v>
      </c>
      <c r="T16" s="714" t="s">
        <v>17</v>
      </c>
      <c r="U16" s="715">
        <f>H16</f>
        <v>100</v>
      </c>
      <c r="V16" s="714" t="s">
        <v>17</v>
      </c>
      <c r="W16" s="715">
        <f>J16</f>
        <v>100</v>
      </c>
      <c r="X16" s="1538"/>
      <c r="Y16" s="3276"/>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76"/>
      <c r="Q17" s="1535"/>
      <c r="R17" s="714"/>
      <c r="S17" s="715"/>
      <c r="T17" s="714"/>
      <c r="U17" s="715"/>
      <c r="V17" s="714"/>
      <c r="W17" s="715"/>
      <c r="X17" s="1538"/>
      <c r="Y17" s="3276"/>
      <c r="Z17" s="1539"/>
      <c r="AA17" s="1536">
        <v>1</v>
      </c>
      <c r="AB17" s="1536">
        <v>1</v>
      </c>
      <c r="AC17" s="1536">
        <v>1</v>
      </c>
    </row>
    <row r="18" spans="1:29" ht="28.5">
      <c r="A18" s="364"/>
      <c r="B18" s="589" t="s">
        <v>2503</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76"/>
      <c r="Q18" s="1535" t="str">
        <f>B18</f>
        <v>基础设施水平</v>
      </c>
      <c r="R18" s="714" t="s">
        <v>17</v>
      </c>
      <c r="S18" s="715">
        <f>F18</f>
        <v>100</v>
      </c>
      <c r="T18" s="714" t="s">
        <v>17</v>
      </c>
      <c r="U18" s="715">
        <f>H18</f>
        <v>100</v>
      </c>
      <c r="V18" s="714" t="s">
        <v>17</v>
      </c>
      <c r="W18" s="715">
        <f>J18</f>
        <v>100</v>
      </c>
      <c r="X18" s="1538"/>
      <c r="Y18" s="3276"/>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76"/>
      <c r="Q19" s="1535"/>
      <c r="R19" s="714"/>
      <c r="S19" s="715"/>
      <c r="T19" s="714"/>
      <c r="U19" s="715"/>
      <c r="V19" s="714"/>
      <c r="W19" s="715"/>
      <c r="X19" s="1538"/>
      <c r="Y19" s="3276"/>
      <c r="Z19" s="1539"/>
      <c r="AA19" s="1536">
        <v>1</v>
      </c>
      <c r="AB19" s="1536">
        <v>1</v>
      </c>
      <c r="AC19" s="1536">
        <v>1</v>
      </c>
    </row>
    <row r="20" spans="1:29" ht="57">
      <c r="A20" s="364"/>
      <c r="B20" s="587" t="s">
        <v>2524</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76"/>
      <c r="Q20" s="1535" t="str">
        <f>B20</f>
        <v>自然及人文环境</v>
      </c>
      <c r="R20" s="714" t="s">
        <v>17</v>
      </c>
      <c r="S20" s="715">
        <f>F20</f>
        <v>100</v>
      </c>
      <c r="T20" s="714" t="s">
        <v>17</v>
      </c>
      <c r="U20" s="715">
        <f>H20</f>
        <v>100</v>
      </c>
      <c r="V20" s="714" t="s">
        <v>17</v>
      </c>
      <c r="W20" s="715">
        <f>J20</f>
        <v>100</v>
      </c>
      <c r="X20" s="1538"/>
      <c r="Y20" s="3276"/>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76"/>
      <c r="Q21" s="1535"/>
      <c r="R21" s="714"/>
      <c r="S21" s="715"/>
      <c r="T21" s="714"/>
      <c r="U21" s="715"/>
      <c r="V21" s="714"/>
      <c r="W21" s="715"/>
      <c r="X21" s="1538"/>
      <c r="Y21" s="3276"/>
      <c r="Z21" s="1539"/>
      <c r="AA21" s="1536">
        <v>1</v>
      </c>
      <c r="AB21" s="1536">
        <v>1</v>
      </c>
      <c r="AC21" s="1536">
        <v>1</v>
      </c>
    </row>
    <row r="22" spans="1:29" ht="15">
      <c r="A22" s="364"/>
      <c r="B22" s="587" t="s">
        <v>2525</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76"/>
      <c r="Q22" s="1535" t="str">
        <f>B22</f>
        <v>楼层</v>
      </c>
      <c r="R22" s="714" t="s">
        <v>17</v>
      </c>
      <c r="S22" s="715">
        <f>F22</f>
        <v>100</v>
      </c>
      <c r="T22" s="714" t="s">
        <v>17</v>
      </c>
      <c r="U22" s="715">
        <f>H22</f>
        <v>100</v>
      </c>
      <c r="V22" s="714" t="s">
        <v>17</v>
      </c>
      <c r="W22" s="715">
        <f>J22</f>
        <v>100</v>
      </c>
      <c r="X22" s="1538"/>
      <c r="Y22" s="3276"/>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76"/>
      <c r="Q23" s="1535">
        <f>B23</f>
        <v>111</v>
      </c>
      <c r="R23" s="714" t="s">
        <v>17</v>
      </c>
      <c r="S23" s="715">
        <f>F23</f>
        <v>100</v>
      </c>
      <c r="T23" s="714" t="s">
        <v>17</v>
      </c>
      <c r="U23" s="715">
        <f>H23</f>
        <v>100</v>
      </c>
      <c r="V23" s="714" t="s">
        <v>17</v>
      </c>
      <c r="W23" s="715">
        <f>J23</f>
        <v>100</v>
      </c>
      <c r="X23" s="1538"/>
      <c r="Y23" s="3276"/>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76"/>
      <c r="Q24" s="1535">
        <f t="shared" ref="Q24:Q36" si="11">B24</f>
        <v>111</v>
      </c>
      <c r="R24" s="714" t="s">
        <v>17</v>
      </c>
      <c r="S24" s="715">
        <f>F24</f>
        <v>100</v>
      </c>
      <c r="T24" s="714" t="s">
        <v>17</v>
      </c>
      <c r="U24" s="715">
        <f>H24</f>
        <v>100</v>
      </c>
      <c r="V24" s="714" t="s">
        <v>17</v>
      </c>
      <c r="W24" s="715">
        <f>J24</f>
        <v>100</v>
      </c>
      <c r="X24" s="1538"/>
      <c r="Y24" s="3276"/>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76"/>
      <c r="Q25" s="1526">
        <f t="shared" si="11"/>
        <v>111</v>
      </c>
      <c r="R25" s="710" t="s">
        <v>17</v>
      </c>
      <c r="S25" s="711">
        <f>F25</f>
        <v>100</v>
      </c>
      <c r="T25" s="710" t="s">
        <v>17</v>
      </c>
      <c r="U25" s="711">
        <f>H25</f>
        <v>100</v>
      </c>
      <c r="V25" s="710" t="s">
        <v>17</v>
      </c>
      <c r="W25" s="711">
        <f>J25</f>
        <v>100</v>
      </c>
      <c r="X25" s="712"/>
      <c r="Y25" s="3276"/>
      <c r="Z25" s="55">
        <f>Q25</f>
        <v>111</v>
      </c>
      <c r="AA25" s="1536">
        <f>D25/F25</f>
        <v>1</v>
      </c>
      <c r="AB25" s="1536">
        <f>D25/H25</f>
        <v>1</v>
      </c>
      <c r="AC25" s="1536">
        <f>D25/J25</f>
        <v>1</v>
      </c>
    </row>
    <row r="26" spans="1:29" ht="28.5">
      <c r="A26" s="608" t="s">
        <v>2377</v>
      </c>
      <c r="B26" s="66" t="s">
        <v>2526</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77" t="s">
        <v>2379</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78" t="s">
        <v>2379</v>
      </c>
      <c r="Z26" s="1539" t="str">
        <f t="shared" ref="Z26:Z36" si="15">Q26</f>
        <v>配套类型</v>
      </c>
      <c r="AA26" s="1536">
        <f t="shared" si="3"/>
        <v>1</v>
      </c>
      <c r="AB26" s="1536">
        <f t="shared" si="4"/>
        <v>1</v>
      </c>
      <c r="AC26" s="1536">
        <f t="shared" si="5"/>
        <v>1</v>
      </c>
    </row>
    <row r="27" spans="1:29" s="430" customFormat="1" ht="15">
      <c r="A27" s="609"/>
      <c r="B27" s="610" t="s">
        <v>2527</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78"/>
      <c r="Q27" s="716" t="str">
        <f t="shared" si="11"/>
        <v>项目停车位配比</v>
      </c>
      <c r="R27" s="717" t="s">
        <v>17</v>
      </c>
      <c r="S27" s="718">
        <f t="shared" si="12"/>
        <v>100</v>
      </c>
      <c r="T27" s="717" t="s">
        <v>17</v>
      </c>
      <c r="U27" s="718">
        <f t="shared" si="13"/>
        <v>100</v>
      </c>
      <c r="V27" s="717" t="s">
        <v>17</v>
      </c>
      <c r="W27" s="718">
        <f t="shared" si="14"/>
        <v>100</v>
      </c>
      <c r="X27" s="719"/>
      <c r="Y27" s="3278"/>
      <c r="Z27" s="720" t="str">
        <f t="shared" si="15"/>
        <v>项目停车位配比</v>
      </c>
      <c r="AA27" s="1536">
        <f t="shared" si="3"/>
        <v>1</v>
      </c>
      <c r="AB27" s="1536">
        <f t="shared" si="4"/>
        <v>1</v>
      </c>
      <c r="AC27" s="1536">
        <f t="shared" si="5"/>
        <v>1</v>
      </c>
    </row>
    <row r="28" spans="1:29" ht="15">
      <c r="A28" s="612"/>
      <c r="B28" s="610" t="s">
        <v>2528</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78"/>
      <c r="Q28" s="1535" t="str">
        <f t="shared" si="11"/>
        <v>公共部分装修</v>
      </c>
      <c r="R28" s="714" t="s">
        <v>17</v>
      </c>
      <c r="S28" s="715">
        <f t="shared" si="12"/>
        <v>100</v>
      </c>
      <c r="T28" s="714" t="s">
        <v>17</v>
      </c>
      <c r="U28" s="715">
        <f t="shared" si="13"/>
        <v>100</v>
      </c>
      <c r="V28" s="714" t="s">
        <v>17</v>
      </c>
      <c r="W28" s="715">
        <f t="shared" si="14"/>
        <v>100</v>
      </c>
      <c r="X28" s="1538"/>
      <c r="Y28" s="3278"/>
      <c r="Z28" s="1539" t="str">
        <f t="shared" si="15"/>
        <v>公共部分装修</v>
      </c>
      <c r="AA28" s="1536">
        <f t="shared" si="3"/>
        <v>1</v>
      </c>
      <c r="AB28" s="1536">
        <f t="shared" si="4"/>
        <v>1</v>
      </c>
      <c r="AC28" s="1536">
        <f t="shared" si="5"/>
        <v>1</v>
      </c>
    </row>
    <row r="29" spans="1:29" ht="15">
      <c r="A29" s="612"/>
      <c r="B29" s="610" t="s">
        <v>2529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78"/>
      <c r="Q29" s="1535" t="str">
        <f t="shared" si="11"/>
        <v>成新率</v>
      </c>
      <c r="R29" s="714" t="s">
        <v>17</v>
      </c>
      <c r="S29" s="715" t="e">
        <f t="shared" si="12"/>
        <v>#N/A</v>
      </c>
      <c r="T29" s="714" t="s">
        <v>17</v>
      </c>
      <c r="U29" s="715" t="e">
        <f t="shared" si="13"/>
        <v>#N/A</v>
      </c>
      <c r="V29" s="714" t="s">
        <v>17</v>
      </c>
      <c r="W29" s="715" t="e">
        <f t="shared" si="14"/>
        <v>#N/A</v>
      </c>
      <c r="X29" s="1538"/>
      <c r="Y29" s="3278"/>
      <c r="Z29" s="1539" t="str">
        <f t="shared" si="15"/>
        <v>成新率</v>
      </c>
      <c r="AA29" s="1536" t="e">
        <f t="shared" si="3"/>
        <v>#N/A</v>
      </c>
      <c r="AB29" s="1536" t="e">
        <f t="shared" si="4"/>
        <v>#N/A</v>
      </c>
      <c r="AC29" s="1536" t="e">
        <f t="shared" si="5"/>
        <v>#N/A</v>
      </c>
    </row>
    <row r="30" spans="1:29" ht="15">
      <c r="A30" s="612"/>
      <c r="B30" s="610" t="s">
        <v>2530</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78"/>
      <c r="Q30" s="1535" t="str">
        <f t="shared" si="11"/>
        <v>物业等级</v>
      </c>
      <c r="R30" s="714" t="s">
        <v>17</v>
      </c>
      <c r="S30" s="715">
        <f t="shared" si="12"/>
        <v>100</v>
      </c>
      <c r="T30" s="714" t="s">
        <v>17</v>
      </c>
      <c r="U30" s="715">
        <f t="shared" si="13"/>
        <v>100</v>
      </c>
      <c r="V30" s="714" t="s">
        <v>17</v>
      </c>
      <c r="W30" s="715">
        <f t="shared" si="14"/>
        <v>100</v>
      </c>
      <c r="X30" s="1538"/>
      <c r="Y30" s="3278"/>
      <c r="Z30" s="1539" t="str">
        <f t="shared" si="15"/>
        <v>物业等级</v>
      </c>
      <c r="AA30" s="1536">
        <f t="shared" si="3"/>
        <v>1</v>
      </c>
      <c r="AB30" s="1536">
        <f t="shared" si="4"/>
        <v>1</v>
      </c>
      <c r="AC30" s="1536">
        <f t="shared" si="5"/>
        <v>1</v>
      </c>
    </row>
    <row r="31" spans="1:29" s="113" customFormat="1" ht="15">
      <c r="A31" s="614"/>
      <c r="B31" s="610" t="s">
        <v>2531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78"/>
      <c r="Q31" s="1526" t="str">
        <f t="shared" si="11"/>
        <v>停车位面积</v>
      </c>
      <c r="R31" s="710" t="s">
        <v>17</v>
      </c>
      <c r="S31" s="711" t="e">
        <f t="shared" si="12"/>
        <v>#N/A</v>
      </c>
      <c r="T31" s="710" t="s">
        <v>17</v>
      </c>
      <c r="U31" s="711" t="e">
        <f t="shared" si="13"/>
        <v>#N/A</v>
      </c>
      <c r="V31" s="710" t="s">
        <v>17</v>
      </c>
      <c r="W31" s="711" t="e">
        <f t="shared" si="14"/>
        <v>#N/A</v>
      </c>
      <c r="X31" s="712"/>
      <c r="Y31" s="3278"/>
      <c r="Z31" s="55" t="str">
        <f t="shared" si="15"/>
        <v>停车位面积</v>
      </c>
      <c r="AA31" s="713" t="e">
        <f t="shared" si="3"/>
        <v>#N/A</v>
      </c>
      <c r="AB31" s="713" t="e">
        <f t="shared" si="4"/>
        <v>#N/A</v>
      </c>
      <c r="AC31" s="713" t="e">
        <f t="shared" si="5"/>
        <v>#N/A</v>
      </c>
    </row>
    <row r="32" spans="1:29" ht="15">
      <c r="A32" s="612"/>
      <c r="B32" s="610" t="s">
        <v>2532</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78" t="s">
        <v>2379</v>
      </c>
      <c r="Q32" s="1535" t="str">
        <f t="shared" si="11"/>
        <v>车位类型</v>
      </c>
      <c r="R32" s="714" t="s">
        <v>17</v>
      </c>
      <c r="S32" s="715">
        <f t="shared" si="12"/>
        <v>100</v>
      </c>
      <c r="T32" s="714" t="s">
        <v>17</v>
      </c>
      <c r="U32" s="715">
        <f t="shared" si="13"/>
        <v>100</v>
      </c>
      <c r="V32" s="714" t="s">
        <v>17</v>
      </c>
      <c r="W32" s="715">
        <f t="shared" si="14"/>
        <v>100</v>
      </c>
      <c r="X32" s="1538"/>
      <c r="Y32" s="3278" t="s">
        <v>2379</v>
      </c>
      <c r="Z32" s="1539" t="str">
        <f t="shared" si="15"/>
        <v>车位类型</v>
      </c>
      <c r="AA32" s="1536">
        <f t="shared" si="3"/>
        <v>1</v>
      </c>
      <c r="AB32" s="1536">
        <f t="shared" si="4"/>
        <v>1</v>
      </c>
      <c r="AC32" s="1536">
        <f t="shared" si="5"/>
        <v>1</v>
      </c>
    </row>
    <row r="33" spans="1:29" ht="15">
      <c r="A33" s="612"/>
      <c r="B33" s="610" t="s">
        <v>2533</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78"/>
      <c r="Q33" s="1535" t="str">
        <f t="shared" si="11"/>
        <v>是否直接入户</v>
      </c>
      <c r="R33" s="714" t="s">
        <v>17</v>
      </c>
      <c r="S33" s="715">
        <f t="shared" si="12"/>
        <v>100</v>
      </c>
      <c r="T33" s="714" t="s">
        <v>17</v>
      </c>
      <c r="U33" s="715">
        <f t="shared" si="13"/>
        <v>100</v>
      </c>
      <c r="V33" s="714" t="s">
        <v>17</v>
      </c>
      <c r="W33" s="715">
        <f t="shared" si="14"/>
        <v>100</v>
      </c>
      <c r="X33" s="1538"/>
      <c r="Y33" s="3278"/>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78"/>
      <c r="Q34" s="1535">
        <f t="shared" si="11"/>
        <v>111</v>
      </c>
      <c r="R34" s="714" t="s">
        <v>17</v>
      </c>
      <c r="S34" s="715">
        <f t="shared" si="12"/>
        <v>100</v>
      </c>
      <c r="T34" s="714" t="s">
        <v>17</v>
      </c>
      <c r="U34" s="715">
        <f t="shared" si="13"/>
        <v>100</v>
      </c>
      <c r="V34" s="714" t="s">
        <v>17</v>
      </c>
      <c r="W34" s="715">
        <f t="shared" si="14"/>
        <v>100</v>
      </c>
      <c r="X34" s="1538"/>
      <c r="Y34" s="3278"/>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78"/>
      <c r="Q35" s="716">
        <f t="shared" si="11"/>
        <v>111</v>
      </c>
      <c r="R35" s="717" t="s">
        <v>17</v>
      </c>
      <c r="S35" s="718">
        <f t="shared" si="12"/>
        <v>100</v>
      </c>
      <c r="T35" s="717" t="s">
        <v>17</v>
      </c>
      <c r="U35" s="718">
        <f t="shared" si="13"/>
        <v>100</v>
      </c>
      <c r="V35" s="717" t="s">
        <v>17</v>
      </c>
      <c r="W35" s="718">
        <f t="shared" si="14"/>
        <v>100</v>
      </c>
      <c r="X35" s="719"/>
      <c r="Y35" s="3278"/>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78"/>
      <c r="Q36" s="1535">
        <f t="shared" si="11"/>
        <v>111</v>
      </c>
      <c r="R36" s="714" t="s">
        <v>17</v>
      </c>
      <c r="S36" s="715">
        <f t="shared" si="12"/>
        <v>100</v>
      </c>
      <c r="T36" s="714" t="s">
        <v>17</v>
      </c>
      <c r="U36" s="715">
        <f t="shared" si="13"/>
        <v>100</v>
      </c>
      <c r="V36" s="714" t="s">
        <v>17</v>
      </c>
      <c r="W36" s="715">
        <f t="shared" si="14"/>
        <v>100</v>
      </c>
      <c r="X36" s="1538"/>
      <c r="Y36" s="3278"/>
      <c r="Z36" s="1539">
        <f t="shared" si="15"/>
        <v>111</v>
      </c>
      <c r="AA36" s="1536">
        <f t="shared" si="3"/>
        <v>1</v>
      </c>
      <c r="AB36" s="1536">
        <f t="shared" si="4"/>
        <v>1</v>
      </c>
      <c r="AC36" s="1536">
        <f t="shared" si="5"/>
        <v>1</v>
      </c>
    </row>
    <row r="37" spans="1:29" ht="15">
      <c r="A37" s="438" t="s">
        <v>2534</v>
      </c>
      <c r="B37" s="2157" t="s">
        <v>2535</v>
      </c>
      <c r="C37" s="1316" t="s">
        <v>1</v>
      </c>
      <c r="D37" s="1317"/>
      <c r="E37" s="1318"/>
      <c r="F37" s="1319"/>
      <c r="G37" s="1320"/>
      <c r="H37" s="1321"/>
      <c r="I37" s="1318"/>
      <c r="J37" s="1321"/>
      <c r="K37" s="576"/>
      <c r="L37" s="2951"/>
      <c r="M37" s="2952"/>
      <c r="N37" s="2943"/>
      <c r="O37" s="2952"/>
      <c r="P37" s="3273" t="str">
        <f>A37</f>
        <v>成交单价</v>
      </c>
      <c r="Q37" s="3273"/>
      <c r="R37" s="3340">
        <f>E37</f>
        <v>0</v>
      </c>
      <c r="S37" s="3340"/>
      <c r="T37" s="3340">
        <f>G37</f>
        <v>0</v>
      </c>
      <c r="U37" s="3340"/>
      <c r="V37" s="3340">
        <f>I37</f>
        <v>0</v>
      </c>
      <c r="W37" s="3340"/>
      <c r="X37" s="699"/>
      <c r="Y37" s="721"/>
      <c r="Z37" s="699"/>
      <c r="AA37" s="699"/>
      <c r="AB37" s="699"/>
      <c r="AC37" s="699"/>
    </row>
    <row r="38" spans="1:29" ht="15.75" thickBot="1">
      <c r="A38" s="445" t="s">
        <v>2536</v>
      </c>
      <c r="B38" s="446" t="str">
        <f>B37</f>
        <v>元/车位</v>
      </c>
      <c r="C38" s="1322" t="e">
        <f>R39</f>
        <v>#DIV/0!</v>
      </c>
      <c r="D38" s="2536" t="s">
        <v>2874</v>
      </c>
      <c r="E38" s="1323" t="e">
        <f>R38</f>
        <v>#DIV/0!</v>
      </c>
      <c r="F38" s="2537"/>
      <c r="G38" s="1322" t="e">
        <f>T38</f>
        <v>#DIV/0!</v>
      </c>
      <c r="H38" s="2537"/>
      <c r="I38" s="1323" t="e">
        <f>V38</f>
        <v>#DIV/0!</v>
      </c>
      <c r="J38" s="2537"/>
      <c r="K38" s="2539">
        <f>F38+H38+J38</f>
        <v>0</v>
      </c>
      <c r="L38" s="2951"/>
      <c r="M38" s="2952"/>
      <c r="N38" s="2952"/>
      <c r="O38" s="2952"/>
      <c r="P38" s="3273" t="str">
        <f>A38</f>
        <v>比较价值（元/平方米）</v>
      </c>
      <c r="Q38" s="3273"/>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699"/>
      <c r="Y38" s="699"/>
      <c r="Z38" s="699"/>
      <c r="AA38" s="699"/>
      <c r="AB38" s="699"/>
      <c r="AC38" s="699"/>
    </row>
    <row r="39" spans="1:29" ht="15.75" thickBot="1">
      <c r="A39" s="449" t="s">
        <v>2537</v>
      </c>
      <c r="B39" s="450"/>
      <c r="C39" s="1325" t="e">
        <f>R39</f>
        <v>#DIV/0!</v>
      </c>
      <c r="D39" s="1325"/>
      <c r="E39" s="1325"/>
      <c r="F39" s="1325"/>
      <c r="G39" s="1325"/>
      <c r="H39" s="1325"/>
      <c r="I39" s="1325"/>
      <c r="J39" s="1325"/>
      <c r="K39" s="577"/>
      <c r="L39" s="2951"/>
      <c r="M39" s="2952"/>
      <c r="N39" s="2952"/>
      <c r="O39" s="2952"/>
      <c r="P39" s="3267" t="str">
        <f>A39</f>
        <v>估价对象XX用房的比较价值（楼面单价，元/平方米）</v>
      </c>
      <c r="Q39" s="3268"/>
      <c r="R39" s="3362" t="e">
        <f>IF(F1="售价",ROUND(IF(D38="简单平均",AVERAGE(R38:W38),R38*F38+T38*H38+V38*J38),0),ROUND(IF(D38="简单平均",AVERAGE(R38:V38),R38*F38+T38*H38+V38*J38),1))</f>
        <v>#DIV/0!</v>
      </c>
      <c r="S39" s="3362"/>
      <c r="T39" s="3362"/>
      <c r="U39" s="3362"/>
      <c r="V39" s="3362"/>
      <c r="W39" s="3362"/>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2538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2539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2541</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2542</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2399</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2364</v>
      </c>
      <c r="B51" s="467"/>
      <c r="C51" s="479" t="s">
        <v>2466</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2402</v>
      </c>
      <c r="B53" s="485" t="s">
        <v>2368</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2371</v>
      </c>
      <c r="C55" s="496" t="s">
        <v>2403</v>
      </c>
      <c r="D55" s="496" t="s">
        <v>2404</v>
      </c>
      <c r="E55" s="496" t="s">
        <v>2405</v>
      </c>
      <c r="F55" s="496" t="s">
        <v>2406</v>
      </c>
      <c r="G55" s="496" t="s">
        <v>2407</v>
      </c>
      <c r="H55" s="496" t="s">
        <v>2408</v>
      </c>
      <c r="I55" s="496" t="s">
        <v>2409</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2373</v>
      </c>
      <c r="B63" s="485" t="s">
        <v>2416</v>
      </c>
      <c r="C63" s="530" t="s">
        <v>2411</v>
      </c>
      <c r="D63" s="530" t="s">
        <v>2412</v>
      </c>
      <c r="E63" s="530" t="s">
        <v>2413</v>
      </c>
      <c r="F63" s="530" t="s">
        <v>2414</v>
      </c>
      <c r="G63" s="530" t="s">
        <v>2415</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2417</v>
      </c>
      <c r="C65" s="535" t="s">
        <v>2411</v>
      </c>
      <c r="D65" s="535" t="s">
        <v>2412</v>
      </c>
      <c r="E65" s="535" t="s">
        <v>2413</v>
      </c>
      <c r="F65" s="535" t="s">
        <v>2414</v>
      </c>
      <c r="G65" s="535" t="s">
        <v>2415</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2503</v>
      </c>
      <c r="C67" s="616" t="s">
        <v>2489</v>
      </c>
      <c r="D67" s="616" t="s">
        <v>2490</v>
      </c>
      <c r="E67" s="616" t="s">
        <v>2491</v>
      </c>
      <c r="F67" s="616" t="s">
        <v>2492</v>
      </c>
      <c r="G67" s="616" t="s">
        <v>2493</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2423</v>
      </c>
      <c r="C69" s="535" t="s">
        <v>2411</v>
      </c>
      <c r="D69" s="535" t="s">
        <v>2412</v>
      </c>
      <c r="E69" s="535" t="s">
        <v>2413</v>
      </c>
      <c r="F69" s="535" t="s">
        <v>2414</v>
      </c>
      <c r="G69" s="535" t="s">
        <v>2415</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2543</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2377</v>
      </c>
      <c r="B79" s="485" t="s">
        <v>2544</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2545</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2430</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2546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2547</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2548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2549</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2550</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2521</v>
      </c>
      <c r="B1" s="1390"/>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IF(C2="——",ROUND(C37*D3/10000,0),ROUND(C37*D3/10000,0)-D2)</f>
        <v>#DIV/0!</v>
      </c>
      <c r="C2" s="2065"/>
      <c r="D2" s="1038" t="e">
        <f ca="1">SUMIF(INDIRECT("'"&amp;F2&amp;"'"&amp;"!A:A"),"承租人权益价值",INDIRECT("'"&amp;F2&amp;"'"&amp;"!c:c"))</f>
        <v>#REF!</v>
      </c>
      <c r="E2" s="2066" t="s">
        <v>2142</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 ca="1">IF(C2="——",C37,ROUND(B2*10000/D3,0))</f>
        <v>#DIV/0!</v>
      </c>
      <c r="C3" s="360" t="s">
        <v>2458</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2459</v>
      </c>
      <c r="B4" s="362"/>
      <c r="C4" s="3270" t="s">
        <v>2460</v>
      </c>
      <c r="D4" s="3283"/>
      <c r="E4" s="3284" t="s">
        <v>2461</v>
      </c>
      <c r="F4" s="3285"/>
      <c r="G4" s="3270" t="s">
        <v>2462</v>
      </c>
      <c r="H4" s="3283"/>
      <c r="I4" s="3270" t="s">
        <v>2463</v>
      </c>
      <c r="J4" s="3283"/>
      <c r="K4" s="567" t="s">
        <v>2464</v>
      </c>
      <c r="L4" s="2942"/>
      <c r="M4" s="2943"/>
      <c r="N4" s="2943"/>
      <c r="O4" s="2943"/>
      <c r="P4" s="3286" t="s">
        <v>2465</v>
      </c>
      <c r="Q4" s="3287"/>
      <c r="R4" s="3292" t="s">
        <v>2461</v>
      </c>
      <c r="S4" s="3293"/>
      <c r="T4" s="3292" t="s">
        <v>2462</v>
      </c>
      <c r="U4" s="3293"/>
      <c r="V4" s="3279" t="s">
        <v>2463</v>
      </c>
      <c r="W4" s="3279"/>
      <c r="X4" s="1538"/>
      <c r="Y4" s="3292" t="s">
        <v>2465</v>
      </c>
      <c r="Z4" s="3293"/>
      <c r="AA4" s="3280" t="s">
        <v>2461</v>
      </c>
      <c r="AB4" s="3281" t="s">
        <v>2462</v>
      </c>
      <c r="AC4" s="3280" t="s">
        <v>2463</v>
      </c>
    </row>
    <row r="5" spans="1:29" ht="15">
      <c r="A5" s="364"/>
      <c r="B5" s="365"/>
      <c r="C5" s="3300" t="s">
        <v>2356</v>
      </c>
      <c r="D5" s="3301"/>
      <c r="E5" s="3307" t="s">
        <v>2357</v>
      </c>
      <c r="F5" s="3308"/>
      <c r="G5" s="3300" t="s">
        <v>2358</v>
      </c>
      <c r="H5" s="3301"/>
      <c r="I5" s="3300" t="s">
        <v>2359</v>
      </c>
      <c r="J5" s="3301"/>
      <c r="K5" s="567"/>
      <c r="L5" s="2942"/>
      <c r="M5" s="2943"/>
      <c r="N5" s="2943"/>
      <c r="O5" s="2943"/>
      <c r="P5" s="3288"/>
      <c r="Q5" s="3289"/>
      <c r="R5" s="3294"/>
      <c r="S5" s="3295"/>
      <c r="T5" s="3294"/>
      <c r="U5" s="3295"/>
      <c r="V5" s="3279"/>
      <c r="W5" s="3279"/>
      <c r="X5" s="1538"/>
      <c r="Y5" s="3294"/>
      <c r="Z5" s="3295"/>
      <c r="AA5" s="3281"/>
      <c r="AB5" s="3281"/>
      <c r="AC5" s="3281"/>
    </row>
    <row r="6" spans="1:29" ht="15.75" thickBot="1">
      <c r="A6" s="366"/>
      <c r="B6" s="367"/>
      <c r="C6" s="3298" t="s">
        <v>2360</v>
      </c>
      <c r="D6" s="3299"/>
      <c r="E6" s="3305" t="s">
        <v>2360</v>
      </c>
      <c r="F6" s="3306"/>
      <c r="G6" s="3298" t="s">
        <v>2360</v>
      </c>
      <c r="H6" s="3299"/>
      <c r="I6" s="3298" t="s">
        <v>2360</v>
      </c>
      <c r="J6" s="3299"/>
      <c r="K6" s="567" t="s">
        <v>2361</v>
      </c>
      <c r="L6" s="2942"/>
      <c r="M6" s="2943"/>
      <c r="N6" s="2943"/>
      <c r="O6" s="2943"/>
      <c r="P6" s="3290"/>
      <c r="Q6" s="3291"/>
      <c r="R6" s="3294"/>
      <c r="S6" s="3295"/>
      <c r="T6" s="3296"/>
      <c r="U6" s="3297"/>
      <c r="V6" s="3279"/>
      <c r="W6" s="3279"/>
      <c r="X6" s="1538"/>
      <c r="Y6" s="3296"/>
      <c r="Z6" s="3297"/>
      <c r="AA6" s="3282"/>
      <c r="AB6" s="3282"/>
      <c r="AC6" s="3282"/>
    </row>
    <row r="7" spans="1:29" s="113" customFormat="1" ht="15.75" thickBot="1">
      <c r="A7" s="368" t="s">
        <v>2362</v>
      </c>
      <c r="B7" s="369"/>
      <c r="C7" s="370">
        <f>'数据-取费表'!B2</f>
        <v>44322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02" t="s">
        <v>2363</v>
      </c>
      <c r="Q7" s="3304"/>
      <c r="R7" s="710" t="s">
        <v>17</v>
      </c>
      <c r="S7" s="711">
        <f t="shared" ref="S7:S14" si="0">F7</f>
        <v>0</v>
      </c>
      <c r="T7" s="710" t="s">
        <v>17</v>
      </c>
      <c r="U7" s="711">
        <f t="shared" ref="U7:U14" si="1">H7</f>
        <v>0</v>
      </c>
      <c r="V7" s="710" t="s">
        <v>17</v>
      </c>
      <c r="W7" s="711">
        <f t="shared" ref="W7:W14" si="2">J7</f>
        <v>0</v>
      </c>
      <c r="X7" s="712"/>
      <c r="Y7" s="3302" t="s">
        <v>2363</v>
      </c>
      <c r="Z7" s="3303"/>
      <c r="AA7" s="713" t="e">
        <f>D7/F7</f>
        <v>#DIV/0!</v>
      </c>
      <c r="AB7" s="713" t="e">
        <f>D7/H7</f>
        <v>#DIV/0!</v>
      </c>
      <c r="AC7" s="713" t="e">
        <f>D7/J7</f>
        <v>#DIV/0!</v>
      </c>
    </row>
    <row r="8" spans="1:29" s="113" customFormat="1" ht="15.75" thickBot="1">
      <c r="A8" s="368" t="s">
        <v>2364</v>
      </c>
      <c r="B8" s="369"/>
      <c r="C8" s="374" t="s">
        <v>2466</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02" t="s">
        <v>2366</v>
      </c>
      <c r="Q8" s="3303"/>
      <c r="R8" s="710" t="s">
        <v>17</v>
      </c>
      <c r="S8" s="711">
        <f t="shared" si="0"/>
        <v>0</v>
      </c>
      <c r="T8" s="710" t="s">
        <v>17</v>
      </c>
      <c r="U8" s="711">
        <f t="shared" si="1"/>
        <v>0</v>
      </c>
      <c r="V8" s="710" t="s">
        <v>17</v>
      </c>
      <c r="W8" s="711">
        <f t="shared" si="2"/>
        <v>0</v>
      </c>
      <c r="X8" s="712"/>
      <c r="Y8" s="3302" t="s">
        <v>2366</v>
      </c>
      <c r="Z8" s="3303"/>
      <c r="AA8" s="713" t="e">
        <f t="shared" ref="AA8:AA34" si="3">D8/F8</f>
        <v>#DIV/0!</v>
      </c>
      <c r="AB8" s="713" t="e">
        <f t="shared" ref="AB8:AB34" si="4">D8/H8</f>
        <v>#DIV/0!</v>
      </c>
      <c r="AC8" s="713" t="e">
        <f t="shared" ref="AC8:AC34" si="5">D8/J8</f>
        <v>#DIV/0!</v>
      </c>
    </row>
    <row r="9" spans="1:29" s="113" customFormat="1">
      <c r="A9" s="375" t="s">
        <v>2367</v>
      </c>
      <c r="B9" s="67" t="s">
        <v>2368</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3" t="s">
        <v>2369</v>
      </c>
      <c r="Q9" s="1526" t="str">
        <f t="shared" ref="Q9:Q14" si="6">B9</f>
        <v>用途</v>
      </c>
      <c r="R9" s="710" t="s">
        <v>17</v>
      </c>
      <c r="S9" s="711">
        <f t="shared" si="0"/>
        <v>100</v>
      </c>
      <c r="T9" s="710" t="s">
        <v>17</v>
      </c>
      <c r="U9" s="711">
        <f t="shared" si="1"/>
        <v>100</v>
      </c>
      <c r="V9" s="710" t="s">
        <v>17</v>
      </c>
      <c r="W9" s="711">
        <f t="shared" si="2"/>
        <v>100</v>
      </c>
      <c r="X9" s="712"/>
      <c r="Y9" s="3167" t="s">
        <v>2370</v>
      </c>
      <c r="Z9" s="55" t="str">
        <f t="shared" ref="Z9:Z14" si="7">Q9</f>
        <v>用途</v>
      </c>
      <c r="AA9" s="713">
        <f t="shared" si="3"/>
        <v>1</v>
      </c>
      <c r="AB9" s="713">
        <f t="shared" si="4"/>
        <v>1</v>
      </c>
      <c r="AC9" s="713">
        <f t="shared" si="5"/>
        <v>1</v>
      </c>
    </row>
    <row r="10" spans="1:29" s="386" customFormat="1" ht="27">
      <c r="A10" s="380"/>
      <c r="B10" s="381" t="s">
        <v>2371</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3"/>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3"/>
      <c r="Q11" s="1526">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3"/>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3"/>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85.5">
      <c r="A14" s="399" t="s">
        <v>2373</v>
      </c>
      <c r="B14" s="65" t="s">
        <v>2523</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75" t="s">
        <v>2374</v>
      </c>
      <c r="Q14" s="1535" t="str">
        <f t="shared" si="6"/>
        <v>交通便捷度</v>
      </c>
      <c r="R14" s="714" t="s">
        <v>17</v>
      </c>
      <c r="S14" s="715">
        <f t="shared" si="0"/>
        <v>100</v>
      </c>
      <c r="T14" s="714" t="s">
        <v>17</v>
      </c>
      <c r="U14" s="715">
        <f t="shared" si="1"/>
        <v>100</v>
      </c>
      <c r="V14" s="714" t="s">
        <v>17</v>
      </c>
      <c r="W14" s="715">
        <f t="shared" si="2"/>
        <v>100</v>
      </c>
      <c r="X14" s="1538"/>
      <c r="Y14" s="3275" t="s">
        <v>2374</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76"/>
      <c r="Q15" s="1535"/>
      <c r="R15" s="714"/>
      <c r="S15" s="715"/>
      <c r="T15" s="714"/>
      <c r="U15" s="715"/>
      <c r="V15" s="714"/>
      <c r="W15" s="715"/>
      <c r="X15" s="1538"/>
      <c r="Y15" s="3276"/>
      <c r="Z15" s="1539"/>
      <c r="AA15" s="1536">
        <v>1</v>
      </c>
      <c r="AB15" s="1536">
        <v>1</v>
      </c>
      <c r="AC15" s="1536">
        <v>1</v>
      </c>
    </row>
    <row r="16" spans="1:29" ht="42.75">
      <c r="A16" s="387"/>
      <c r="B16" s="410" t="s">
        <v>2502</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76"/>
      <c r="Q16" s="1535" t="str">
        <f>B16</f>
        <v>公共配套设施</v>
      </c>
      <c r="R16" s="714" t="s">
        <v>17</v>
      </c>
      <c r="S16" s="715">
        <f>F16</f>
        <v>100</v>
      </c>
      <c r="T16" s="714" t="s">
        <v>17</v>
      </c>
      <c r="U16" s="715">
        <f>H16</f>
        <v>100</v>
      </c>
      <c r="V16" s="714" t="s">
        <v>17</v>
      </c>
      <c r="W16" s="715">
        <f>J16</f>
        <v>100</v>
      </c>
      <c r="X16" s="1538"/>
      <c r="Y16" s="3276"/>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76"/>
      <c r="Q17" s="1535"/>
      <c r="R17" s="714"/>
      <c r="S17" s="715"/>
      <c r="T17" s="714"/>
      <c r="U17" s="715"/>
      <c r="V17" s="714"/>
      <c r="W17" s="715"/>
      <c r="X17" s="1538"/>
      <c r="Y17" s="3276"/>
      <c r="Z17" s="1539"/>
      <c r="AA17" s="1536">
        <v>1</v>
      </c>
      <c r="AB17" s="1536">
        <v>1</v>
      </c>
      <c r="AC17" s="1536">
        <v>1</v>
      </c>
    </row>
    <row r="18" spans="1:29" ht="28.5">
      <c r="A18" s="387"/>
      <c r="B18" s="1293" t="s">
        <v>2503</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76"/>
      <c r="Q18" s="1535" t="str">
        <f>B18</f>
        <v>基础设施水平</v>
      </c>
      <c r="R18" s="714" t="s">
        <v>17</v>
      </c>
      <c r="S18" s="715">
        <f>F18</f>
        <v>100</v>
      </c>
      <c r="T18" s="714" t="s">
        <v>17</v>
      </c>
      <c r="U18" s="715">
        <f>H18</f>
        <v>100</v>
      </c>
      <c r="V18" s="714" t="s">
        <v>17</v>
      </c>
      <c r="W18" s="715">
        <f>J18</f>
        <v>100</v>
      </c>
      <c r="X18" s="1538"/>
      <c r="Y18" s="3276"/>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76"/>
      <c r="Q19" s="1535"/>
      <c r="R19" s="714"/>
      <c r="S19" s="715"/>
      <c r="T19" s="714"/>
      <c r="U19" s="715"/>
      <c r="V19" s="714"/>
      <c r="W19" s="715"/>
      <c r="X19" s="1538"/>
      <c r="Y19" s="3276"/>
      <c r="Z19" s="1539"/>
      <c r="AA19" s="1536">
        <v>1</v>
      </c>
      <c r="AB19" s="1536">
        <v>1</v>
      </c>
      <c r="AC19" s="1536">
        <v>1</v>
      </c>
    </row>
    <row r="20" spans="1:29" ht="57">
      <c r="A20" s="387"/>
      <c r="B20" s="410" t="s">
        <v>2524</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76"/>
      <c r="Q20" s="1535" t="str">
        <f>B20</f>
        <v>自然及人文环境</v>
      </c>
      <c r="R20" s="714" t="s">
        <v>17</v>
      </c>
      <c r="S20" s="715">
        <f>F20</f>
        <v>100</v>
      </c>
      <c r="T20" s="714" t="s">
        <v>17</v>
      </c>
      <c r="U20" s="715">
        <f>H20</f>
        <v>100</v>
      </c>
      <c r="V20" s="714" t="s">
        <v>17</v>
      </c>
      <c r="W20" s="715">
        <f>J20</f>
        <v>100</v>
      </c>
      <c r="X20" s="1538"/>
      <c r="Y20" s="3276"/>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76"/>
      <c r="Q21" s="1535"/>
      <c r="R21" s="714"/>
      <c r="S21" s="715"/>
      <c r="T21" s="714"/>
      <c r="U21" s="715"/>
      <c r="V21" s="714"/>
      <c r="W21" s="715"/>
      <c r="X21" s="1538"/>
      <c r="Y21" s="3276"/>
      <c r="Z21" s="1539"/>
      <c r="AA21" s="1536">
        <v>1</v>
      </c>
      <c r="AB21" s="1536">
        <v>1</v>
      </c>
      <c r="AC21" s="1536">
        <v>1</v>
      </c>
    </row>
    <row r="22" spans="1:29" ht="15">
      <c r="A22" s="387"/>
      <c r="B22" s="410" t="s">
        <v>2525</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76"/>
      <c r="Q22" s="1535" t="str">
        <f>B22</f>
        <v>楼层</v>
      </c>
      <c r="R22" s="714" t="s">
        <v>17</v>
      </c>
      <c r="S22" s="715">
        <f>F22</f>
        <v>100</v>
      </c>
      <c r="T22" s="714" t="s">
        <v>17</v>
      </c>
      <c r="U22" s="715">
        <f>H22</f>
        <v>100</v>
      </c>
      <c r="V22" s="714" t="s">
        <v>17</v>
      </c>
      <c r="W22" s="715">
        <f>J22</f>
        <v>100</v>
      </c>
      <c r="X22" s="1538"/>
      <c r="Y22" s="3276"/>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76"/>
      <c r="Q23" s="1535">
        <f>B23</f>
        <v>111</v>
      </c>
      <c r="R23" s="714" t="s">
        <v>17</v>
      </c>
      <c r="S23" s="715">
        <f>F23</f>
        <v>100</v>
      </c>
      <c r="T23" s="714" t="s">
        <v>17</v>
      </c>
      <c r="U23" s="715">
        <f>H23</f>
        <v>100</v>
      </c>
      <c r="V23" s="714" t="s">
        <v>17</v>
      </c>
      <c r="W23" s="715">
        <f>J23</f>
        <v>100</v>
      </c>
      <c r="X23" s="1538"/>
      <c r="Y23" s="3276"/>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76"/>
      <c r="Q24" s="1535">
        <f t="shared" ref="Q24:Q34" si="11">B24</f>
        <v>111</v>
      </c>
      <c r="R24" s="714" t="s">
        <v>17</v>
      </c>
      <c r="S24" s="715">
        <f>F24</f>
        <v>100</v>
      </c>
      <c r="T24" s="714" t="s">
        <v>17</v>
      </c>
      <c r="U24" s="715">
        <f>H24</f>
        <v>100</v>
      </c>
      <c r="V24" s="714" t="s">
        <v>17</v>
      </c>
      <c r="W24" s="715">
        <f>J24</f>
        <v>100</v>
      </c>
      <c r="X24" s="1538"/>
      <c r="Y24" s="3276"/>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76"/>
      <c r="Q25" s="1526">
        <f t="shared" si="11"/>
        <v>111</v>
      </c>
      <c r="R25" s="710" t="s">
        <v>17</v>
      </c>
      <c r="S25" s="711">
        <f>F25</f>
        <v>100</v>
      </c>
      <c r="T25" s="710" t="s">
        <v>17</v>
      </c>
      <c r="U25" s="711">
        <f>H25</f>
        <v>100</v>
      </c>
      <c r="V25" s="710" t="s">
        <v>17</v>
      </c>
      <c r="W25" s="711">
        <f>J25</f>
        <v>100</v>
      </c>
      <c r="X25" s="712"/>
      <c r="Y25" s="3276"/>
      <c r="Z25" s="55">
        <f>Q25</f>
        <v>111</v>
      </c>
      <c r="AA25" s="1536">
        <f>D25/F25</f>
        <v>1</v>
      </c>
      <c r="AB25" s="1536">
        <f>D25/H25</f>
        <v>1</v>
      </c>
      <c r="AC25" s="1536">
        <f>D25/J25</f>
        <v>1</v>
      </c>
    </row>
    <row r="26" spans="1:29" ht="28.5">
      <c r="A26" s="425" t="s">
        <v>2377</v>
      </c>
      <c r="B26" s="67" t="s">
        <v>2528</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277" t="s">
        <v>2379</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78" t="s">
        <v>2379</v>
      </c>
      <c r="Z26" s="1539" t="str">
        <f t="shared" ref="Z26:Z34" si="15">Q26</f>
        <v>公共部分装修</v>
      </c>
      <c r="AA26" s="1536">
        <f t="shared" si="3"/>
        <v>1</v>
      </c>
      <c r="AB26" s="1536">
        <f t="shared" si="4"/>
        <v>1</v>
      </c>
      <c r="AC26" s="1536">
        <f t="shared" si="5"/>
        <v>1</v>
      </c>
    </row>
    <row r="27" spans="1:29" s="430" customFormat="1" ht="15">
      <c r="A27" s="427"/>
      <c r="B27" s="381" t="s">
        <v>2529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78"/>
      <c r="Q27" s="716" t="str">
        <f t="shared" si="11"/>
        <v>成新率</v>
      </c>
      <c r="R27" s="717" t="s">
        <v>17</v>
      </c>
      <c r="S27" s="718" t="e">
        <f t="shared" si="12"/>
        <v>#N/A</v>
      </c>
      <c r="T27" s="717" t="s">
        <v>17</v>
      </c>
      <c r="U27" s="718" t="e">
        <f t="shared" si="13"/>
        <v>#N/A</v>
      </c>
      <c r="V27" s="717" t="s">
        <v>17</v>
      </c>
      <c r="W27" s="718" t="e">
        <f t="shared" si="14"/>
        <v>#N/A</v>
      </c>
      <c r="X27" s="719"/>
      <c r="Y27" s="3278"/>
      <c r="Z27" s="720" t="str">
        <f t="shared" si="15"/>
        <v>成新率</v>
      </c>
      <c r="AA27" s="1536" t="e">
        <f t="shared" si="3"/>
        <v>#N/A</v>
      </c>
      <c r="AB27" s="1536" t="e">
        <f t="shared" si="4"/>
        <v>#N/A</v>
      </c>
      <c r="AC27" s="1536" t="e">
        <f t="shared" si="5"/>
        <v>#N/A</v>
      </c>
    </row>
    <row r="28" spans="1:29" ht="15">
      <c r="A28" s="431"/>
      <c r="B28" s="381" t="s">
        <v>2530</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78"/>
      <c r="Q28" s="1535" t="str">
        <f t="shared" si="11"/>
        <v>物业等级</v>
      </c>
      <c r="R28" s="714" t="s">
        <v>17</v>
      </c>
      <c r="S28" s="715">
        <f t="shared" si="12"/>
        <v>100</v>
      </c>
      <c r="T28" s="714" t="s">
        <v>17</v>
      </c>
      <c r="U28" s="715">
        <f t="shared" si="13"/>
        <v>100</v>
      </c>
      <c r="V28" s="714" t="s">
        <v>17</v>
      </c>
      <c r="W28" s="715">
        <f t="shared" si="14"/>
        <v>100</v>
      </c>
      <c r="X28" s="1538"/>
      <c r="Y28" s="3278"/>
      <c r="Z28" s="1539" t="str">
        <f t="shared" si="15"/>
        <v>物业等级</v>
      </c>
      <c r="AA28" s="1536">
        <f t="shared" si="3"/>
        <v>1</v>
      </c>
      <c r="AB28" s="1536">
        <f t="shared" si="4"/>
        <v>1</v>
      </c>
      <c r="AC28" s="1536">
        <f t="shared" si="5"/>
        <v>1</v>
      </c>
    </row>
    <row r="29" spans="1:29" ht="15">
      <c r="A29" s="431"/>
      <c r="B29" s="381" t="s">
        <v>2551</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78"/>
      <c r="Q29" s="1535" t="str">
        <f t="shared" si="11"/>
        <v>有无电梯</v>
      </c>
      <c r="R29" s="714" t="s">
        <v>17</v>
      </c>
      <c r="S29" s="715">
        <f t="shared" si="12"/>
        <v>100</v>
      </c>
      <c r="T29" s="714" t="s">
        <v>17</v>
      </c>
      <c r="U29" s="715">
        <f t="shared" si="13"/>
        <v>100</v>
      </c>
      <c r="V29" s="714" t="s">
        <v>17</v>
      </c>
      <c r="W29" s="715">
        <f t="shared" si="14"/>
        <v>100</v>
      </c>
      <c r="X29" s="1538"/>
      <c r="Y29" s="3278"/>
      <c r="Z29" s="1539" t="str">
        <f t="shared" si="15"/>
        <v>有无电梯</v>
      </c>
      <c r="AA29" s="1536">
        <f t="shared" si="3"/>
        <v>1</v>
      </c>
      <c r="AB29" s="1536">
        <f t="shared" si="4"/>
        <v>1</v>
      </c>
      <c r="AC29" s="1536">
        <f t="shared" si="5"/>
        <v>1</v>
      </c>
    </row>
    <row r="30" spans="1:29" ht="15">
      <c r="A30" s="431"/>
      <c r="B30" s="381" t="s">
        <v>2552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78"/>
      <c r="Q30" s="1535" t="str">
        <f t="shared" si="11"/>
        <v>建筑面积</v>
      </c>
      <c r="R30" s="714" t="s">
        <v>17</v>
      </c>
      <c r="S30" s="715" t="e">
        <f t="shared" si="12"/>
        <v>#N/A</v>
      </c>
      <c r="T30" s="714" t="s">
        <v>17</v>
      </c>
      <c r="U30" s="715" t="e">
        <f t="shared" si="13"/>
        <v>#N/A</v>
      </c>
      <c r="V30" s="714" t="s">
        <v>17</v>
      </c>
      <c r="W30" s="715" t="e">
        <f t="shared" si="14"/>
        <v>#N/A</v>
      </c>
      <c r="X30" s="1538"/>
      <c r="Y30" s="3278"/>
      <c r="Z30" s="1539" t="str">
        <f t="shared" si="15"/>
        <v>建筑面积</v>
      </c>
      <c r="AA30" s="1536" t="e">
        <f t="shared" si="3"/>
        <v>#N/A</v>
      </c>
      <c r="AB30" s="1536" t="e">
        <f t="shared" si="4"/>
        <v>#N/A</v>
      </c>
      <c r="AC30" s="1536" t="e">
        <f t="shared" si="5"/>
        <v>#N/A</v>
      </c>
    </row>
    <row r="31" spans="1:29" s="113" customFormat="1" ht="15">
      <c r="A31" s="432"/>
      <c r="B31" s="381" t="s">
        <v>2553</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78"/>
      <c r="Q31" s="1526" t="str">
        <f t="shared" si="11"/>
        <v>是否封闭</v>
      </c>
      <c r="R31" s="710" t="s">
        <v>17</v>
      </c>
      <c r="S31" s="711">
        <f t="shared" si="12"/>
        <v>100</v>
      </c>
      <c r="T31" s="710" t="s">
        <v>17</v>
      </c>
      <c r="U31" s="711">
        <f t="shared" si="13"/>
        <v>100</v>
      </c>
      <c r="V31" s="710" t="s">
        <v>17</v>
      </c>
      <c r="W31" s="711">
        <f t="shared" si="14"/>
        <v>100</v>
      </c>
      <c r="X31" s="712"/>
      <c r="Y31" s="3278"/>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78" t="s">
        <v>2379</v>
      </c>
      <c r="Q32" s="1535">
        <f t="shared" si="11"/>
        <v>111</v>
      </c>
      <c r="R32" s="714" t="s">
        <v>17</v>
      </c>
      <c r="S32" s="715">
        <f t="shared" si="12"/>
        <v>100</v>
      </c>
      <c r="T32" s="714" t="s">
        <v>17</v>
      </c>
      <c r="U32" s="715">
        <f t="shared" si="13"/>
        <v>100</v>
      </c>
      <c r="V32" s="714" t="s">
        <v>17</v>
      </c>
      <c r="W32" s="715">
        <f t="shared" si="14"/>
        <v>100</v>
      </c>
      <c r="X32" s="1538"/>
      <c r="Y32" s="3278" t="s">
        <v>2379</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78"/>
      <c r="Q33" s="1535">
        <f t="shared" si="11"/>
        <v>111</v>
      </c>
      <c r="R33" s="714" t="s">
        <v>17</v>
      </c>
      <c r="S33" s="715">
        <f t="shared" si="12"/>
        <v>100</v>
      </c>
      <c r="T33" s="714" t="s">
        <v>17</v>
      </c>
      <c r="U33" s="715">
        <f t="shared" si="13"/>
        <v>100</v>
      </c>
      <c r="V33" s="714" t="s">
        <v>17</v>
      </c>
      <c r="W33" s="715">
        <f t="shared" si="14"/>
        <v>100</v>
      </c>
      <c r="X33" s="1538"/>
      <c r="Y33" s="3278"/>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78"/>
      <c r="Q34" s="1535">
        <f t="shared" si="11"/>
        <v>111</v>
      </c>
      <c r="R34" s="714" t="s">
        <v>17</v>
      </c>
      <c r="S34" s="715">
        <f t="shared" si="12"/>
        <v>100</v>
      </c>
      <c r="T34" s="714" t="s">
        <v>17</v>
      </c>
      <c r="U34" s="715">
        <f t="shared" si="13"/>
        <v>100</v>
      </c>
      <c r="V34" s="714" t="s">
        <v>17</v>
      </c>
      <c r="W34" s="715">
        <f t="shared" si="14"/>
        <v>100</v>
      </c>
      <c r="X34" s="1538"/>
      <c r="Y34" s="3278"/>
      <c r="Z34" s="1539">
        <f t="shared" si="15"/>
        <v>111</v>
      </c>
      <c r="AA34" s="1536">
        <f t="shared" si="3"/>
        <v>1</v>
      </c>
      <c r="AB34" s="1536">
        <f t="shared" si="4"/>
        <v>1</v>
      </c>
      <c r="AC34" s="1536">
        <f t="shared" si="5"/>
        <v>1</v>
      </c>
    </row>
    <row r="35" spans="1:30" ht="15">
      <c r="A35" s="438" t="s">
        <v>2391</v>
      </c>
      <c r="B35" s="439"/>
      <c r="C35" s="1316" t="s">
        <v>1</v>
      </c>
      <c r="D35" s="1317"/>
      <c r="E35" s="1318"/>
      <c r="F35" s="1319"/>
      <c r="G35" s="1320"/>
      <c r="H35" s="1321"/>
      <c r="I35" s="1318"/>
      <c r="J35" s="1321"/>
      <c r="K35" s="723"/>
      <c r="L35" s="2951"/>
      <c r="M35" s="2952"/>
      <c r="N35" s="2943"/>
      <c r="O35" s="2952"/>
      <c r="P35" s="3273" t="str">
        <f>A35</f>
        <v>成交单价（元/平方米）</v>
      </c>
      <c r="Q35" s="3273"/>
      <c r="R35" s="3340">
        <f>E35</f>
        <v>0</v>
      </c>
      <c r="S35" s="3340"/>
      <c r="T35" s="3340">
        <f>G35</f>
        <v>0</v>
      </c>
      <c r="U35" s="3340"/>
      <c r="V35" s="3340">
        <f>I35</f>
        <v>0</v>
      </c>
      <c r="W35" s="3340"/>
      <c r="X35" s="699"/>
      <c r="Y35" s="721"/>
      <c r="Z35" s="699"/>
      <c r="AA35" s="699"/>
      <c r="AB35" s="699"/>
      <c r="AC35" s="699"/>
    </row>
    <row r="36" spans="1:30" ht="15.75" thickBot="1">
      <c r="A36" s="445" t="s">
        <v>2483</v>
      </c>
      <c r="B36" s="446"/>
      <c r="C36" s="1322" t="e">
        <f>R37</f>
        <v>#DIV/0!</v>
      </c>
      <c r="D36" s="2536" t="s">
        <v>2874</v>
      </c>
      <c r="E36" s="1323" t="e">
        <f>R36</f>
        <v>#DIV/0!</v>
      </c>
      <c r="F36" s="2537"/>
      <c r="G36" s="1322" t="e">
        <f>T36</f>
        <v>#DIV/0!</v>
      </c>
      <c r="H36" s="2537"/>
      <c r="I36" s="1323" t="e">
        <f>V36</f>
        <v>#DIV/0!</v>
      </c>
      <c r="J36" s="2537"/>
      <c r="K36" s="2539">
        <f>F36+H36+J36</f>
        <v>0</v>
      </c>
      <c r="L36" s="2951"/>
      <c r="M36" s="2952"/>
      <c r="N36" s="2943"/>
      <c r="O36" s="2952"/>
      <c r="P36" s="3273" t="str">
        <f>A36</f>
        <v>比较价值（元/平方米）</v>
      </c>
      <c r="Q36" s="3273"/>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9"/>
      <c r="Y36" s="699"/>
      <c r="Z36" s="699"/>
      <c r="AA36" s="699"/>
      <c r="AB36" s="699"/>
      <c r="AC36" s="699"/>
    </row>
    <row r="37" spans="1:30" ht="15.75" thickBot="1">
      <c r="A37" s="449" t="s">
        <v>2484</v>
      </c>
      <c r="B37" s="450"/>
      <c r="C37" s="1325" t="e">
        <f>R37</f>
        <v>#DIV/0!</v>
      </c>
      <c r="D37" s="1325"/>
      <c r="E37" s="1325"/>
      <c r="F37" s="1325"/>
      <c r="G37" s="1325"/>
      <c r="H37" s="1325"/>
      <c r="I37" s="1325"/>
      <c r="J37" s="1325"/>
      <c r="K37" s="724"/>
      <c r="L37" s="2951"/>
      <c r="M37" s="2952"/>
      <c r="N37" s="2952"/>
      <c r="O37" s="2952"/>
      <c r="P37" s="3267" t="str">
        <f>A37</f>
        <v>估价对象XX用房的比较价值（楼面单价，元/平方米）</v>
      </c>
      <c r="Q37" s="3268"/>
      <c r="R37" s="3362" t="e">
        <f>IF(F1="售价",ROUND(IF(D36="简单平均",AVERAGE(R36:W36),R36*F36+T36*H36+V36*J36),0),ROUND(IF(D36="简单平均",AVERAGE(R36:V36),R36*F36+T36*H36+V36*J36),1))</f>
        <v>#DIV/0!</v>
      </c>
      <c r="S37" s="3362"/>
      <c r="T37" s="3362"/>
      <c r="U37" s="3362"/>
      <c r="V37" s="3362"/>
      <c r="W37" s="3362"/>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2486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2487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2488</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2362</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2399</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2364</v>
      </c>
      <c r="B49" s="467"/>
      <c r="C49" s="479" t="s">
        <v>2466</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2402</v>
      </c>
      <c r="B51" s="485" t="s">
        <v>2368</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2371</v>
      </c>
      <c r="C53" s="496" t="s">
        <v>2403</v>
      </c>
      <c r="D53" s="496" t="s">
        <v>2404</v>
      </c>
      <c r="E53" s="496" t="s">
        <v>2405</v>
      </c>
      <c r="F53" s="496" t="s">
        <v>2406</v>
      </c>
      <c r="G53" s="496" t="s">
        <v>2407</v>
      </c>
      <c r="H53" s="496" t="s">
        <v>2408</v>
      </c>
      <c r="I53" s="496" t="s">
        <v>2409</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2373</v>
      </c>
      <c r="B61" s="485" t="s">
        <v>2416</v>
      </c>
      <c r="C61" s="530" t="s">
        <v>2411</v>
      </c>
      <c r="D61" s="530" t="s">
        <v>2412</v>
      </c>
      <c r="E61" s="530" t="s">
        <v>2413</v>
      </c>
      <c r="F61" s="530" t="s">
        <v>2414</v>
      </c>
      <c r="G61" s="530" t="s">
        <v>2415</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2554</v>
      </c>
      <c r="C63" s="535" t="s">
        <v>2411</v>
      </c>
      <c r="D63" s="535" t="s">
        <v>2412</v>
      </c>
      <c r="E63" s="535" t="s">
        <v>2413</v>
      </c>
      <c r="F63" s="535" t="s">
        <v>2414</v>
      </c>
      <c r="G63" s="535" t="s">
        <v>2415</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2503</v>
      </c>
      <c r="C65" s="616" t="s">
        <v>2489</v>
      </c>
      <c r="D65" s="616" t="s">
        <v>2490</v>
      </c>
      <c r="E65" s="616" t="s">
        <v>2491</v>
      </c>
      <c r="F65" s="616" t="s">
        <v>2492</v>
      </c>
      <c r="G65" s="616" t="s">
        <v>2493</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2423</v>
      </c>
      <c r="C67" s="535" t="s">
        <v>2411</v>
      </c>
      <c r="D67" s="535" t="s">
        <v>2412</v>
      </c>
      <c r="E67" s="535" t="s">
        <v>2413</v>
      </c>
      <c r="F67" s="535" t="s">
        <v>2414</v>
      </c>
      <c r="G67" s="535" t="s">
        <v>2415</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2543</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2377</v>
      </c>
      <c r="B77" s="485" t="s">
        <v>2430</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2546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2547</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2555</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2556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2557</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2558</v>
      </c>
      <c r="B1" s="355"/>
      <c r="C1" s="356" t="s">
        <v>2610</v>
      </c>
      <c r="D1" s="695"/>
      <c r="E1" s="695"/>
      <c r="F1" s="694" t="s">
        <v>2457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2141</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ROUND(IF(D3="",B2*10000/'数据-汇总表'!E3,B2*10000/D3),0)</f>
        <v>#DIV/0!</v>
      </c>
      <c r="C3" s="209" t="s">
        <v>2560</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2459</v>
      </c>
      <c r="B4" s="362"/>
      <c r="C4" s="3270" t="s">
        <v>2460</v>
      </c>
      <c r="D4" s="3283"/>
      <c r="E4" s="3284" t="s">
        <v>2461</v>
      </c>
      <c r="F4" s="3285"/>
      <c r="G4" s="3270" t="s">
        <v>2462</v>
      </c>
      <c r="H4" s="3283"/>
      <c r="I4" s="3270" t="s">
        <v>2463</v>
      </c>
      <c r="J4" s="3283"/>
      <c r="K4" s="567" t="s">
        <v>2464</v>
      </c>
      <c r="L4" s="2942"/>
      <c r="M4" s="2943"/>
      <c r="N4" s="2943"/>
      <c r="O4" s="2943"/>
      <c r="P4" s="3286" t="s">
        <v>2465</v>
      </c>
      <c r="Q4" s="3287"/>
      <c r="R4" s="3292" t="s">
        <v>2461</v>
      </c>
      <c r="S4" s="3293"/>
      <c r="T4" s="3292" t="s">
        <v>2462</v>
      </c>
      <c r="U4" s="3293"/>
      <c r="V4" s="3279" t="s">
        <v>2463</v>
      </c>
      <c r="W4" s="3279"/>
      <c r="X4" s="1538"/>
      <c r="Y4" s="3292" t="s">
        <v>2465</v>
      </c>
      <c r="Z4" s="3293"/>
      <c r="AA4" s="3280" t="s">
        <v>2461</v>
      </c>
      <c r="AB4" s="3281" t="s">
        <v>2462</v>
      </c>
      <c r="AC4" s="3280" t="s">
        <v>2463</v>
      </c>
    </row>
    <row r="5" spans="1:29" ht="15">
      <c r="A5" s="364"/>
      <c r="B5" s="365"/>
      <c r="C5" s="3300" t="s">
        <v>2356</v>
      </c>
      <c r="D5" s="3301"/>
      <c r="E5" s="3307" t="s">
        <v>2357</v>
      </c>
      <c r="F5" s="3308"/>
      <c r="G5" s="3300" t="s">
        <v>2358</v>
      </c>
      <c r="H5" s="3301"/>
      <c r="I5" s="3300" t="s">
        <v>2359</v>
      </c>
      <c r="J5" s="3301"/>
      <c r="K5" s="567"/>
      <c r="L5" s="2942"/>
      <c r="M5" s="2943"/>
      <c r="N5" s="2943"/>
      <c r="O5" s="2943"/>
      <c r="P5" s="3288"/>
      <c r="Q5" s="3289"/>
      <c r="R5" s="3294"/>
      <c r="S5" s="3295"/>
      <c r="T5" s="3294"/>
      <c r="U5" s="3295"/>
      <c r="V5" s="3279"/>
      <c r="W5" s="3279"/>
      <c r="X5" s="1538"/>
      <c r="Y5" s="3294"/>
      <c r="Z5" s="3295"/>
      <c r="AA5" s="3281"/>
      <c r="AB5" s="3281"/>
      <c r="AC5" s="3281"/>
    </row>
    <row r="6" spans="1:29" ht="15.75" thickBot="1">
      <c r="A6" s="366"/>
      <c r="B6" s="367"/>
      <c r="C6" s="3363" t="s">
        <v>2611</v>
      </c>
      <c r="D6" s="3364"/>
      <c r="E6" s="3365" t="s">
        <v>2611</v>
      </c>
      <c r="F6" s="3366"/>
      <c r="G6" s="3363" t="s">
        <v>2611</v>
      </c>
      <c r="H6" s="3364"/>
      <c r="I6" s="3363" t="s">
        <v>2611</v>
      </c>
      <c r="J6" s="3364"/>
      <c r="K6" s="567" t="s">
        <v>2361</v>
      </c>
      <c r="L6" s="2942"/>
      <c r="M6" s="2943"/>
      <c r="N6" s="2943"/>
      <c r="O6" s="2943"/>
      <c r="P6" s="3290"/>
      <c r="Q6" s="3291"/>
      <c r="R6" s="3294"/>
      <c r="S6" s="3295"/>
      <c r="T6" s="3296"/>
      <c r="U6" s="3297"/>
      <c r="V6" s="3279"/>
      <c r="W6" s="3279"/>
      <c r="X6" s="1538"/>
      <c r="Y6" s="3296"/>
      <c r="Z6" s="3297"/>
      <c r="AA6" s="3282"/>
      <c r="AB6" s="3282"/>
      <c r="AC6" s="3282"/>
    </row>
    <row r="7" spans="1:29" s="113" customFormat="1" ht="15.75" thickBot="1">
      <c r="A7" s="368" t="s">
        <v>2362</v>
      </c>
      <c r="B7" s="369"/>
      <c r="C7" s="370">
        <f>'数据-取费表'!B2</f>
        <v>44322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02" t="s">
        <v>2363</v>
      </c>
      <c r="Q7" s="3304"/>
      <c r="R7" s="710" t="s">
        <v>17</v>
      </c>
      <c r="S7" s="711">
        <f t="shared" ref="S7:S15" si="0">F7</f>
        <v>0</v>
      </c>
      <c r="T7" s="710" t="s">
        <v>17</v>
      </c>
      <c r="U7" s="711">
        <f t="shared" ref="U7:U15" si="1">H7</f>
        <v>0</v>
      </c>
      <c r="V7" s="710" t="s">
        <v>17</v>
      </c>
      <c r="W7" s="711">
        <f t="shared" ref="W7:W15" si="2">J7</f>
        <v>0</v>
      </c>
      <c r="X7" s="712"/>
      <c r="Y7" s="3302" t="s">
        <v>2363</v>
      </c>
      <c r="Z7" s="3303"/>
      <c r="AA7" s="713" t="e">
        <f>D7/F7</f>
        <v>#DIV/0!</v>
      </c>
      <c r="AB7" s="713" t="e">
        <f>D7/H7</f>
        <v>#DIV/0!</v>
      </c>
      <c r="AC7" s="713" t="e">
        <f>D7/J7</f>
        <v>#DIV/0!</v>
      </c>
    </row>
    <row r="8" spans="1:29" s="113" customFormat="1" ht="15.75" thickBot="1">
      <c r="A8" s="368" t="s">
        <v>2364</v>
      </c>
      <c r="B8" s="369"/>
      <c r="C8" s="374" t="s">
        <v>2365</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02" t="s">
        <v>2366</v>
      </c>
      <c r="Q8" s="3303"/>
      <c r="R8" s="710" t="s">
        <v>17</v>
      </c>
      <c r="S8" s="711">
        <f t="shared" si="0"/>
        <v>0</v>
      </c>
      <c r="T8" s="710" t="s">
        <v>17</v>
      </c>
      <c r="U8" s="711">
        <f t="shared" si="1"/>
        <v>0</v>
      </c>
      <c r="V8" s="710" t="s">
        <v>17</v>
      </c>
      <c r="W8" s="711">
        <f t="shared" si="2"/>
        <v>0</v>
      </c>
      <c r="X8" s="712"/>
      <c r="Y8" s="3302" t="s">
        <v>2366</v>
      </c>
      <c r="Z8" s="3303"/>
      <c r="AA8" s="713" t="e">
        <f t="shared" ref="AA8:AA40" si="3">D8/F8</f>
        <v>#DIV/0!</v>
      </c>
      <c r="AB8" s="713" t="e">
        <f t="shared" ref="AB8:AB40" si="4">D8/H8</f>
        <v>#DIV/0!</v>
      </c>
      <c r="AC8" s="713" t="e">
        <f t="shared" ref="AC8:AC40" si="5">D8/J8</f>
        <v>#DIV/0!</v>
      </c>
    </row>
    <row r="9" spans="1:29" s="113" customFormat="1">
      <c r="A9" s="375" t="s">
        <v>2367</v>
      </c>
      <c r="B9" s="67" t="s">
        <v>2368</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3" t="s">
        <v>2369</v>
      </c>
      <c r="Q9" s="1526" t="str">
        <f t="shared" ref="Q9:Q15" si="6">B9</f>
        <v>用途</v>
      </c>
      <c r="R9" s="710" t="s">
        <v>17</v>
      </c>
      <c r="S9" s="711">
        <f t="shared" si="0"/>
        <v>100</v>
      </c>
      <c r="T9" s="710" t="s">
        <v>17</v>
      </c>
      <c r="U9" s="711">
        <f t="shared" si="1"/>
        <v>100</v>
      </c>
      <c r="V9" s="710" t="s">
        <v>17</v>
      </c>
      <c r="W9" s="711">
        <f t="shared" si="2"/>
        <v>100</v>
      </c>
      <c r="X9" s="712"/>
      <c r="Y9" s="3167" t="s">
        <v>2370</v>
      </c>
      <c r="Z9" s="55" t="str">
        <f t="shared" ref="Z9:Z15" si="7">Q9</f>
        <v>用途</v>
      </c>
      <c r="AA9" s="713">
        <f t="shared" si="3"/>
        <v>1</v>
      </c>
      <c r="AB9" s="713">
        <f t="shared" si="4"/>
        <v>1</v>
      </c>
      <c r="AC9" s="713">
        <f t="shared" si="5"/>
        <v>1</v>
      </c>
    </row>
    <row r="10" spans="1:29" s="386" customFormat="1" ht="27">
      <c r="A10" s="380"/>
      <c r="B10" s="381" t="s">
        <v>2371</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73"/>
      <c r="Q10" s="1526" t="str">
        <f t="shared" si="6"/>
        <v>土地使用年限（年）</v>
      </c>
      <c r="R10" s="710" t="s">
        <v>17</v>
      </c>
      <c r="S10" s="711">
        <f t="shared" si="0"/>
        <v>106</v>
      </c>
      <c r="T10" s="710" t="s">
        <v>17</v>
      </c>
      <c r="U10" s="711">
        <f t="shared" si="1"/>
        <v>106</v>
      </c>
      <c r="V10" s="710" t="s">
        <v>17</v>
      </c>
      <c r="W10" s="711">
        <f t="shared" si="2"/>
        <v>106</v>
      </c>
      <c r="X10" s="712"/>
      <c r="Y10" s="3167"/>
      <c r="Z10" s="55" t="str">
        <f t="shared" si="7"/>
        <v>土地使用年限（年）</v>
      </c>
      <c r="AA10" s="713">
        <f t="shared" si="3"/>
        <v>0.94339622641509435</v>
      </c>
      <c r="AB10" s="713">
        <f t="shared" si="4"/>
        <v>0.94339622641509435</v>
      </c>
      <c r="AC10" s="713">
        <f t="shared" si="5"/>
        <v>0.94339622641509435</v>
      </c>
    </row>
    <row r="11" spans="1:29" ht="15">
      <c r="A11" s="387"/>
      <c r="B11" s="381" t="s">
        <v>2372</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3"/>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3"/>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3"/>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3"/>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57">
      <c r="A15" s="399" t="s">
        <v>2373</v>
      </c>
      <c r="B15" s="585" t="s">
        <v>2612</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75" t="s">
        <v>2374</v>
      </c>
      <c r="Q15" s="1535" t="str">
        <f t="shared" si="6"/>
        <v>产业集聚程度</v>
      </c>
      <c r="R15" s="714" t="s">
        <v>17</v>
      </c>
      <c r="S15" s="715">
        <f t="shared" si="0"/>
        <v>100</v>
      </c>
      <c r="T15" s="714" t="s">
        <v>17</v>
      </c>
      <c r="U15" s="715">
        <f t="shared" si="1"/>
        <v>100</v>
      </c>
      <c r="V15" s="714" t="s">
        <v>17</v>
      </c>
      <c r="W15" s="715">
        <f t="shared" si="2"/>
        <v>100</v>
      </c>
      <c r="X15" s="1538"/>
      <c r="Y15" s="3275" t="s">
        <v>2374</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76"/>
      <c r="Q16" s="1535"/>
      <c r="R16" s="714"/>
      <c r="S16" s="715"/>
      <c r="T16" s="714"/>
      <c r="U16" s="715"/>
      <c r="V16" s="714"/>
      <c r="W16" s="715"/>
      <c r="X16" s="1538"/>
      <c r="Y16" s="3276"/>
      <c r="Z16" s="1539"/>
      <c r="AA16" s="1536">
        <v>1</v>
      </c>
      <c r="AB16" s="1536">
        <v>1</v>
      </c>
      <c r="AC16" s="1536">
        <v>1</v>
      </c>
    </row>
    <row r="17" spans="1:29" ht="85.5">
      <c r="A17" s="387"/>
      <c r="B17" s="587" t="s">
        <v>2523</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76"/>
      <c r="Q17" s="1535" t="str">
        <f>B17</f>
        <v>交通便捷度</v>
      </c>
      <c r="R17" s="714" t="s">
        <v>17</v>
      </c>
      <c r="S17" s="715">
        <f>F17</f>
        <v>100</v>
      </c>
      <c r="T17" s="714" t="s">
        <v>17</v>
      </c>
      <c r="U17" s="715">
        <f>H17</f>
        <v>100</v>
      </c>
      <c r="V17" s="714" t="s">
        <v>17</v>
      </c>
      <c r="W17" s="715">
        <f>J17</f>
        <v>100</v>
      </c>
      <c r="X17" s="1538"/>
      <c r="Y17" s="3276"/>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76"/>
      <c r="Q18" s="1535"/>
      <c r="R18" s="714"/>
      <c r="S18" s="715"/>
      <c r="T18" s="714"/>
      <c r="U18" s="715"/>
      <c r="V18" s="714"/>
      <c r="W18" s="715"/>
      <c r="X18" s="1538"/>
      <c r="Y18" s="3276"/>
      <c r="Z18" s="1539"/>
      <c r="AA18" s="1536">
        <v>1</v>
      </c>
      <c r="AB18" s="1536">
        <v>1</v>
      </c>
      <c r="AC18" s="1536">
        <v>1</v>
      </c>
    </row>
    <row r="19" spans="1:29" ht="15">
      <c r="A19" s="387"/>
      <c r="B19" s="587" t="s">
        <v>2562</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76"/>
      <c r="Q19" s="1535" t="str">
        <f t="shared" ref="Q19:Q33" si="8">B19</f>
        <v>区域土地利用方向</v>
      </c>
      <c r="R19" s="714" t="s">
        <v>17</v>
      </c>
      <c r="S19" s="715">
        <f>F19</f>
        <v>100</v>
      </c>
      <c r="T19" s="714" t="s">
        <v>17</v>
      </c>
      <c r="U19" s="715">
        <f>H19</f>
        <v>100</v>
      </c>
      <c r="V19" s="714" t="s">
        <v>17</v>
      </c>
      <c r="W19" s="715">
        <f>J19</f>
        <v>100</v>
      </c>
      <c r="X19" s="1538"/>
      <c r="Y19" s="3276"/>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76"/>
      <c r="Q20" s="1535"/>
      <c r="R20" s="714"/>
      <c r="S20" s="715"/>
      <c r="T20" s="714"/>
      <c r="U20" s="715"/>
      <c r="V20" s="714"/>
      <c r="W20" s="715"/>
      <c r="X20" s="1538"/>
      <c r="Y20" s="3276"/>
      <c r="Z20" s="1539"/>
      <c r="AA20" s="1536"/>
      <c r="AB20" s="1536"/>
      <c r="AC20" s="1536"/>
    </row>
    <row r="21" spans="1:29" ht="71.25">
      <c r="A21" s="364"/>
      <c r="B21" s="587" t="s">
        <v>2613</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76"/>
      <c r="Q21" s="1535" t="str">
        <f t="shared" si="8"/>
        <v>环境状况</v>
      </c>
      <c r="R21" s="714" t="s">
        <v>17</v>
      </c>
      <c r="S21" s="715">
        <f>F21</f>
        <v>100</v>
      </c>
      <c r="T21" s="714" t="s">
        <v>17</v>
      </c>
      <c r="U21" s="715">
        <f>H21</f>
        <v>100</v>
      </c>
      <c r="V21" s="714" t="s">
        <v>17</v>
      </c>
      <c r="W21" s="715">
        <f>J21</f>
        <v>100</v>
      </c>
      <c r="X21" s="1538"/>
      <c r="Y21" s="3276"/>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76"/>
      <c r="Q22" s="1535"/>
      <c r="R22" s="714"/>
      <c r="S22" s="715"/>
      <c r="T22" s="714"/>
      <c r="U22" s="715"/>
      <c r="V22" s="714"/>
      <c r="W22" s="715"/>
      <c r="X22" s="1538"/>
      <c r="Y22" s="3276"/>
      <c r="Z22" s="1539"/>
      <c r="AA22" s="1536">
        <v>1</v>
      </c>
      <c r="AB22" s="1536">
        <v>1</v>
      </c>
      <c r="AC22" s="1536">
        <v>1</v>
      </c>
    </row>
    <row r="23" spans="1:29" s="113" customFormat="1" ht="42.75">
      <c r="A23" s="605"/>
      <c r="B23" s="589" t="s">
        <v>2468</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76"/>
      <c r="Q23" s="1526" t="str">
        <f t="shared" si="8"/>
        <v>公共配套设施</v>
      </c>
      <c r="R23" s="710" t="s">
        <v>17</v>
      </c>
      <c r="S23" s="711">
        <f>F23</f>
        <v>100</v>
      </c>
      <c r="T23" s="710" t="s">
        <v>17</v>
      </c>
      <c r="U23" s="711">
        <f>H23</f>
        <v>100</v>
      </c>
      <c r="V23" s="710" t="s">
        <v>17</v>
      </c>
      <c r="W23" s="711">
        <f>J23</f>
        <v>100</v>
      </c>
      <c r="X23" s="712"/>
      <c r="Y23" s="3276"/>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76"/>
      <c r="Q24" s="1526"/>
      <c r="R24" s="710"/>
      <c r="S24" s="711"/>
      <c r="T24" s="710"/>
      <c r="U24" s="711"/>
      <c r="V24" s="710"/>
      <c r="W24" s="711"/>
      <c r="X24" s="712"/>
      <c r="Y24" s="3276"/>
      <c r="Z24" s="55"/>
      <c r="AA24" s="713">
        <v>1</v>
      </c>
      <c r="AB24" s="713">
        <v>1</v>
      </c>
      <c r="AC24" s="713">
        <v>1</v>
      </c>
    </row>
    <row r="25" spans="1:29" s="113" customFormat="1" ht="28.5">
      <c r="A25" s="605"/>
      <c r="B25" s="589" t="s">
        <v>2469</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76"/>
      <c r="Q25" s="1526" t="str">
        <f t="shared" ref="Q25" si="9">B25</f>
        <v>基础设施水平</v>
      </c>
      <c r="R25" s="710" t="s">
        <v>17</v>
      </c>
      <c r="S25" s="711">
        <f>F25</f>
        <v>100</v>
      </c>
      <c r="T25" s="710" t="s">
        <v>17</v>
      </c>
      <c r="U25" s="711">
        <f>H25</f>
        <v>100</v>
      </c>
      <c r="V25" s="710" t="s">
        <v>17</v>
      </c>
      <c r="W25" s="711">
        <f>J25</f>
        <v>100</v>
      </c>
      <c r="X25" s="712"/>
      <c r="Y25" s="3276"/>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76"/>
      <c r="Q26" s="1526"/>
      <c r="R26" s="710"/>
      <c r="S26" s="711"/>
      <c r="T26" s="710"/>
      <c r="U26" s="711"/>
      <c r="V26" s="710"/>
      <c r="W26" s="711"/>
      <c r="X26" s="712"/>
      <c r="Y26" s="3276"/>
      <c r="Z26" s="55"/>
      <c r="AA26" s="713">
        <v>1</v>
      </c>
      <c r="AB26" s="713">
        <v>1</v>
      </c>
      <c r="AC26" s="713">
        <v>1</v>
      </c>
    </row>
    <row r="27" spans="1:29" ht="15">
      <c r="A27" s="387"/>
      <c r="B27" s="588" t="s">
        <v>2470</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76"/>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76"/>
      <c r="Z27" s="1539" t="str">
        <f t="shared" ref="Z27:Z40" si="13">Q27</f>
        <v>临街状况</v>
      </c>
      <c r="AA27" s="1536">
        <f t="shared" si="3"/>
        <v>1</v>
      </c>
      <c r="AB27" s="1536">
        <f t="shared" si="4"/>
        <v>1</v>
      </c>
      <c r="AC27" s="1536">
        <f t="shared" si="5"/>
        <v>1</v>
      </c>
    </row>
    <row r="28" spans="1:29" ht="27">
      <c r="A28" s="387"/>
      <c r="B28" s="589" t="s">
        <v>2505</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76"/>
      <c r="Q28" s="1535" t="str">
        <f t="shared" si="8"/>
        <v>毗邻道路的类型与等级</v>
      </c>
      <c r="R28" s="714" t="s">
        <v>17</v>
      </c>
      <c r="S28" s="715">
        <f t="shared" si="10"/>
        <v>100</v>
      </c>
      <c r="T28" s="714" t="s">
        <v>17</v>
      </c>
      <c r="U28" s="715">
        <f t="shared" si="11"/>
        <v>100</v>
      </c>
      <c r="V28" s="714" t="s">
        <v>17</v>
      </c>
      <c r="W28" s="715">
        <f t="shared" si="12"/>
        <v>100</v>
      </c>
      <c r="X28" s="1538"/>
      <c r="Y28" s="3276"/>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76"/>
      <c r="Q29" s="1535"/>
      <c r="R29" s="714"/>
      <c r="S29" s="715"/>
      <c r="T29" s="714"/>
      <c r="U29" s="715"/>
      <c r="V29" s="714"/>
      <c r="W29" s="715"/>
      <c r="X29" s="1538"/>
      <c r="Y29" s="3276"/>
      <c r="Z29" s="1539"/>
      <c r="AA29" s="1536">
        <v>1</v>
      </c>
      <c r="AB29" s="1536">
        <v>1</v>
      </c>
      <c r="AC29" s="1536">
        <v>1</v>
      </c>
    </row>
    <row r="30" spans="1:29" ht="15">
      <c r="A30" s="387"/>
      <c r="B30" s="610" t="s">
        <v>2564</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76"/>
      <c r="Q30" s="1535" t="str">
        <f t="shared" si="8"/>
        <v>土地级别</v>
      </c>
      <c r="R30" s="714" t="s">
        <v>17</v>
      </c>
      <c r="S30" s="715">
        <f t="shared" si="10"/>
        <v>100</v>
      </c>
      <c r="T30" s="714" t="s">
        <v>17</v>
      </c>
      <c r="U30" s="715">
        <f t="shared" si="11"/>
        <v>100</v>
      </c>
      <c r="V30" s="714" t="s">
        <v>17</v>
      </c>
      <c r="W30" s="715">
        <f t="shared" si="12"/>
        <v>100</v>
      </c>
      <c r="X30" s="1538"/>
      <c r="Y30" s="3276"/>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76"/>
      <c r="Q31" s="1535">
        <f t="shared" si="8"/>
        <v>111</v>
      </c>
      <c r="R31" s="714" t="s">
        <v>17</v>
      </c>
      <c r="S31" s="715">
        <f t="shared" si="10"/>
        <v>100</v>
      </c>
      <c r="T31" s="714" t="s">
        <v>17</v>
      </c>
      <c r="U31" s="715">
        <f t="shared" si="11"/>
        <v>100</v>
      </c>
      <c r="V31" s="714" t="s">
        <v>17</v>
      </c>
      <c r="W31" s="715">
        <f t="shared" si="12"/>
        <v>100</v>
      </c>
      <c r="X31" s="1538"/>
      <c r="Y31" s="3276"/>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77" t="s">
        <v>2379</v>
      </c>
      <c r="Q32" s="1535">
        <f t="shared" si="8"/>
        <v>111</v>
      </c>
      <c r="R32" s="714" t="s">
        <v>17</v>
      </c>
      <c r="S32" s="715">
        <f t="shared" si="10"/>
        <v>100</v>
      </c>
      <c r="T32" s="714" t="s">
        <v>17</v>
      </c>
      <c r="U32" s="715">
        <f t="shared" si="11"/>
        <v>100</v>
      </c>
      <c r="V32" s="714" t="s">
        <v>17</v>
      </c>
      <c r="W32" s="715">
        <f t="shared" si="12"/>
        <v>100</v>
      </c>
      <c r="X32" s="1538"/>
      <c r="Y32" s="3278" t="s">
        <v>2379</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78"/>
      <c r="Q33" s="1535">
        <f t="shared" si="8"/>
        <v>111</v>
      </c>
      <c r="R33" s="717" t="s">
        <v>17</v>
      </c>
      <c r="S33" s="718">
        <f t="shared" si="10"/>
        <v>100</v>
      </c>
      <c r="T33" s="717" t="s">
        <v>17</v>
      </c>
      <c r="U33" s="718">
        <f t="shared" si="11"/>
        <v>100</v>
      </c>
      <c r="V33" s="717" t="s">
        <v>17</v>
      </c>
      <c r="W33" s="718">
        <f t="shared" si="12"/>
        <v>100</v>
      </c>
      <c r="X33" s="719"/>
      <c r="Y33" s="3278"/>
      <c r="Z33" s="720">
        <f t="shared" si="13"/>
        <v>111</v>
      </c>
      <c r="AA33" s="1536">
        <f t="shared" si="3"/>
        <v>1</v>
      </c>
      <c r="AB33" s="1536">
        <f t="shared" si="4"/>
        <v>1</v>
      </c>
      <c r="AC33" s="1536">
        <f t="shared" si="5"/>
        <v>1</v>
      </c>
    </row>
    <row r="34" spans="1:31" ht="15">
      <c r="A34" s="399" t="s">
        <v>2377</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78"/>
      <c r="Q34" s="1535" t="str">
        <f>B34</f>
        <v>宗地面积</v>
      </c>
      <c r="R34" s="714" t="s">
        <v>17</v>
      </c>
      <c r="S34" s="715" t="e">
        <f t="shared" si="10"/>
        <v>#N/A</v>
      </c>
      <c r="T34" s="714" t="s">
        <v>17</v>
      </c>
      <c r="U34" s="715" t="e">
        <f t="shared" si="11"/>
        <v>#N/A</v>
      </c>
      <c r="V34" s="714" t="s">
        <v>17</v>
      </c>
      <c r="W34" s="715" t="e">
        <f t="shared" si="12"/>
        <v>#N/A</v>
      </c>
      <c r="X34" s="1538"/>
      <c r="Y34" s="3278"/>
      <c r="Z34" s="1539" t="str">
        <f t="shared" si="13"/>
        <v>宗地面积</v>
      </c>
      <c r="AA34" s="1536" t="e">
        <f t="shared" si="3"/>
        <v>#N/A</v>
      </c>
      <c r="AB34" s="1536" t="e">
        <f t="shared" si="4"/>
        <v>#N/A</v>
      </c>
      <c r="AC34" s="1536" t="e">
        <f t="shared" si="5"/>
        <v>#N/A</v>
      </c>
    </row>
    <row r="35" spans="1:31" ht="15">
      <c r="A35" s="431"/>
      <c r="B35" s="381" t="s">
        <v>2566</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78"/>
      <c r="Q35" s="1535" t="str">
        <f t="shared" ref="Q35:Q40" si="14">B35</f>
        <v>宗地形状</v>
      </c>
      <c r="R35" s="714" t="s">
        <v>17</v>
      </c>
      <c r="S35" s="715">
        <f t="shared" si="10"/>
        <v>100</v>
      </c>
      <c r="T35" s="714" t="s">
        <v>17</v>
      </c>
      <c r="U35" s="715">
        <f t="shared" si="11"/>
        <v>100</v>
      </c>
      <c r="V35" s="714" t="s">
        <v>17</v>
      </c>
      <c r="W35" s="715">
        <f t="shared" si="12"/>
        <v>100</v>
      </c>
      <c r="X35" s="1538"/>
      <c r="Y35" s="3278"/>
      <c r="Z35" s="1539" t="str">
        <f t="shared" si="13"/>
        <v>宗地形状</v>
      </c>
      <c r="AA35" s="1536">
        <f t="shared" si="3"/>
        <v>1</v>
      </c>
      <c r="AB35" s="1536">
        <f t="shared" si="4"/>
        <v>1</v>
      </c>
      <c r="AC35" s="1536">
        <f t="shared" si="5"/>
        <v>1</v>
      </c>
    </row>
    <row r="36" spans="1:31" s="113" customFormat="1" ht="15">
      <c r="A36" s="432"/>
      <c r="B36" s="381" t="s">
        <v>2568</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78"/>
      <c r="Q36" s="1535" t="str">
        <f t="shared" si="14"/>
        <v>宗地开发程度</v>
      </c>
      <c r="R36" s="710" t="s">
        <v>17</v>
      </c>
      <c r="S36" s="711">
        <f t="shared" si="10"/>
        <v>100</v>
      </c>
      <c r="T36" s="710" t="s">
        <v>17</v>
      </c>
      <c r="U36" s="711">
        <f t="shared" si="11"/>
        <v>100</v>
      </c>
      <c r="V36" s="710" t="s">
        <v>17</v>
      </c>
      <c r="W36" s="711">
        <f t="shared" si="12"/>
        <v>100</v>
      </c>
      <c r="X36" s="712"/>
      <c r="Y36" s="3278"/>
      <c r="Z36" s="55" t="str">
        <f t="shared" si="13"/>
        <v>宗地开发程度</v>
      </c>
      <c r="AA36" s="713">
        <f t="shared" si="3"/>
        <v>1</v>
      </c>
      <c r="AB36" s="713">
        <f t="shared" si="4"/>
        <v>1</v>
      </c>
      <c r="AC36" s="713">
        <f t="shared" si="5"/>
        <v>1</v>
      </c>
    </row>
    <row r="37" spans="1:31" ht="15">
      <c r="A37" s="431"/>
      <c r="B37" s="381" t="s">
        <v>2569</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78" t="s">
        <v>2379</v>
      </c>
      <c r="Q37" s="1535" t="str">
        <f t="shared" si="14"/>
        <v>工程地质条件</v>
      </c>
      <c r="R37" s="714" t="s">
        <v>17</v>
      </c>
      <c r="S37" s="715">
        <f t="shared" si="10"/>
        <v>100</v>
      </c>
      <c r="T37" s="714" t="s">
        <v>17</v>
      </c>
      <c r="U37" s="715">
        <f t="shared" si="11"/>
        <v>100</v>
      </c>
      <c r="V37" s="714" t="s">
        <v>17</v>
      </c>
      <c r="W37" s="715">
        <f t="shared" si="12"/>
        <v>100</v>
      </c>
      <c r="X37" s="1538"/>
      <c r="Y37" s="3278" t="s">
        <v>2379</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78"/>
      <c r="Q38" s="1535">
        <f t="shared" si="14"/>
        <v>111</v>
      </c>
      <c r="R38" s="714" t="s">
        <v>17</v>
      </c>
      <c r="S38" s="715">
        <f t="shared" si="10"/>
        <v>100</v>
      </c>
      <c r="T38" s="714" t="s">
        <v>17</v>
      </c>
      <c r="U38" s="715">
        <f t="shared" si="11"/>
        <v>100</v>
      </c>
      <c r="V38" s="714" t="s">
        <v>17</v>
      </c>
      <c r="W38" s="715">
        <f t="shared" si="12"/>
        <v>100</v>
      </c>
      <c r="X38" s="1538"/>
      <c r="Y38" s="3278"/>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78"/>
      <c r="Q39" s="1535">
        <f t="shared" si="14"/>
        <v>111</v>
      </c>
      <c r="R39" s="714" t="s">
        <v>17</v>
      </c>
      <c r="S39" s="715">
        <f t="shared" si="10"/>
        <v>100</v>
      </c>
      <c r="T39" s="714" t="s">
        <v>17</v>
      </c>
      <c r="U39" s="715">
        <f t="shared" si="11"/>
        <v>100</v>
      </c>
      <c r="V39" s="714" t="s">
        <v>17</v>
      </c>
      <c r="W39" s="715">
        <f t="shared" si="12"/>
        <v>100</v>
      </c>
      <c r="X39" s="1538"/>
      <c r="Y39" s="3278"/>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78"/>
      <c r="Q40" s="1535">
        <f t="shared" si="14"/>
        <v>111</v>
      </c>
      <c r="R40" s="717" t="s">
        <v>17</v>
      </c>
      <c r="S40" s="718">
        <f t="shared" si="10"/>
        <v>100</v>
      </c>
      <c r="T40" s="717" t="s">
        <v>17</v>
      </c>
      <c r="U40" s="718">
        <f t="shared" si="11"/>
        <v>100</v>
      </c>
      <c r="V40" s="717" t="s">
        <v>17</v>
      </c>
      <c r="W40" s="718">
        <f t="shared" si="12"/>
        <v>100</v>
      </c>
      <c r="X40" s="719"/>
      <c r="Y40" s="3278"/>
      <c r="Z40" s="720">
        <f t="shared" si="13"/>
        <v>111</v>
      </c>
      <c r="AA40" s="1536">
        <f t="shared" si="3"/>
        <v>1</v>
      </c>
      <c r="AB40" s="1536">
        <f t="shared" si="4"/>
        <v>1</v>
      </c>
      <c r="AC40" s="1536">
        <f t="shared" si="5"/>
        <v>1</v>
      </c>
    </row>
    <row r="41" spans="1:31" ht="15">
      <c r="A41" s="438" t="s">
        <v>2534</v>
      </c>
      <c r="B41" s="2166" t="s">
        <v>2614</v>
      </c>
      <c r="C41" s="638" t="s">
        <v>1</v>
      </c>
      <c r="D41" s="440"/>
      <c r="E41" s="441"/>
      <c r="F41" s="442"/>
      <c r="G41" s="443"/>
      <c r="H41" s="444"/>
      <c r="I41" s="441"/>
      <c r="J41" s="444"/>
      <c r="K41" s="723"/>
      <c r="L41" s="2951"/>
      <c r="M41" s="2943"/>
      <c r="N41" s="2943"/>
      <c r="O41" s="2952"/>
      <c r="P41" s="3273" t="str">
        <f>A41</f>
        <v>成交单价</v>
      </c>
      <c r="Q41" s="3273"/>
      <c r="R41" s="3279">
        <f>E41</f>
        <v>0</v>
      </c>
      <c r="S41" s="3279"/>
      <c r="T41" s="3279">
        <f>G41</f>
        <v>0</v>
      </c>
      <c r="U41" s="3279"/>
      <c r="V41" s="3279">
        <f>I41</f>
        <v>0</v>
      </c>
      <c r="W41" s="3279"/>
      <c r="X41" s="699"/>
      <c r="Y41" s="721"/>
      <c r="Z41" s="699"/>
      <c r="AA41" s="699"/>
      <c r="AB41" s="699"/>
      <c r="AC41" s="699"/>
    </row>
    <row r="42" spans="1:31" ht="15.75" thickBot="1">
      <c r="A42" s="445" t="s">
        <v>2483</v>
      </c>
      <c r="B42" s="639"/>
      <c r="C42" s="448" t="e">
        <f>R43</f>
        <v>#DIV/0!</v>
      </c>
      <c r="D42" s="2536" t="s">
        <v>2874</v>
      </c>
      <c r="E42" s="448" t="e">
        <f>R42</f>
        <v>#DIV/0!</v>
      </c>
      <c r="F42" s="2537"/>
      <c r="G42" s="447" t="e">
        <f>T42</f>
        <v>#DIV/0!</v>
      </c>
      <c r="H42" s="2537"/>
      <c r="I42" s="448" t="e">
        <f>V42</f>
        <v>#DIV/0!</v>
      </c>
      <c r="J42" s="2537"/>
      <c r="K42" s="2539">
        <f>F42+H42+J42</f>
        <v>0</v>
      </c>
      <c r="L42" s="2951"/>
      <c r="M42" s="2943"/>
      <c r="N42" s="2943"/>
      <c r="O42" s="2952"/>
      <c r="P42" s="3273" t="str">
        <f>A42</f>
        <v>比较价值（元/平方米）</v>
      </c>
      <c r="Q42" s="3273"/>
      <c r="R42" s="3266" t="e">
        <f>ROUND(PRODUCT(R41,AA7:AA40),0)</f>
        <v>#DIV/0!</v>
      </c>
      <c r="S42" s="3266"/>
      <c r="T42" s="3266" t="e">
        <f>ROUND(PRODUCT(T41,AB7:AB40),0)</f>
        <v>#DIV/0!</v>
      </c>
      <c r="U42" s="3266"/>
      <c r="V42" s="3266" t="e">
        <f>ROUND(PRODUCT(V41,AC7:AC40),0)</f>
        <v>#DIV/0!</v>
      </c>
      <c r="W42" s="3266"/>
      <c r="X42" s="699"/>
      <c r="Y42" s="699"/>
      <c r="Z42" s="699"/>
      <c r="AA42" s="699"/>
      <c r="AB42" s="699"/>
      <c r="AC42" s="699"/>
    </row>
    <row r="43" spans="1:31" ht="15.75" thickBot="1">
      <c r="A43" s="449" t="s">
        <v>2484</v>
      </c>
      <c r="B43" s="450"/>
      <c r="C43" s="451" t="e">
        <f>R43</f>
        <v>#DIV/0!</v>
      </c>
      <c r="D43" s="451"/>
      <c r="E43" s="451"/>
      <c r="F43" s="451"/>
      <c r="G43" s="451"/>
      <c r="H43" s="451"/>
      <c r="I43" s="451"/>
      <c r="J43" s="451"/>
      <c r="K43" s="724"/>
      <c r="L43" s="2951"/>
      <c r="M43" s="2943"/>
      <c r="N43" s="2943"/>
      <c r="O43" s="2952"/>
      <c r="P43" s="3267" t="str">
        <f>A43</f>
        <v>估价对象XX用房的比较价值（楼面单价，元/平方米）</v>
      </c>
      <c r="Q43" s="3268"/>
      <c r="R43" s="3269" t="e">
        <f>ROUND(IF(D42="简单平均",AVERAGE(R42:W42),R42*F42+T42*H42+V42*J42),0)</f>
        <v>#DIV/0!</v>
      </c>
      <c r="S43" s="3269"/>
      <c r="T43" s="3269"/>
      <c r="U43" s="3269"/>
      <c r="V43" s="3269"/>
      <c r="W43" s="326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2486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2487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2572</v>
      </c>
      <c r="B50" s="641" t="s">
        <v>2573</v>
      </c>
      <c r="C50" s="2167" t="s">
        <v>2574</v>
      </c>
      <c r="D50" s="2168" t="s">
        <v>2575</v>
      </c>
      <c r="E50" s="642" t="s">
        <v>2576</v>
      </c>
      <c r="F50" s="643" t="s">
        <v>2577</v>
      </c>
      <c r="G50" s="3270" t="s">
        <v>2578</v>
      </c>
      <c r="H50" s="3271"/>
      <c r="I50" s="1539" t="s">
        <v>2615</v>
      </c>
      <c r="J50" s="1539">
        <f>项目基本情况!F35</f>
        <v>0</v>
      </c>
      <c r="K50" s="2170" t="s">
        <v>2580</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2581</v>
      </c>
      <c r="B51" s="645" t="e">
        <f>C43</f>
        <v>#DIV/0!</v>
      </c>
      <c r="C51" s="646">
        <v>1</v>
      </c>
      <c r="D51" s="1075">
        <v>1</v>
      </c>
      <c r="E51" s="646">
        <f>'数据-汇总表'!E8+'数据-汇总表'!E9</f>
        <v>32920.199999999997</v>
      </c>
      <c r="F51" s="647" t="e">
        <f t="shared" ref="F51:F60" si="15">ROUND(B51*E51/10000,0)</f>
        <v>#DIV/0!</v>
      </c>
      <c r="G51" s="3272"/>
      <c r="H51" s="3273"/>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2582</v>
      </c>
      <c r="B52" s="224" t="e">
        <f>ROUND($C$43*C52*D52,0)</f>
        <v>#DIV/0!</v>
      </c>
      <c r="C52" s="176">
        <f t="shared" ref="C52:C60" si="16">IF($C$50="北京市系数",I52,J52)</f>
        <v>0</v>
      </c>
      <c r="D52" s="1076">
        <v>0.25</v>
      </c>
      <c r="E52" s="650"/>
      <c r="F52" s="647" t="e">
        <f t="shared" si="15"/>
        <v>#DIV/0!</v>
      </c>
      <c r="G52" s="3274" t="s">
        <v>2583</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2584</v>
      </c>
      <c r="B53" s="224" t="e">
        <f t="shared" ref="B53:B60" si="17">ROUND($C$43*C53*D53,0)</f>
        <v>#DIV/0!</v>
      </c>
      <c r="C53" s="176">
        <f t="shared" si="16"/>
        <v>0</v>
      </c>
      <c r="D53" s="1076">
        <v>0.25</v>
      </c>
      <c r="E53" s="650"/>
      <c r="F53" s="647" t="e">
        <f t="shared" si="15"/>
        <v>#DIV/0!</v>
      </c>
      <c r="G53" s="327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2585</v>
      </c>
      <c r="B54" s="224" t="e">
        <f t="shared" si="17"/>
        <v>#DIV/0!</v>
      </c>
      <c r="C54" s="176">
        <f t="shared" si="16"/>
        <v>0</v>
      </c>
      <c r="D54" s="1076">
        <v>0.25</v>
      </c>
      <c r="E54" s="650"/>
      <c r="F54" s="647" t="e">
        <f t="shared" si="15"/>
        <v>#DIV/0!</v>
      </c>
      <c r="G54" s="327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2586</v>
      </c>
      <c r="B55" s="224" t="e">
        <f t="shared" si="17"/>
        <v>#DIV/0!</v>
      </c>
      <c r="C55" s="176">
        <f t="shared" si="16"/>
        <v>0</v>
      </c>
      <c r="D55" s="1076">
        <v>0.25</v>
      </c>
      <c r="E55" s="650"/>
      <c r="F55" s="647" t="e">
        <f t="shared" si="15"/>
        <v>#DIV/0!</v>
      </c>
      <c r="G55" s="327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2587</v>
      </c>
      <c r="B56" s="224" t="e">
        <f t="shared" si="17"/>
        <v>#DIV/0!</v>
      </c>
      <c r="C56" s="176">
        <f t="shared" si="16"/>
        <v>0</v>
      </c>
      <c r="D56" s="1076">
        <v>0.25</v>
      </c>
      <c r="E56" s="223">
        <f>'数据-汇总表'!E11</f>
        <v>0</v>
      </c>
      <c r="F56" s="647" t="e">
        <f t="shared" si="15"/>
        <v>#DIV/0!</v>
      </c>
      <c r="G56" s="2171" t="s">
        <v>2588</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2589</v>
      </c>
      <c r="B57" s="224" t="e">
        <f t="shared" si="17"/>
        <v>#DIV/0!</v>
      </c>
      <c r="C57" s="176">
        <f t="shared" si="16"/>
        <v>0</v>
      </c>
      <c r="D57" s="1076">
        <v>0.25</v>
      </c>
      <c r="E57" s="223">
        <f>'数据-汇总表'!E12</f>
        <v>0</v>
      </c>
      <c r="F57" s="647" t="e">
        <f t="shared" si="15"/>
        <v>#DIV/0!</v>
      </c>
      <c r="G57" s="1023" t="s">
        <v>2590</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2591</v>
      </c>
      <c r="B58" s="224" t="e">
        <f t="shared" si="17"/>
        <v>#DIV/0!</v>
      </c>
      <c r="C58" s="176">
        <f t="shared" si="16"/>
        <v>0</v>
      </c>
      <c r="D58" s="1076">
        <v>0.25</v>
      </c>
      <c r="E58" s="223">
        <f>'数据-汇总表'!E13</f>
        <v>0</v>
      </c>
      <c r="F58" s="647" t="e">
        <f t="shared" si="15"/>
        <v>#DIV/0!</v>
      </c>
      <c r="G58" s="1023" t="s">
        <v>2592</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2593</v>
      </c>
      <c r="B59" s="224" t="e">
        <f t="shared" si="17"/>
        <v>#DIV/0!</v>
      </c>
      <c r="C59" s="176">
        <f t="shared" si="16"/>
        <v>0</v>
      </c>
      <c r="D59" s="1076">
        <v>0.25</v>
      </c>
      <c r="E59" s="223">
        <f>'数据-汇总表'!E14</f>
        <v>0</v>
      </c>
      <c r="F59" s="647" t="e">
        <f t="shared" si="15"/>
        <v>#DIV/0!</v>
      </c>
      <c r="G59" s="2171" t="s">
        <v>2583</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2594</v>
      </c>
      <c r="B60" s="224" t="e">
        <f t="shared" si="17"/>
        <v>#DIV/0!</v>
      </c>
      <c r="C60" s="176">
        <f t="shared" si="16"/>
        <v>0</v>
      </c>
      <c r="D60" s="1076">
        <v>0.25</v>
      </c>
      <c r="E60" s="223">
        <f>'数据-汇总表'!E15</f>
        <v>0</v>
      </c>
      <c r="F60" s="647" t="e">
        <f t="shared" si="15"/>
        <v>#DIV/0!</v>
      </c>
      <c r="G60" s="2172" t="s">
        <v>2588</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2595</v>
      </c>
      <c r="B61" s="652" t="s">
        <v>28</v>
      </c>
      <c r="C61" s="652" t="s">
        <v>29</v>
      </c>
      <c r="D61" s="652" t="s">
        <v>997</v>
      </c>
      <c r="E61" s="652">
        <f>IF(B41="楼面地价",SUM(E51:E60),'数据-汇总表'!D3)</f>
        <v>155390.20000000001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2488</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2596</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2616</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2399</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2364</v>
      </c>
      <c r="B68" s="467"/>
      <c r="C68" s="479" t="s">
        <v>2466</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2402</v>
      </c>
      <c r="B70" s="485" t="s">
        <v>2368</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2371</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2372</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2373</v>
      </c>
      <c r="B83" s="485" t="s">
        <v>2519</v>
      </c>
      <c r="C83" s="530" t="s">
        <v>2411</v>
      </c>
      <c r="D83" s="530" t="s">
        <v>2412</v>
      </c>
      <c r="E83" s="530" t="s">
        <v>2413</v>
      </c>
      <c r="F83" s="530" t="s">
        <v>2414</v>
      </c>
      <c r="G83" s="530" t="s">
        <v>2415</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2416</v>
      </c>
      <c r="C85" s="535" t="s">
        <v>2411</v>
      </c>
      <c r="D85" s="535" t="s">
        <v>2412</v>
      </c>
      <c r="E85" s="535" t="s">
        <v>2413</v>
      </c>
      <c r="F85" s="535" t="s">
        <v>2414</v>
      </c>
      <c r="G85" s="535" t="s">
        <v>2415</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2599</v>
      </c>
      <c r="C87" s="530" t="s">
        <v>2411</v>
      </c>
      <c r="D87" s="530" t="s">
        <v>2412</v>
      </c>
      <c r="E87" s="530" t="s">
        <v>2413</v>
      </c>
      <c r="F87" s="530" t="s">
        <v>2414</v>
      </c>
      <c r="G87" s="530" t="s">
        <v>2415</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2600</v>
      </c>
      <c r="C89" s="530" t="s">
        <v>2411</v>
      </c>
      <c r="D89" s="530" t="s">
        <v>2412</v>
      </c>
      <c r="E89" s="530" t="s">
        <v>2413</v>
      </c>
      <c r="F89" s="530" t="s">
        <v>2414</v>
      </c>
      <c r="G89" s="530" t="s">
        <v>2415</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2468</v>
      </c>
      <c r="C91" s="530" t="s">
        <v>2411</v>
      </c>
      <c r="D91" s="530" t="s">
        <v>2412</v>
      </c>
      <c r="E91" s="530" t="s">
        <v>2413</v>
      </c>
      <c r="F91" s="530" t="s">
        <v>2414</v>
      </c>
      <c r="G91" s="530" t="s">
        <v>2415</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2617</v>
      </c>
      <c r="C93" s="616" t="s">
        <v>2489</v>
      </c>
      <c r="D93" s="616" t="s">
        <v>2490</v>
      </c>
      <c r="E93" s="616" t="s">
        <v>2491</v>
      </c>
      <c r="F93" s="616" t="s">
        <v>2492</v>
      </c>
      <c r="G93" s="616" t="s">
        <v>2493</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2601</v>
      </c>
      <c r="D95" s="496" t="s">
        <v>2602</v>
      </c>
      <c r="E95" s="496" t="s">
        <v>2603</v>
      </c>
      <c r="F95" s="496" t="s">
        <v>2604</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2505</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2564</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2377</v>
      </c>
      <c r="B107" s="485" t="s">
        <v>2605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2606</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2608</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2609</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2618</v>
      </c>
      <c r="B1" s="203"/>
      <c r="C1" s="207" t="s">
        <v>2619</v>
      </c>
      <c r="D1" s="348">
        <f>SUM(D29:D30,D33:D39)</f>
        <v>0</v>
      </c>
      <c r="E1" s="2179"/>
      <c r="F1" s="2179"/>
      <c r="G1" s="2179"/>
      <c r="H1" s="2179"/>
      <c r="I1" s="2179"/>
      <c r="J1" s="2179"/>
      <c r="K1" s="1280"/>
      <c r="L1" s="2180" t="s">
        <v>2620</v>
      </c>
      <c r="M1" s="994">
        <f>SUMPRODUCT((区片价!B5:B9=I2)*(区片价!C3:F3=E2)*(区片价!C5:F9))</f>
        <v>0</v>
      </c>
      <c r="N1" s="997">
        <f>SUMPRODUCT((因素修正幅度!B5:B9=I2)*(因素修正幅度!C3:F3=E2)*(因素修正幅度!C5:F9))</f>
        <v>0</v>
      </c>
      <c r="O1" s="2181"/>
      <c r="P1" s="2181"/>
      <c r="Q1" s="1280"/>
      <c r="R1" s="1373" t="s">
        <v>2621</v>
      </c>
      <c r="S1" s="1373" t="s">
        <v>2622</v>
      </c>
      <c r="T1" s="1373" t="s">
        <v>2623</v>
      </c>
      <c r="U1" s="1373" t="s">
        <v>2624</v>
      </c>
      <c r="V1" s="1373" t="s">
        <v>2625</v>
      </c>
      <c r="W1" s="1377"/>
      <c r="X1" s="1377"/>
      <c r="Y1" s="1377"/>
      <c r="Z1" s="1377"/>
      <c r="AA1" s="1377"/>
      <c r="AB1" s="1377"/>
      <c r="AC1" s="1378"/>
      <c r="AD1" s="1379"/>
      <c r="AE1" s="1379"/>
      <c r="AF1" s="1379"/>
      <c r="AG1" s="1379"/>
      <c r="AH1" s="1379"/>
      <c r="AI1" s="1379"/>
      <c r="AJ1" s="1380"/>
    </row>
    <row r="2" spans="1:36" ht="15.75">
      <c r="A2" s="207" t="s">
        <v>2626</v>
      </c>
      <c r="B2" s="210" t="e">
        <f>C26</f>
        <v>#DIV/0!</v>
      </c>
      <c r="C2" s="2183" t="s">
        <v>2627</v>
      </c>
      <c r="D2" s="2184" t="s">
        <v>2628</v>
      </c>
      <c r="E2" s="2185"/>
      <c r="F2" s="2184" t="s">
        <v>2629</v>
      </c>
      <c r="G2" s="2186">
        <f>IF(E2="商业",项目基本情况!B37,IF(E2="办公",项目基本情况!C37,IF(E2="住宅",项目基本情况!D37,项目基本情况!E37)))</f>
        <v>0</v>
      </c>
      <c r="H2" s="2184" t="s">
        <v>2630</v>
      </c>
      <c r="I2" s="2186">
        <f>IF(E2="商业",项目基本情况!B38,IF(E2="办公",项目基本情况!C38,IF(E2="住宅",项目基本情况!D38,项目基本情况!E38)))</f>
        <v>0</v>
      </c>
      <c r="J2" s="2187"/>
      <c r="K2" s="1280"/>
      <c r="L2" s="2188" t="s">
        <v>2631</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2632</v>
      </c>
      <c r="B3" s="210" t="e">
        <f>ROUND(B2*10000/D1,0)</f>
        <v>#DIV/0!</v>
      </c>
      <c r="C3" s="2183" t="s">
        <v>2633</v>
      </c>
      <c r="D3" s="2184" t="s">
        <v>2634</v>
      </c>
      <c r="E3" s="2189"/>
      <c r="F3" s="2190" t="s">
        <v>2635</v>
      </c>
      <c r="G3" s="855">
        <f>IF(F3="宗地容积率",'数据-汇总表'!I4,IF(F3="估价对象容积率",'数据-汇总表'!I6,'数据-汇总表'!I7))</f>
        <v>0.21</v>
      </c>
      <c r="H3" s="175" t="s">
        <v>2636</v>
      </c>
      <c r="I3" s="881"/>
      <c r="J3" s="2187" t="s">
        <v>2637</v>
      </c>
      <c r="K3" s="1280"/>
      <c r="L3" s="2188" t="s">
        <v>2638</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0"/>
      <c r="B4" s="3371"/>
      <c r="C4" s="3371"/>
      <c r="D4" s="3372"/>
      <c r="E4" s="3372"/>
      <c r="F4" s="3372"/>
      <c r="G4" s="3372"/>
      <c r="H4" s="3372"/>
      <c r="I4" s="3372"/>
      <c r="J4" s="3373"/>
      <c r="K4" s="1280"/>
      <c r="L4" s="2188" t="s">
        <v>2639</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2640</v>
      </c>
      <c r="C5" s="856" t="e">
        <f>ROUND(IF(E2="商业",C6*C7+C16,(IF(E2="住宅",C6*C12+C16,C6+C16))),0)</f>
        <v>#DIV/0!</v>
      </c>
      <c r="D5" s="1522" t="e">
        <f>ROUND(C6+C16,0)</f>
        <v>#DIV/0!</v>
      </c>
      <c r="E5" s="1522"/>
      <c r="F5" s="2193"/>
      <c r="G5" s="2194"/>
      <c r="H5" s="2194"/>
      <c r="I5" s="2194"/>
      <c r="J5" s="2195"/>
      <c r="K5" s="2196"/>
      <c r="L5" s="2188" t="s">
        <v>2641</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2642</v>
      </c>
      <c r="B6" s="2202" t="s">
        <v>2643</v>
      </c>
      <c r="C6" s="857">
        <f>SUMIF(L1:L12,G2,M1:M12)</f>
        <v>0</v>
      </c>
      <c r="D6" s="2203" t="s">
        <v>2644</v>
      </c>
      <c r="E6" s="2204"/>
      <c r="F6" s="2204"/>
      <c r="G6" s="2205"/>
      <c r="H6" s="2205"/>
      <c r="I6" s="2205"/>
      <c r="J6" s="2206"/>
      <c r="K6" s="1567"/>
      <c r="L6" s="2188" t="s">
        <v>2645</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74" t="str">
        <f>IF(E2="商业",IF(C8="不临58条商业街","",2),"")</f>
        <v/>
      </c>
      <c r="B7" s="2207" t="s">
        <v>2646</v>
      </c>
      <c r="C7" s="858" t="e">
        <f>IF(C8="不临58条商业街",1,ROUND(1+(1.6*E8+1.2*E9+0.8*E10+0.4*E11)*C9,4))</f>
        <v>#DIV/0!</v>
      </c>
      <c r="D7" s="2208" t="s">
        <v>2647</v>
      </c>
      <c r="E7" s="882"/>
      <c r="F7" s="2209"/>
      <c r="G7" s="2210"/>
      <c r="H7" s="2210"/>
      <c r="I7" s="2210"/>
      <c r="J7" s="2211"/>
      <c r="K7" s="1567"/>
      <c r="L7" s="2188" t="s">
        <v>2648</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2649</v>
      </c>
      <c r="X7" s="1375">
        <f>G2</f>
        <v>0</v>
      </c>
      <c r="Y7" s="1375" t="s">
        <v>2650</v>
      </c>
      <c r="Z7" s="1376">
        <f>G3</f>
        <v>0.21</v>
      </c>
      <c r="AA7" s="1377"/>
      <c r="AB7" s="1377"/>
      <c r="AC7" s="1378"/>
      <c r="AD7" s="1379"/>
      <c r="AE7" s="1379"/>
      <c r="AF7" s="1379"/>
      <c r="AG7" s="1379"/>
      <c r="AH7" s="1379"/>
      <c r="AI7" s="1379"/>
      <c r="AJ7" s="1380"/>
    </row>
    <row r="8" spans="1:36" ht="15">
      <c r="A8" s="3375"/>
      <c r="B8" s="175" t="s">
        <v>2651</v>
      </c>
      <c r="C8" s="2212"/>
      <c r="D8" s="859" t="s">
        <v>139</v>
      </c>
      <c r="E8" s="860" t="e">
        <f>ROUND(C11/E7,4)</f>
        <v>#DIV/0!</v>
      </c>
      <c r="F8" s="2213" t="s">
        <v>2652</v>
      </c>
      <c r="G8" s="2214"/>
      <c r="H8" s="2214"/>
      <c r="I8" s="2214"/>
      <c r="J8" s="2215"/>
      <c r="K8" s="1280"/>
      <c r="L8" s="2188" t="s">
        <v>2653</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7" t="s">
        <v>2654</v>
      </c>
      <c r="X8" s="3368"/>
      <c r="Y8" s="1381" t="s">
        <v>2655</v>
      </c>
      <c r="Z8" s="1381" t="s">
        <v>2656</v>
      </c>
      <c r="AA8" s="1381" t="s">
        <v>2657</v>
      </c>
      <c r="AB8" s="1381" t="s">
        <v>2658</v>
      </c>
      <c r="AC8" s="1381" t="s">
        <v>2659</v>
      </c>
      <c r="AD8" s="1381" t="s">
        <v>2660</v>
      </c>
      <c r="AE8" s="1381" t="s">
        <v>2661</v>
      </c>
      <c r="AF8" s="1381" t="s">
        <v>2662</v>
      </c>
      <c r="AG8" s="1381" t="s">
        <v>2663</v>
      </c>
      <c r="AH8" s="1381" t="s">
        <v>2664</v>
      </c>
      <c r="AI8" s="1381" t="s">
        <v>2665</v>
      </c>
      <c r="AJ8" s="1381" t="s">
        <v>2666</v>
      </c>
    </row>
    <row r="9" spans="1:36" ht="15">
      <c r="A9" s="3375"/>
      <c r="B9" s="175" t="s">
        <v>2667</v>
      </c>
      <c r="C9" s="861">
        <f>SUMIF(修正!C59:C119,C8,修正!E59:E119)</f>
        <v>0</v>
      </c>
      <c r="D9" s="176" t="s">
        <v>140</v>
      </c>
      <c r="E9" s="176" t="e">
        <f>ROUND(C11/E7,4)</f>
        <v>#DIV/0!</v>
      </c>
      <c r="F9" s="2213" t="s">
        <v>2668</v>
      </c>
      <c r="G9" s="2214"/>
      <c r="H9" s="2214"/>
      <c r="I9" s="2214"/>
      <c r="J9" s="2215"/>
      <c r="K9" s="1280"/>
      <c r="L9" s="2188" t="s">
        <v>2669</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69" t="s">
        <v>2670</v>
      </c>
      <c r="X9" s="1382" t="s">
        <v>2671</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5"/>
      <c r="B10" s="175" t="s">
        <v>2672</v>
      </c>
      <c r="C10" s="176">
        <f>SUMIF(修正!C59:C119,C8,修正!F59:F119)</f>
        <v>0</v>
      </c>
      <c r="D10" s="176" t="s">
        <v>141</v>
      </c>
      <c r="E10" s="176" t="e">
        <f>ROUND(C11/E7,4)</f>
        <v>#DIV/0!</v>
      </c>
      <c r="F10" s="2213" t="s">
        <v>2673</v>
      </c>
      <c r="G10" s="2214"/>
      <c r="H10" s="2214"/>
      <c r="I10" s="2214"/>
      <c r="J10" s="2215"/>
      <c r="K10" s="1280"/>
      <c r="L10" s="2188" t="s">
        <v>2674</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6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5"/>
      <c r="B11" s="2216" t="s">
        <v>2675</v>
      </c>
      <c r="C11" s="862">
        <f>C10/4</f>
        <v>0</v>
      </c>
      <c r="D11" s="862" t="s">
        <v>142</v>
      </c>
      <c r="E11" s="862" t="e">
        <f>ROUND(C11/E7,4)</f>
        <v>#DIV/0!</v>
      </c>
      <c r="F11" s="2217" t="s">
        <v>2676</v>
      </c>
      <c r="G11" s="2218"/>
      <c r="H11" s="2218"/>
      <c r="I11" s="2218"/>
      <c r="J11" s="2219"/>
      <c r="K11" s="1280"/>
      <c r="L11" s="2188" t="s">
        <v>2677</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69" t="s">
        <v>2678</v>
      </c>
      <c r="X11" s="1385" t="s">
        <v>2679</v>
      </c>
      <c r="Y11" s="1386">
        <f>$G$3</f>
        <v>0.21</v>
      </c>
      <c r="Z11" s="1386">
        <f t="shared" ref="Z11:AJ11" si="3">$G$3</f>
        <v>0.21</v>
      </c>
      <c r="AA11" s="1386">
        <f t="shared" si="3"/>
        <v>0.21</v>
      </c>
      <c r="AB11" s="1386">
        <f t="shared" si="3"/>
        <v>0.21</v>
      </c>
      <c r="AC11" s="1386">
        <f t="shared" si="3"/>
        <v>0.21</v>
      </c>
      <c r="AD11" s="1386">
        <f t="shared" si="3"/>
        <v>0.21</v>
      </c>
      <c r="AE11" s="1386">
        <f t="shared" si="3"/>
        <v>0.21</v>
      </c>
      <c r="AF11" s="1386">
        <f t="shared" si="3"/>
        <v>0.21</v>
      </c>
      <c r="AG11" s="1386">
        <f t="shared" si="3"/>
        <v>0.21</v>
      </c>
      <c r="AH11" s="1386">
        <f t="shared" si="3"/>
        <v>0.21</v>
      </c>
      <c r="AI11" s="1386">
        <f t="shared" si="3"/>
        <v>0.21</v>
      </c>
      <c r="AJ11" s="1386">
        <f t="shared" si="3"/>
        <v>0.21</v>
      </c>
    </row>
    <row r="12" spans="1:36" ht="25.5" thickBot="1">
      <c r="A12" s="3374" t="s">
        <v>2680</v>
      </c>
      <c r="B12" s="2220" t="s">
        <v>2681</v>
      </c>
      <c r="C12" s="858">
        <f>ROUND(C15*D15*E15*F15*G15*H15*I15*J15,4)</f>
        <v>1</v>
      </c>
      <c r="D12" s="2221" t="s">
        <v>2682</v>
      </c>
      <c r="E12" s="2222"/>
      <c r="F12" s="2222"/>
      <c r="G12" s="2223"/>
      <c r="H12" s="2223"/>
      <c r="I12" s="2223"/>
      <c r="J12" s="2224"/>
      <c r="K12" s="1280"/>
      <c r="L12" s="2225" t="s">
        <v>2683</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69"/>
      <c r="X12" s="1387" t="s">
        <v>2684</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6"/>
      <c r="B13" s="2226" t="s">
        <v>2685</v>
      </c>
      <c r="C13" s="2227" t="s">
        <v>2686</v>
      </c>
      <c r="D13" s="1533" t="s">
        <v>2687</v>
      </c>
      <c r="E13" s="1533" t="s">
        <v>2688</v>
      </c>
      <c r="F13" s="30" t="s">
        <v>2689</v>
      </c>
      <c r="G13" s="2228" t="s">
        <v>2690</v>
      </c>
      <c r="H13" s="2228" t="s">
        <v>2690</v>
      </c>
      <c r="I13" s="2228" t="s">
        <v>2690</v>
      </c>
      <c r="J13" s="2229" t="s">
        <v>2690</v>
      </c>
      <c r="K13" s="1280"/>
      <c r="L13" s="1280"/>
      <c r="M13" s="1280"/>
      <c r="N13" s="1280"/>
      <c r="O13" s="1280"/>
      <c r="P13" s="1280"/>
      <c r="Q13" s="1280"/>
      <c r="R13" s="1373">
        <v>12</v>
      </c>
      <c r="S13" s="1374"/>
      <c r="T13" s="1373" t="e">
        <f t="shared" si="0"/>
        <v>#DIV/0!</v>
      </c>
      <c r="U13" s="1374"/>
      <c r="V13" s="1373" t="e">
        <f t="shared" si="1"/>
        <v>#DIV/0!</v>
      </c>
      <c r="W13" s="3369"/>
      <c r="X13" s="1387"/>
      <c r="Y13" s="1384">
        <f>(-0.163*(Y12^2)-0.59*Y12+7617)*(10^(-4))/Y11</f>
        <v>3.6271428571428577</v>
      </c>
      <c r="Z13" s="1384">
        <f t="shared" ref="Z13:AJ13" si="5">(-0.163*(Z12^2)-0.59*Z12+7617)*(10^(-4))/Z11</f>
        <v>3.6271428571428577</v>
      </c>
      <c r="AA13" s="1384">
        <f t="shared" si="5"/>
        <v>3.6271428571428577</v>
      </c>
      <c r="AB13" s="1384">
        <f t="shared" si="5"/>
        <v>3.6271428571428577</v>
      </c>
      <c r="AC13" s="1384">
        <f t="shared" si="5"/>
        <v>3.6271428571428577</v>
      </c>
      <c r="AD13" s="1384">
        <f t="shared" si="5"/>
        <v>3.6271428571428577</v>
      </c>
      <c r="AE13" s="1384">
        <f t="shared" si="5"/>
        <v>3.6271428571428577</v>
      </c>
      <c r="AF13" s="1384">
        <f t="shared" si="5"/>
        <v>3.6271428571428577</v>
      </c>
      <c r="AG13" s="1384">
        <f t="shared" si="5"/>
        <v>3.6271428571428577</v>
      </c>
      <c r="AH13" s="1384">
        <f t="shared" si="5"/>
        <v>3.6271428571428577</v>
      </c>
      <c r="AI13" s="1384">
        <f t="shared" si="5"/>
        <v>3.6271428571428577</v>
      </c>
      <c r="AJ13" s="1384">
        <f t="shared" si="5"/>
        <v>3.6271428571428577</v>
      </c>
    </row>
    <row r="14" spans="1:36" ht="15">
      <c r="A14" s="3376"/>
      <c r="B14" s="2230"/>
      <c r="C14" s="2231"/>
      <c r="D14" s="2232"/>
      <c r="E14" s="2232"/>
      <c r="F14" s="2233"/>
      <c r="G14" s="2234" t="s">
        <v>2691</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77"/>
      <c r="B15" s="2238" t="s">
        <v>2692</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74" t="s">
        <v>2697</v>
      </c>
      <c r="B16" s="2207" t="s">
        <v>2698</v>
      </c>
      <c r="C16" s="2369" t="e">
        <f>ROUND(IF(F17="与级别开发程度一致",0,(G17-E17)/C17),0)</f>
        <v>#DIV/0!</v>
      </c>
      <c r="D16" s="3390" t="s">
        <v>2702</v>
      </c>
      <c r="E16" s="3391"/>
      <c r="F16" s="3390" t="s">
        <v>2699</v>
      </c>
      <c r="G16" s="3391"/>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78"/>
      <c r="B17" s="2380" t="s">
        <v>2701</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2704</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2705</v>
      </c>
      <c r="C19" s="863" t="e">
        <f>ROUND(IF(H19="按公示增长率计算",SUMPRODUCT((地价!A3:A34=YEAR(G19)&amp;"-"&amp;ROUNDUP(MONTH(G19)/3,0))*(地价!X2:AB2=E2)*(地价!X3:AB34)),IF(H19="地价指数",M20/M19,(1+I19)^O19)),4)</f>
        <v>#VALUE!</v>
      </c>
      <c r="D19" s="2249" t="s">
        <v>2706</v>
      </c>
      <c r="E19" s="864">
        <v>41640</v>
      </c>
      <c r="F19" s="2249" t="s">
        <v>2707</v>
      </c>
      <c r="G19" s="865">
        <f>'数据-取费表'!B2</f>
        <v>44322</v>
      </c>
      <c r="H19" s="2250"/>
      <c r="I19" s="866" t="str">
        <f>IF(H19="季度增幅（自定义）",SUMIF(N21:N24,E2,O21:O24),"")</f>
        <v/>
      </c>
      <c r="J19" s="2247"/>
      <c r="K19" s="1287"/>
      <c r="L19" s="2251" t="s">
        <v>2708</v>
      </c>
      <c r="M19" s="1495">
        <f>ROUND(SUMIF(地价!B2:F2,E2,地价!B34:F34),0)</f>
        <v>0</v>
      </c>
      <c r="N19" s="2252" t="s">
        <v>2709</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2710</v>
      </c>
      <c r="C20" s="868" t="e">
        <f>ROUND(POWER(1+G20,J20-I20)*(POWER(1+G20,I20)-1)/(POWER(1+G20,J20)-1),4)</f>
        <v>#DIV/0!</v>
      </c>
      <c r="D20" s="2256" t="s">
        <v>2711</v>
      </c>
      <c r="E20" s="1504">
        <f>存贷款利率!E18/100</f>
        <v>4.3499999999999997E-2</v>
      </c>
      <c r="F20" s="2256" t="s">
        <v>2703</v>
      </c>
      <c r="G20" s="873">
        <f>SUMIF(M26:P26,E2,M28:P28)</f>
        <v>0</v>
      </c>
      <c r="H20" s="2256" t="s">
        <v>2712</v>
      </c>
      <c r="I20" s="874" t="e">
        <f>SUMIF('数据-取费表'!C6:C15,E2,'数据-取费表'!F6:F15)/COUNTIF('数据-取费表'!C6:C15,E2)</f>
        <v>#DIV/0!</v>
      </c>
      <c r="J20" s="875">
        <f>IF(E2="住宅",70,IF(E2="商业",40,50))</f>
        <v>50</v>
      </c>
      <c r="K20" s="1287"/>
      <c r="L20" s="2257" t="s">
        <v>2713</v>
      </c>
      <c r="M20" s="1496">
        <f>ROUND(SUMPRODUCT((地价!A4:A34=YEAR(G19)&amp;"-"&amp;ROUNDUP(MONTH(G19)/3,0))*(地价!B2:F2=E2)*(地价!B4:F34)),0)</f>
        <v>0</v>
      </c>
      <c r="N20" s="2258" t="s">
        <v>2714</v>
      </c>
      <c r="O20" s="2259" t="s">
        <v>2715</v>
      </c>
      <c r="P20" s="2260" t="s">
        <v>2716</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2717</v>
      </c>
      <c r="C21" s="876">
        <f>IF(B21="容积率修正",IF(G3&lt;=10,D22,J22),C23)</f>
        <v>0</v>
      </c>
      <c r="D21" s="2263"/>
      <c r="E21" s="2263"/>
      <c r="F21" s="2263"/>
      <c r="G21" s="2263"/>
      <c r="H21" s="2263"/>
      <c r="I21" s="2263"/>
      <c r="J21" s="2264"/>
      <c r="K21" s="1287"/>
      <c r="L21" s="3017"/>
      <c r="M21" s="3017"/>
      <c r="N21" s="2265" t="s">
        <v>2718</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2719</v>
      </c>
      <c r="B22" s="2266" t="s">
        <v>2720</v>
      </c>
      <c r="C22" s="1535" t="s">
        <v>2721</v>
      </c>
      <c r="D22" s="1535">
        <f>IF(E22=G22,F22,IF(G3&lt;=10,ROUND(F22+(H22-F22)*(G3-E22)/(G22-E22),4),"——"))</f>
        <v>0</v>
      </c>
      <c r="E22" s="855">
        <f>ROUNDDOWN(G3,1)</f>
        <v>0.2</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2722</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2723</v>
      </c>
      <c r="B23" s="2267" t="s">
        <v>2724</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2725</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2726</v>
      </c>
      <c r="C24" s="863">
        <f>SUMIF(A45:A88,E2,B45:B88)</f>
        <v>0</v>
      </c>
      <c r="D24" s="2246"/>
      <c r="E24" s="2273"/>
      <c r="F24" s="2273"/>
      <c r="G24" s="2273"/>
      <c r="H24" s="2273"/>
      <c r="I24" s="2273"/>
      <c r="J24" s="2274"/>
      <c r="K24" s="1287"/>
      <c r="L24" s="3017"/>
      <c r="M24" s="3017"/>
      <c r="N24" s="2275" t="s">
        <v>2727</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2728</v>
      </c>
      <c r="C25" s="869"/>
      <c r="D25" s="2210"/>
      <c r="E25" s="2210"/>
      <c r="F25" s="2277"/>
      <c r="G25" s="2210"/>
      <c r="H25" s="2210"/>
      <c r="I25" s="2210"/>
      <c r="J25" s="2211"/>
      <c r="K25" s="1280"/>
      <c r="L25" s="2181"/>
      <c r="M25" s="2181"/>
      <c r="N25" s="3012" t="s">
        <v>2729</v>
      </c>
      <c r="O25" s="3013"/>
      <c r="P25" s="3014">
        <f>SUMPRODUCT((地价!A3:A34=YEAR(G19)&amp;"-"&amp;ROUNDUP(MONTH(G19)/3,0))*(地价!AD2:AH2=N25)*(地价!AD3:AH34))</f>
        <v>1.7299999999999999E-2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2730</v>
      </c>
      <c r="C26" s="2540" t="e">
        <f>IF(B21="容积率修正",E29+SUM(E33:E39),SUM(V2:V16)+SUM(E33:E39))</f>
        <v>#DIV/0!</v>
      </c>
      <c r="D26" s="2279"/>
      <c r="E26" s="2235"/>
      <c r="F26" s="2280"/>
      <c r="G26" s="2235"/>
      <c r="H26" s="2235"/>
      <c r="I26" s="2235"/>
      <c r="J26" s="2281"/>
      <c r="K26" s="1280"/>
      <c r="L26" s="3015" t="s">
        <v>2628</v>
      </c>
      <c r="M26" s="2208" t="s">
        <v>2693</v>
      </c>
      <c r="N26" s="2208" t="s">
        <v>2694</v>
      </c>
      <c r="O26" s="2208" t="s">
        <v>2695</v>
      </c>
      <c r="P26" s="3016" t="s">
        <v>2696</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2731</v>
      </c>
      <c r="C27" s="870" t="e">
        <f>E30+SUM(I33:I39)</f>
        <v>#DIV/0!</v>
      </c>
      <c r="D27" s="2283"/>
      <c r="E27" s="2284"/>
      <c r="F27" s="2285"/>
      <c r="G27" s="2284"/>
      <c r="H27" s="2284"/>
      <c r="I27" s="2284"/>
      <c r="J27" s="2286"/>
      <c r="K27" s="1280"/>
      <c r="L27" s="2241"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2732</v>
      </c>
      <c r="C28" s="2289" t="s">
        <v>2733</v>
      </c>
      <c r="D28" s="2289" t="s">
        <v>2734</v>
      </c>
      <c r="E28" s="2290" t="s">
        <v>2735</v>
      </c>
      <c r="F28" s="2291"/>
      <c r="G28" s="2223"/>
      <c r="H28" s="2223"/>
      <c r="I28" s="2223"/>
      <c r="J28" s="2224"/>
      <c r="K28" s="1280"/>
      <c r="L28" s="2242"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2736</v>
      </c>
      <c r="C29" s="180" t="e">
        <f>ROUND(C5*C18*C19*C20*C21*C24,0)</f>
        <v>#DIV/0!</v>
      </c>
      <c r="D29" s="2294"/>
      <c r="E29" s="879" t="e">
        <f>ROUND(C29*D29/10000,0)</f>
        <v>#DIV/0!</v>
      </c>
      <c r="F29" s="2295" t="s">
        <v>2737</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2738</v>
      </c>
      <c r="C30" s="193" t="e">
        <f>ROUND(IF(E2="工业",C29*M39,C29*M38),0)</f>
        <v>#DIV/0!</v>
      </c>
      <c r="D30" s="2300"/>
      <c r="E30" s="879" t="e">
        <f>ROUND(C30*D30/10000,0)</f>
        <v>#DIV/0!</v>
      </c>
      <c r="F30" s="2301" t="s">
        <v>2739</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2740</v>
      </c>
      <c r="C31" s="2306" t="s">
        <v>2741</v>
      </c>
      <c r="D31" s="2223"/>
      <c r="E31" s="2306"/>
      <c r="F31" s="2306"/>
      <c r="G31" s="2221" t="s">
        <v>2742</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2733</v>
      </c>
      <c r="D32" s="455" t="s">
        <v>2734</v>
      </c>
      <c r="E32" s="455" t="s">
        <v>2735</v>
      </c>
      <c r="F32" s="348" t="s">
        <v>2743</v>
      </c>
      <c r="G32" s="2309" t="s">
        <v>2733</v>
      </c>
      <c r="H32" s="2309" t="s">
        <v>2734</v>
      </c>
      <c r="I32" s="2309"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87"/>
      <c r="B33" s="2310" t="s">
        <v>2744</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2"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88"/>
      <c r="B34" s="2227" t="s">
        <v>2745</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88"/>
      <c r="B35" s="2227" t="s">
        <v>2746</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8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89"/>
      <c r="B36" s="2227" t="s">
        <v>2747</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89"/>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2748</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2749</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2750</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2751</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2752</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2696</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2857</v>
      </c>
      <c r="C41" s="348" t="e">
        <f>ROUND(POWER(1+E41,H41-G41)*(POWER(1+E41,G41)-1)/(POWER(1+E41,H41)-1),4)</f>
        <v>#DIV/0!</v>
      </c>
      <c r="D41" s="176" t="s">
        <v>2703</v>
      </c>
      <c r="E41" s="2367">
        <f>G20</f>
        <v>0</v>
      </c>
      <c r="F41" s="176" t="s">
        <v>2712</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2753</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2754</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2755</v>
      </c>
      <c r="B47" s="1534" t="s">
        <v>2756</v>
      </c>
      <c r="C47" s="1534" t="s">
        <v>2757</v>
      </c>
      <c r="D47" s="1534" t="s">
        <v>2758</v>
      </c>
      <c r="E47" s="758" t="s">
        <v>2759</v>
      </c>
      <c r="F47" s="2328" t="s">
        <v>2760</v>
      </c>
      <c r="G47" s="1534" t="s">
        <v>754</v>
      </c>
      <c r="H47" s="2329" t="s">
        <v>2761</v>
      </c>
      <c r="I47" s="1534" t="s">
        <v>2762</v>
      </c>
      <c r="J47" s="560" t="s">
        <v>2411</v>
      </c>
      <c r="K47" s="560" t="s">
        <v>2412</v>
      </c>
      <c r="L47" s="560" t="s">
        <v>2413</v>
      </c>
      <c r="M47" s="560" t="s">
        <v>2414</v>
      </c>
      <c r="N47" s="560" t="s">
        <v>2415</v>
      </c>
      <c r="AA47" s="1281"/>
      <c r="AB47" s="1281"/>
      <c r="AC47" s="1281"/>
      <c r="AD47" s="1281"/>
      <c r="AE47" s="1281"/>
      <c r="AF47" s="1281"/>
      <c r="AG47" s="1281"/>
      <c r="AH47" s="1281"/>
      <c r="AI47" s="1281"/>
      <c r="AJ47" s="1281"/>
      <c r="AK47" s="1281"/>
    </row>
    <row r="48" spans="1:37" s="1280" customFormat="1" ht="38.25">
      <c r="A48" s="2327" t="s">
        <v>2763</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2764</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2765</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2766</v>
      </c>
      <c r="B51" s="2332" t="s">
        <v>2767</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2768</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2769</v>
      </c>
      <c r="B53" s="2333" t="s">
        <v>2770</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2771</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2772</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2773</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2774</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2755</v>
      </c>
      <c r="B58" s="1534"/>
      <c r="C58" s="1534" t="s">
        <v>2757</v>
      </c>
      <c r="D58" s="1534" t="s">
        <v>2758</v>
      </c>
      <c r="E58" s="758" t="s">
        <v>2759</v>
      </c>
      <c r="F58" s="2328" t="s">
        <v>2775</v>
      </c>
      <c r="G58" s="1534" t="s">
        <v>754</v>
      </c>
      <c r="H58" s="2329" t="s">
        <v>2761</v>
      </c>
      <c r="I58" s="1534" t="s">
        <v>2762</v>
      </c>
      <c r="J58" s="560" t="s">
        <v>2411</v>
      </c>
      <c r="K58" s="560" t="s">
        <v>2412</v>
      </c>
      <c r="L58" s="560" t="s">
        <v>2413</v>
      </c>
      <c r="M58" s="560" t="s">
        <v>2414</v>
      </c>
      <c r="N58" s="560" t="s">
        <v>2415</v>
      </c>
      <c r="AA58" s="1281"/>
      <c r="AB58" s="1281"/>
      <c r="AC58" s="1281"/>
      <c r="AD58" s="1281"/>
      <c r="AE58" s="1281"/>
      <c r="AF58" s="1281"/>
      <c r="AG58" s="1281"/>
      <c r="AH58" s="1281"/>
      <c r="AI58" s="1281"/>
      <c r="AJ58" s="1281"/>
      <c r="AK58" s="1281"/>
    </row>
    <row r="59" spans="1:37" s="1280" customFormat="1" ht="38.25">
      <c r="A59" s="2327" t="s">
        <v>2776</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2764</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2765</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2766</v>
      </c>
      <c r="B62" s="2332" t="s">
        <v>2767</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2768</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2769</v>
      </c>
      <c r="B64" s="2333" t="s">
        <v>2770</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2771</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2772</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2773</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2777</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2755</v>
      </c>
      <c r="B69" s="1534"/>
      <c r="C69" s="1534" t="s">
        <v>2757</v>
      </c>
      <c r="D69" s="1534" t="s">
        <v>2758</v>
      </c>
      <c r="E69" s="758" t="s">
        <v>2759</v>
      </c>
      <c r="F69" s="2328" t="s">
        <v>2775</v>
      </c>
      <c r="G69" s="1534" t="s">
        <v>754</v>
      </c>
      <c r="H69" s="2329" t="s">
        <v>2761</v>
      </c>
      <c r="I69" s="1534" t="s">
        <v>2762</v>
      </c>
      <c r="J69" s="560" t="s">
        <v>2411</v>
      </c>
      <c r="K69" s="560" t="s">
        <v>2412</v>
      </c>
      <c r="L69" s="560" t="s">
        <v>2413</v>
      </c>
      <c r="M69" s="560" t="s">
        <v>2414</v>
      </c>
      <c r="N69" s="560" t="s">
        <v>2415</v>
      </c>
      <c r="AA69" s="1281"/>
      <c r="AB69" s="1281"/>
      <c r="AC69" s="1281"/>
      <c r="AD69" s="1281"/>
      <c r="AE69" s="1281"/>
      <c r="AF69" s="1281"/>
      <c r="AG69" s="1281"/>
      <c r="AH69" s="1281"/>
      <c r="AI69" s="1281"/>
      <c r="AJ69" s="1281"/>
      <c r="AK69" s="1281"/>
    </row>
    <row r="70" spans="1:37" s="1280" customFormat="1" ht="51">
      <c r="A70" s="2327" t="s">
        <v>2778</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2764</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2765</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2779</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2771</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2772</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2769</v>
      </c>
      <c r="B76" s="2333" t="s">
        <v>2770</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2773</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2780</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2781</v>
      </c>
      <c r="B79" s="2324">
        <f>1+E81</f>
        <v>1</v>
      </c>
      <c r="C79" s="753"/>
      <c r="D79" s="753"/>
      <c r="E79" s="754"/>
      <c r="F79" s="2326"/>
      <c r="G79" s="6"/>
      <c r="H79" s="6"/>
      <c r="I79" s="6"/>
      <c r="J79" s="7"/>
      <c r="K79" s="7"/>
      <c r="L79" s="7"/>
      <c r="M79" s="7"/>
      <c r="N79" s="7"/>
      <c r="Z79" s="2182"/>
      <c r="AA79" s="2248"/>
      <c r="AG79" s="1282"/>
      <c r="AK79" s="2248"/>
    </row>
    <row r="80" spans="1:37" ht="24.75">
      <c r="A80" s="2327" t="s">
        <v>2755</v>
      </c>
      <c r="B80" s="1534"/>
      <c r="C80" s="1534" t="s">
        <v>2757</v>
      </c>
      <c r="D80" s="1534" t="s">
        <v>2758</v>
      </c>
      <c r="E80" s="758" t="s">
        <v>2759</v>
      </c>
      <c r="F80" s="2328" t="s">
        <v>2775</v>
      </c>
      <c r="G80" s="1534" t="s">
        <v>754</v>
      </c>
      <c r="H80" s="2329" t="s">
        <v>2761</v>
      </c>
      <c r="I80" s="1534" t="s">
        <v>2762</v>
      </c>
      <c r="J80" s="560" t="s">
        <v>2411</v>
      </c>
      <c r="K80" s="560" t="s">
        <v>2412</v>
      </c>
      <c r="L80" s="560" t="s">
        <v>2413</v>
      </c>
      <c r="M80" s="560" t="s">
        <v>2414</v>
      </c>
      <c r="N80" s="560" t="s">
        <v>2415</v>
      </c>
      <c r="Z80" s="2182"/>
      <c r="AA80" s="2248"/>
      <c r="AG80" s="1282"/>
      <c r="AK80" s="2248"/>
    </row>
    <row r="81" spans="1:37" ht="38.25">
      <c r="A81" s="2327" t="s">
        <v>2782</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2764</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2765</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2779</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2771</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2772</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2769</v>
      </c>
      <c r="B87" s="2333" t="s">
        <v>2783</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2784</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79" t="s">
        <v>2785</v>
      </c>
      <c r="B90" s="3379"/>
      <c r="C90" s="3379"/>
      <c r="D90" s="3379"/>
      <c r="E90" s="3379"/>
      <c r="F90" s="3379"/>
      <c r="G90" s="3379"/>
      <c r="H90" s="3379"/>
      <c r="I90" s="3379"/>
      <c r="J90" s="3379"/>
      <c r="K90" s="2341"/>
      <c r="L90" s="2341"/>
      <c r="M90" s="2341"/>
      <c r="N90" s="2341"/>
    </row>
    <row r="91" spans="1:37">
      <c r="A91" s="3381" t="s">
        <v>2786</v>
      </c>
      <c r="B91" s="3381" t="s">
        <v>2787</v>
      </c>
      <c r="C91" s="2295" t="s">
        <v>2788</v>
      </c>
      <c r="D91" s="2296"/>
      <c r="E91" s="2296"/>
      <c r="F91" s="2296"/>
      <c r="G91" s="2296"/>
      <c r="H91" s="2296"/>
      <c r="I91" s="2296"/>
      <c r="J91" s="2342"/>
      <c r="K91" s="2343"/>
      <c r="L91" s="2343"/>
      <c r="M91" s="2343"/>
      <c r="N91" s="2343"/>
    </row>
    <row r="92" spans="1:37">
      <c r="A92" s="3381"/>
      <c r="B92" s="3381"/>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82" t="s">
        <v>2789</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3"/>
      <c r="B99" s="2344" t="s">
        <v>2671</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2" t="s">
        <v>2790</v>
      </c>
      <c r="B101" s="2348" t="s">
        <v>2791</v>
      </c>
      <c r="C101" s="2349">
        <f>$G$3</f>
        <v>0.21</v>
      </c>
      <c r="D101" s="2349">
        <f t="shared" ref="D101:N101" si="31">$G$3</f>
        <v>0.21</v>
      </c>
      <c r="E101" s="2349">
        <f t="shared" si="31"/>
        <v>0.21</v>
      </c>
      <c r="F101" s="2349">
        <f t="shared" si="31"/>
        <v>0.21</v>
      </c>
      <c r="G101" s="2349">
        <f t="shared" si="31"/>
        <v>0.21</v>
      </c>
      <c r="H101" s="2349">
        <f t="shared" si="31"/>
        <v>0.21</v>
      </c>
      <c r="I101" s="2349">
        <f t="shared" si="31"/>
        <v>0.21</v>
      </c>
      <c r="J101" s="2349">
        <f t="shared" si="31"/>
        <v>0.21</v>
      </c>
      <c r="K101" s="2349">
        <f t="shared" si="31"/>
        <v>0.21</v>
      </c>
      <c r="L101" s="2349">
        <f t="shared" si="31"/>
        <v>0.21</v>
      </c>
      <c r="M101" s="2349">
        <f t="shared" si="31"/>
        <v>0.21</v>
      </c>
      <c r="N101" s="2349">
        <f t="shared" si="31"/>
        <v>0.21</v>
      </c>
    </row>
    <row r="102" spans="1:14">
      <c r="A102" s="3383"/>
      <c r="B102" s="2344">
        <v>1</v>
      </c>
      <c r="C102" s="2345">
        <f>1.9362/C101</f>
        <v>9.2200000000000006</v>
      </c>
      <c r="D102" s="2345">
        <f>1.9362/D101</f>
        <v>9.2200000000000006</v>
      </c>
      <c r="E102" s="2345">
        <f>1.8629/E101</f>
        <v>8.8709523809523816</v>
      </c>
      <c r="F102" s="2345">
        <f>1.8629/F101</f>
        <v>8.8709523809523816</v>
      </c>
      <c r="G102" s="2345">
        <f>1.8629/G101</f>
        <v>8.8709523809523816</v>
      </c>
      <c r="H102" s="2345">
        <f>1.8629/H101</f>
        <v>8.8709523809523816</v>
      </c>
      <c r="I102" s="2345">
        <f>1.8629/I101</f>
        <v>8.8709523809523816</v>
      </c>
      <c r="J102" s="2345">
        <f>1.942/J101</f>
        <v>9.2476190476190485</v>
      </c>
      <c r="K102" s="2345">
        <f>1.942/K101</f>
        <v>9.2476190476190485</v>
      </c>
      <c r="L102" s="2345">
        <f>1.942/L101</f>
        <v>9.2476190476190485</v>
      </c>
      <c r="M102" s="2345">
        <f>1.942/M101</f>
        <v>9.2476190476190485</v>
      </c>
      <c r="N102" s="2345">
        <f>1.942/N101</f>
        <v>9.2476190476190485</v>
      </c>
    </row>
    <row r="103" spans="1:14">
      <c r="A103" s="3383"/>
      <c r="B103" s="2344">
        <v>2</v>
      </c>
      <c r="C103" s="2345">
        <f>1.4198/C101</f>
        <v>6.7609523809523813</v>
      </c>
      <c r="D103" s="2345">
        <f>1.4198/D101</f>
        <v>6.7609523809523813</v>
      </c>
      <c r="E103" s="2345">
        <f>1.3372/E101</f>
        <v>6.3676190476190477</v>
      </c>
      <c r="F103" s="2345">
        <f>1.3372/F101</f>
        <v>6.3676190476190477</v>
      </c>
      <c r="G103" s="2345">
        <f>1.3372/G101</f>
        <v>6.3676190476190477</v>
      </c>
      <c r="H103" s="2345">
        <f>1.3372/H101</f>
        <v>6.3676190476190477</v>
      </c>
      <c r="I103" s="2345">
        <f>1.3372/I101</f>
        <v>6.3676190476190477</v>
      </c>
      <c r="J103" s="2345">
        <f>1.2799/J101</f>
        <v>6.0947619047619055</v>
      </c>
      <c r="K103" s="2345">
        <f>1.2799/K101</f>
        <v>6.0947619047619055</v>
      </c>
      <c r="L103" s="2345">
        <f>1.2799/L101</f>
        <v>6.0947619047619055</v>
      </c>
      <c r="M103" s="2345">
        <f>1.2799/M101</f>
        <v>6.0947619047619055</v>
      </c>
      <c r="N103" s="2345">
        <f>1.2799/N101</f>
        <v>6.0947619047619055</v>
      </c>
    </row>
    <row r="104" spans="1:14">
      <c r="A104" s="3383"/>
      <c r="B104" s="2344">
        <v>3</v>
      </c>
      <c r="C104" s="2345">
        <f>1.1594/C101</f>
        <v>5.5209523809523811</v>
      </c>
      <c r="D104" s="2345">
        <f>1.1594/D101</f>
        <v>5.5209523809523811</v>
      </c>
      <c r="E104" s="2345">
        <f>1.0788/E101</f>
        <v>5.137142857142857</v>
      </c>
      <c r="F104" s="2345">
        <f>1.0788/F101</f>
        <v>5.137142857142857</v>
      </c>
      <c r="G104" s="2345">
        <f>1.0788/G101</f>
        <v>5.137142857142857</v>
      </c>
      <c r="H104" s="2345">
        <f>1.0788/H101</f>
        <v>5.137142857142857</v>
      </c>
      <c r="I104" s="2345">
        <f>1.0788/I101</f>
        <v>5.137142857142857</v>
      </c>
      <c r="J104" s="2345">
        <f>1.0072/J101</f>
        <v>4.7961904761904766</v>
      </c>
      <c r="K104" s="2345">
        <f>1.0072/K101</f>
        <v>4.7961904761904766</v>
      </c>
      <c r="L104" s="2345">
        <f>1.0072/L101</f>
        <v>4.7961904761904766</v>
      </c>
      <c r="M104" s="2345">
        <f>1.0072/M101</f>
        <v>4.7961904761904766</v>
      </c>
      <c r="N104" s="2345">
        <f>1.0072/N101</f>
        <v>4.7961904761904766</v>
      </c>
    </row>
    <row r="105" spans="1:14">
      <c r="A105" s="3383"/>
      <c r="B105" s="2344">
        <v>4</v>
      </c>
      <c r="C105" s="2345">
        <f>0.9622/C101</f>
        <v>4.5819047619047621</v>
      </c>
      <c r="D105" s="2345">
        <f>0.9622/D101</f>
        <v>4.5819047619047621</v>
      </c>
      <c r="E105" s="2345">
        <f>0.8656/E101</f>
        <v>4.1219047619047622</v>
      </c>
      <c r="F105" s="2345">
        <f>0.8656/F101</f>
        <v>4.1219047619047622</v>
      </c>
      <c r="G105" s="2345">
        <f>0.8656/G101</f>
        <v>4.1219047619047622</v>
      </c>
      <c r="H105" s="2345">
        <f>0.8656/H101</f>
        <v>4.1219047619047622</v>
      </c>
      <c r="I105" s="2345">
        <f>0.8656/I101</f>
        <v>4.1219047619047622</v>
      </c>
      <c r="J105" s="2345">
        <f>0.7525/J101</f>
        <v>3.583333333333333</v>
      </c>
      <c r="K105" s="2345">
        <f>0.7525/K101</f>
        <v>3.583333333333333</v>
      </c>
      <c r="L105" s="2345">
        <f>0.7525/L101</f>
        <v>3.583333333333333</v>
      </c>
      <c r="M105" s="2345">
        <f>0.7525/M101</f>
        <v>3.583333333333333</v>
      </c>
      <c r="N105" s="2345">
        <f>0.7525/N101</f>
        <v>3.583333333333333</v>
      </c>
    </row>
    <row r="106" spans="1:14">
      <c r="A106" s="3383"/>
      <c r="B106" s="2344">
        <v>5</v>
      </c>
      <c r="C106" s="2345">
        <f>0.8417/C101</f>
        <v>4.0080952380952386</v>
      </c>
      <c r="D106" s="2345">
        <f>0.8417/D101</f>
        <v>4.0080952380952386</v>
      </c>
      <c r="E106" s="2345">
        <f>0.7371/E101</f>
        <v>3.5100000000000002</v>
      </c>
      <c r="F106" s="2345">
        <f>0.7371/F101</f>
        <v>3.5100000000000002</v>
      </c>
      <c r="G106" s="2345">
        <f>0.7371/G101</f>
        <v>3.5100000000000002</v>
      </c>
      <c r="H106" s="2345">
        <f>0.7371/H101</f>
        <v>3.5100000000000002</v>
      </c>
      <c r="I106" s="2345">
        <f>0.7371/I101</f>
        <v>3.5100000000000002</v>
      </c>
      <c r="J106" s="2345">
        <f>0.5659/J101</f>
        <v>2.6947619047619047</v>
      </c>
      <c r="K106" s="2345">
        <f>0.5659/K101</f>
        <v>2.6947619047619047</v>
      </c>
      <c r="L106" s="2345">
        <f>0.5659/L101</f>
        <v>2.6947619047619047</v>
      </c>
      <c r="M106" s="2345">
        <f>0.5659/M101</f>
        <v>2.6947619047619047</v>
      </c>
      <c r="N106" s="2345">
        <f>0.5659/N101</f>
        <v>2.6947619047619047</v>
      </c>
    </row>
    <row r="107" spans="1:14">
      <c r="A107" s="3383"/>
      <c r="B107" s="2344">
        <v>6</v>
      </c>
      <c r="C107" s="2345">
        <f>0.7608/C101</f>
        <v>3.6228571428571432</v>
      </c>
      <c r="D107" s="2345">
        <f>0.7608/D101</f>
        <v>3.6228571428571432</v>
      </c>
      <c r="E107" s="2345">
        <f>0.6482/E101</f>
        <v>3.0866666666666669</v>
      </c>
      <c r="F107" s="2345">
        <f>0.6482/F101</f>
        <v>3.0866666666666669</v>
      </c>
      <c r="G107" s="2345">
        <f>0.6482/G101</f>
        <v>3.0866666666666669</v>
      </c>
      <c r="H107" s="2345">
        <f>0.6482/H101</f>
        <v>3.0866666666666669</v>
      </c>
      <c r="I107" s="2345">
        <f>0.6482/I101</f>
        <v>3.0866666666666669</v>
      </c>
      <c r="J107" s="2345">
        <f>0.4525/J101</f>
        <v>2.1547619047619051</v>
      </c>
      <c r="K107" s="2345">
        <f>0.4525/K101</f>
        <v>2.1547619047619051</v>
      </c>
      <c r="L107" s="2345">
        <f>0.4525/L101</f>
        <v>2.1547619047619051</v>
      </c>
      <c r="M107" s="2345">
        <f>0.4525/M101</f>
        <v>2.1547619047619051</v>
      </c>
      <c r="N107" s="2345">
        <f>0.4525/N101</f>
        <v>2.1547619047619051</v>
      </c>
    </row>
    <row r="108" spans="1:14">
      <c r="A108" s="3383"/>
      <c r="B108" s="3385" t="s">
        <v>2792</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4"/>
      <c r="B109" s="3386"/>
      <c r="C109" s="2347">
        <f>(-0.163*(C108^2)-0.59*C108+7617)*(10^(-4))/C101</f>
        <v>3.6271428571428577</v>
      </c>
      <c r="D109" s="2347">
        <f>(-0.163*(D108^2)-0.59*D108+7617)*(10^(-4))/D101</f>
        <v>3.6271428571428577</v>
      </c>
      <c r="E109" s="2347">
        <f>(-0.161*(E108^2)-7.509*E108+6533)*(10^(-4))/E101</f>
        <v>3.1109523809523809</v>
      </c>
      <c r="F109" s="2347">
        <f>(-0.161*(F108^2)-7.509*F108+6533)*(10^(-4))/F101</f>
        <v>3.1109523809523809</v>
      </c>
      <c r="G109" s="2347">
        <f>(-0.161*(G108^2)-7.509*G108+6533)*(10^(-4))/G101</f>
        <v>3.1109523809523809</v>
      </c>
      <c r="H109" s="2347">
        <f>(-0.161*(H108^2)-7.509*H108+6533)*(10^(-4))/H101</f>
        <v>3.1109523809523809</v>
      </c>
      <c r="I109" s="2347">
        <f>(-0.161*(I108^2)-7.509*I108+6533)*(10^(-4))/I101</f>
        <v>3.1109523809523809</v>
      </c>
      <c r="J109" s="2347">
        <f>(-0.214*(J108^2)-21.991*J108+4665)*(10^(-4))/J101</f>
        <v>2.2214285714285715</v>
      </c>
      <c r="K109" s="2347">
        <f>(-0.214*(K108^2)-21.991*K108+4665)*(10^(-4))/K101</f>
        <v>2.2214285714285715</v>
      </c>
      <c r="L109" s="2347">
        <f>(-0.214*(L108^2)-21.991*L108+4665)*(10^(-4))/L101</f>
        <v>2.2214285714285715</v>
      </c>
      <c r="M109" s="2347">
        <f>(-0.214*(M108^2)-21.991*M108+4665)*(10^(-4))/M101</f>
        <v>2.2214285714285715</v>
      </c>
      <c r="N109" s="2347">
        <f>(-0.214*(N108^2)-21.991*N108+4665)*(10^(-4))/N101</f>
        <v>2.2214285714285715</v>
      </c>
    </row>
    <row r="110" spans="1:14">
      <c r="A110" s="3380" t="s">
        <v>2793</v>
      </c>
      <c r="B110" s="3380"/>
      <c r="C110" s="3380"/>
      <c r="D110" s="3380"/>
      <c r="E110" s="3380"/>
      <c r="F110" s="3380"/>
      <c r="G110" s="3380"/>
      <c r="H110" s="3380"/>
      <c r="I110" s="3380"/>
      <c r="J110" s="3380"/>
      <c r="K110" s="2350"/>
      <c r="L110" s="2350"/>
      <c r="M110" s="2350"/>
      <c r="N110" s="2350"/>
    </row>
    <row r="112" spans="1:14" ht="13.5" thickBot="1"/>
    <row r="113" spans="1:13" ht="25.5" thickBot="1">
      <c r="A113" s="842" t="s">
        <v>2794</v>
      </c>
      <c r="B113" s="1197">
        <f>G3</f>
        <v>0.21</v>
      </c>
      <c r="C113" s="843" t="s">
        <v>2795</v>
      </c>
      <c r="D113" s="844">
        <f>SUMPRODUCT((A115:A118=F113)*(B114:M114=H113)*B115:M118)</f>
        <v>0</v>
      </c>
      <c r="E113" s="2186" t="s">
        <v>2628</v>
      </c>
      <c r="F113" s="2352">
        <f>E2</f>
        <v>0</v>
      </c>
      <c r="G113" s="2186" t="s">
        <v>2629</v>
      </c>
      <c r="H113" s="2352">
        <f>G2</f>
        <v>0</v>
      </c>
      <c r="I113" s="2186"/>
      <c r="J113" s="2353"/>
      <c r="K113" s="2353"/>
      <c r="L113" s="2353"/>
      <c r="M113" s="2353"/>
    </row>
    <row r="114" spans="1:13">
      <c r="A114" s="847"/>
      <c r="B114" s="2354" t="s">
        <v>2796</v>
      </c>
      <c r="C114" s="2354" t="s">
        <v>2797</v>
      </c>
      <c r="D114" s="2354" t="s">
        <v>2798</v>
      </c>
      <c r="E114" s="2355" t="s">
        <v>2799</v>
      </c>
      <c r="F114" s="2355" t="s">
        <v>2800</v>
      </c>
      <c r="G114" s="2355" t="s">
        <v>2801</v>
      </c>
      <c r="H114" s="2356" t="s">
        <v>2802</v>
      </c>
      <c r="I114" s="2356" t="s">
        <v>2803</v>
      </c>
      <c r="J114" s="2357" t="s">
        <v>2804</v>
      </c>
      <c r="K114" s="2357" t="s">
        <v>2805</v>
      </c>
      <c r="L114" s="2357" t="s">
        <v>2806</v>
      </c>
      <c r="M114" s="2358" t="s">
        <v>2807</v>
      </c>
    </row>
    <row r="115" spans="1:13">
      <c r="A115" s="848" t="s">
        <v>2693</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2694</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2695</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2696</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2816</v>
      </c>
      <c r="B1" s="2361"/>
      <c r="C1" s="2361"/>
      <c r="D1" s="2361"/>
      <c r="E1" s="2361"/>
      <c r="F1" s="3022"/>
      <c r="G1" s="3022"/>
      <c r="H1" s="3022"/>
      <c r="I1" s="3022"/>
      <c r="J1" s="3022"/>
      <c r="K1" s="3022"/>
      <c r="L1" s="3022"/>
      <c r="M1" s="3022"/>
      <c r="N1" s="3022"/>
      <c r="O1" s="3022"/>
      <c r="P1" s="3022"/>
    </row>
    <row r="2" spans="1:16" ht="15.75">
      <c r="A2" s="2359" t="s">
        <v>2808</v>
      </c>
      <c r="B2" s="2826" t="e">
        <f ca="1">SUMIF(B6:B13,"&lt;&gt;#ref!",B6:B13)</f>
        <v>#DIV/0!</v>
      </c>
      <c r="C2" s="2359" t="s">
        <v>2809</v>
      </c>
      <c r="D2" s="2359" t="s">
        <v>2810</v>
      </c>
      <c r="E2" s="2836">
        <f ca="1">SUMIF(E6:E13,"&lt;&gt;#ref!",E6:E13)</f>
        <v>0</v>
      </c>
      <c r="F2" s="3022"/>
      <c r="G2" s="3022"/>
      <c r="H2" s="3022"/>
      <c r="I2" s="3022"/>
      <c r="J2" s="3022"/>
      <c r="K2" s="3022"/>
      <c r="L2" s="3022"/>
      <c r="M2" s="3022"/>
      <c r="N2" s="3022"/>
      <c r="O2" s="3022"/>
      <c r="P2" s="3022"/>
    </row>
    <row r="3" spans="1:16" ht="15.75">
      <c r="A3" s="2359" t="s">
        <v>2811</v>
      </c>
      <c r="B3" s="2826" t="e">
        <f ca="1">ROUND(B2*10000/E2,0)</f>
        <v>#DIV/0!</v>
      </c>
      <c r="C3" s="2359" t="s">
        <v>2817</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2812</v>
      </c>
      <c r="B5" s="2834" t="s">
        <v>2813</v>
      </c>
      <c r="C5" s="2360"/>
      <c r="D5" s="3022"/>
      <c r="E5" s="2835" t="s">
        <v>2814</v>
      </c>
      <c r="F5" s="3022"/>
      <c r="G5" s="3022"/>
      <c r="H5" s="3022"/>
      <c r="I5" s="3022"/>
      <c r="J5" s="3022"/>
      <c r="K5" s="3022"/>
      <c r="L5" s="3022"/>
      <c r="M5" s="3022"/>
      <c r="N5" s="3022"/>
      <c r="O5" s="3022"/>
      <c r="P5" s="3022"/>
    </row>
    <row r="6" spans="1:16" ht="15.75">
      <c r="A6" s="2833" t="s">
        <v>2815</v>
      </c>
      <c r="B6" s="2826" t="e">
        <f ca="1">SUMIF(INDIRECT("'"&amp;A6&amp;"'"&amp;"!A:A"),"总价",INDIRECT("'"&amp;A6&amp;"'"&amp;"!B:B"))</f>
        <v>#DIV/0!</v>
      </c>
      <c r="C6" s="2359" t="s">
        <v>2809</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2809</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2809</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2809</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2809</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2809</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2809</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2809</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1579</v>
      </c>
      <c r="B1" s="1675"/>
      <c r="C1" s="1675"/>
      <c r="D1" s="1675"/>
      <c r="E1" s="1675"/>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7"/>
      <c r="B4" s="3078" t="s">
        <v>1588</v>
      </c>
      <c r="C4" s="3078"/>
      <c r="D4" s="3078"/>
      <c r="E4" s="1677"/>
    </row>
    <row r="5" spans="1:5" ht="16.5" thickTop="1">
      <c r="A5" s="1675"/>
      <c r="B5" s="3076" t="s">
        <v>1580</v>
      </c>
      <c r="C5" s="1678" t="s">
        <v>1581</v>
      </c>
      <c r="D5" s="959">
        <f ca="1">结果表!H101</f>
        <v>54591</v>
      </c>
      <c r="E5" s="1675"/>
    </row>
    <row r="6" spans="1:5" ht="15.75">
      <c r="A6" s="1675"/>
      <c r="B6" s="3076"/>
      <c r="C6" s="1678" t="s">
        <v>1582</v>
      </c>
      <c r="D6" s="959" t="str">
        <f ca="1">NUMBERSTRING(INT(D5*10000),2)&amp;"元整"</f>
        <v>伍亿肆仟伍佰玖拾壹万元整</v>
      </c>
      <c r="E6" s="1675"/>
    </row>
    <row r="7" spans="1:5" ht="15.75">
      <c r="A7" s="1675"/>
      <c r="B7" s="3081"/>
      <c r="C7" s="1679" t="s">
        <v>1583</v>
      </c>
      <c r="D7" s="960">
        <f ca="1">结果表!H102</f>
        <v>14004</v>
      </c>
      <c r="E7" s="1675"/>
    </row>
    <row r="8" spans="1:5" ht="15.75">
      <c r="A8" s="1675"/>
      <c r="B8" s="3082" t="str">
        <f>结果表!E103</f>
        <v>2.估价师知悉的法定优先受偿款</v>
      </c>
      <c r="C8" s="1680" t="s">
        <v>1584</v>
      </c>
      <c r="D8" s="960">
        <f>结果表!H103</f>
        <v>0</v>
      </c>
      <c r="E8" s="1675"/>
    </row>
    <row r="9" spans="1:5" ht="15.75">
      <c r="A9" s="1675"/>
      <c r="B9" s="3084"/>
      <c r="C9" s="1678" t="s">
        <v>1582</v>
      </c>
      <c r="D9" s="959" t="str">
        <f>NUMBERSTRING(INT(D8*10000),2)&amp;"元整"</f>
        <v>零元整</v>
      </c>
      <c r="E9" s="1675"/>
    </row>
    <row r="10" spans="1:5" ht="15">
      <c r="A10" s="1675"/>
      <c r="B10" s="1681" t="s">
        <v>1587</v>
      </c>
      <c r="C10" s="1682" t="s">
        <v>1585</v>
      </c>
      <c r="D10" s="961">
        <f>结果表!H104</f>
        <v>0</v>
      </c>
      <c r="E10" s="1675"/>
    </row>
    <row r="11" spans="1:5" ht="15">
      <c r="A11" s="1675"/>
      <c r="B11" s="1681" t="s">
        <v>1589</v>
      </c>
      <c r="C11" s="1682" t="s">
        <v>1590</v>
      </c>
      <c r="D11" s="961">
        <f>结果表!H105</f>
        <v>0</v>
      </c>
      <c r="E11" s="1675"/>
    </row>
    <row r="12" spans="1:5" ht="15">
      <c r="A12" s="1675"/>
      <c r="B12" s="1681" t="s">
        <v>1591</v>
      </c>
      <c r="C12" s="1682" t="s">
        <v>1590</v>
      </c>
      <c r="D12" s="961">
        <f>结果表!H106</f>
        <v>0</v>
      </c>
      <c r="E12" s="1675"/>
    </row>
    <row r="13" spans="1:5" ht="15.75">
      <c r="A13" s="1675"/>
      <c r="B13" s="3075" t="str">
        <f>结果表!E107</f>
        <v>3.房地产抵押价值</v>
      </c>
      <c r="C13" s="1683" t="s">
        <v>1581</v>
      </c>
      <c r="D13" s="962">
        <f ca="1">结果表!H107</f>
        <v>54591</v>
      </c>
      <c r="E13" s="1675"/>
    </row>
    <row r="14" spans="1:5" ht="15.75">
      <c r="A14" s="1675"/>
      <c r="B14" s="3076"/>
      <c r="C14" s="1678" t="s">
        <v>1582</v>
      </c>
      <c r="D14" s="959" t="str">
        <f ca="1">NUMBERSTRING(INT(D13*10000),2)&amp;"元整"</f>
        <v>伍亿肆仟伍佰玖拾壹万元整</v>
      </c>
      <c r="E14" s="1675"/>
    </row>
    <row r="15" spans="1:5" ht="15">
      <c r="A15" s="1675"/>
      <c r="B15" s="3081"/>
      <c r="C15" s="1679" t="s">
        <v>1592</v>
      </c>
      <c r="D15" s="968">
        <f ca="1">结果表!H108</f>
        <v>14004</v>
      </c>
      <c r="E15" s="1675"/>
    </row>
    <row r="16" spans="1:5" ht="15">
      <c r="A16" s="1675"/>
      <c r="B16" s="3082" t="str">
        <f>结果表!E109</f>
        <v>——</v>
      </c>
      <c r="C16" s="1683" t="s">
        <v>1593</v>
      </c>
      <c r="D16" s="1684" t="str">
        <f>结果表!H109</f>
        <v>——</v>
      </c>
      <c r="E16" s="1675"/>
    </row>
    <row r="17" spans="1:5" ht="15.75">
      <c r="A17" s="1675"/>
      <c r="B17" s="3083"/>
      <c r="C17" s="1678" t="s">
        <v>1594</v>
      </c>
      <c r="D17" s="959" t="e">
        <f>NUMBERSTRING(INT(D16*10000),2)&amp;"元整"</f>
        <v>#VALUE!</v>
      </c>
      <c r="E17" s="1675"/>
    </row>
    <row r="18" spans="1:5" ht="15">
      <c r="A18" s="1675"/>
      <c r="B18" s="3084"/>
      <c r="C18" s="1679" t="s">
        <v>1583</v>
      </c>
      <c r="D18" s="968" t="str">
        <f>结果表!H110</f>
        <v>——</v>
      </c>
      <c r="E18" s="1675"/>
    </row>
    <row r="19" spans="1:5" ht="15.75">
      <c r="A19" s="1675"/>
      <c r="B19" s="3075" t="str">
        <f>结果表!E111</f>
        <v>4.抵押净值</v>
      </c>
      <c r="C19" s="1683" t="s">
        <v>1581</v>
      </c>
      <c r="D19" s="960">
        <f ca="1">结果表!H111</f>
        <v>23146</v>
      </c>
      <c r="E19" s="1675"/>
    </row>
    <row r="20" spans="1:5" ht="15.75">
      <c r="A20" s="1675"/>
      <c r="B20" s="3076"/>
      <c r="C20" s="1678" t="s">
        <v>1594</v>
      </c>
      <c r="D20" s="959" t="str">
        <f ca="1">NUMBERSTRING(INT(D19*10000),2)&amp;"元整"</f>
        <v>贰亿叁仟壹佰肆拾陆万元整</v>
      </c>
      <c r="E20" s="1675"/>
    </row>
    <row r="21" spans="1:5" ht="15.75" thickBot="1">
      <c r="A21" s="1675"/>
      <c r="B21" s="3077"/>
      <c r="C21" s="1685" t="s">
        <v>1592</v>
      </c>
      <c r="D21" s="969">
        <f ca="1">结果表!H112</f>
        <v>5938</v>
      </c>
      <c r="E21" s="1675"/>
    </row>
    <row r="22" spans="1:5" ht="15" thickTop="1">
      <c r="A22" s="1675"/>
      <c r="B22" s="1686" t="s">
        <v>1595</v>
      </c>
      <c r="C22" s="1675"/>
      <c r="D22" s="1675"/>
      <c r="E22" s="1675"/>
    </row>
    <row r="23" spans="1:5">
      <c r="A23" s="1675"/>
      <c r="B23" s="1675"/>
      <c r="C23" s="1675"/>
      <c r="D23" s="1675"/>
      <c r="E23" s="1675"/>
    </row>
    <row r="24" spans="1:5" ht="18.75">
      <c r="A24" s="1687"/>
      <c r="B24" s="1688" t="s">
        <v>1586</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9" t="s">
        <v>1110</v>
      </c>
      <c r="C1" s="3399"/>
      <c r="D1" s="3399"/>
      <c r="E1" s="3399"/>
      <c r="F1" s="3399"/>
      <c r="G1" s="3398" t="s">
        <v>1111</v>
      </c>
      <c r="H1" s="3398"/>
      <c r="I1" s="3398"/>
      <c r="J1" s="3398"/>
      <c r="K1" s="3398"/>
      <c r="L1" s="3398"/>
      <c r="N1" s="3398" t="s">
        <v>1112</v>
      </c>
      <c r="O1" s="3398"/>
      <c r="P1" s="3398"/>
      <c r="Q1" s="3398"/>
      <c r="S1" s="3398" t="s">
        <v>1113</v>
      </c>
      <c r="T1" s="3398"/>
      <c r="U1" s="3398"/>
      <c r="V1" s="3398"/>
      <c r="X1" s="3397" t="s">
        <v>1114</v>
      </c>
      <c r="Y1" s="3398"/>
      <c r="Z1" s="3398"/>
      <c r="AA1" s="3398"/>
      <c r="AB1" s="3398"/>
      <c r="AD1" s="3397" t="s">
        <v>1115</v>
      </c>
      <c r="AE1" s="3398"/>
      <c r="AF1" s="3398"/>
      <c r="AG1" s="3398"/>
      <c r="AH1" s="3398"/>
    </row>
    <row r="2" spans="1:34" s="2388" customFormat="1" ht="14.25" thickBot="1">
      <c r="B2" s="2389" t="s">
        <v>1116</v>
      </c>
      <c r="C2" s="2389" t="s">
        <v>1117</v>
      </c>
      <c r="D2" s="2390" t="s">
        <v>1118</v>
      </c>
      <c r="E2" s="2390" t="s">
        <v>1119</v>
      </c>
      <c r="F2" s="2389" t="s">
        <v>1120</v>
      </c>
      <c r="G2" s="2391"/>
      <c r="I2" s="2389" t="s">
        <v>1116</v>
      </c>
      <c r="J2" s="2390" t="s">
        <v>1343</v>
      </c>
      <c r="K2" s="2390" t="s">
        <v>751</v>
      </c>
      <c r="L2" s="2389" t="s">
        <v>1120</v>
      </c>
      <c r="N2" s="2389" t="s">
        <v>1116</v>
      </c>
      <c r="O2" s="2390" t="s">
        <v>1343</v>
      </c>
      <c r="P2" s="2390" t="s">
        <v>751</v>
      </c>
      <c r="Q2" s="2389" t="s">
        <v>1120</v>
      </c>
      <c r="S2" s="2389" t="s">
        <v>1116</v>
      </c>
      <c r="T2" s="2390" t="s">
        <v>1343</v>
      </c>
      <c r="U2" s="2390" t="s">
        <v>751</v>
      </c>
      <c r="V2" s="2389" t="s">
        <v>1120</v>
      </c>
      <c r="X2" s="2389" t="s">
        <v>1116</v>
      </c>
      <c r="Y2" s="2389" t="s">
        <v>1117</v>
      </c>
      <c r="Z2" s="2390" t="s">
        <v>1118</v>
      </c>
      <c r="AA2" s="2390" t="s">
        <v>1119</v>
      </c>
      <c r="AB2" s="2389" t="s">
        <v>1120</v>
      </c>
      <c r="AD2" s="2389" t="s">
        <v>1116</v>
      </c>
      <c r="AE2" s="2389" t="s">
        <v>1117</v>
      </c>
      <c r="AF2" s="2390" t="s">
        <v>1118</v>
      </c>
      <c r="AG2" s="2390" t="s">
        <v>1119</v>
      </c>
      <c r="AH2" s="2389" t="s">
        <v>1120</v>
      </c>
    </row>
    <row r="3" spans="1:34" s="2398" customFormat="1" ht="14.25">
      <c r="A3" s="2392" t="s">
        <v>2849</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2850</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3055</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42">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3053</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41">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3052</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8">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2866</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2864</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2863</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2862</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2860</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2858</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2861</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395">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2856</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395"/>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2855</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395"/>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2848</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04"/>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2846</v>
      </c>
      <c r="B19" s="2436">
        <v>439</v>
      </c>
      <c r="C19" s="2436">
        <v>327</v>
      </c>
      <c r="D19" s="2436">
        <f>C19</f>
        <v>327</v>
      </c>
      <c r="E19" s="2436">
        <v>627</v>
      </c>
      <c r="F19" s="2437">
        <v>283</v>
      </c>
      <c r="G19" s="3400">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2847</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395"/>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1344</v>
      </c>
      <c r="B21" s="2422">
        <f t="shared" si="166"/>
        <v>419.31181600000002</v>
      </c>
      <c r="C21" s="2422">
        <f t="shared" si="167"/>
        <v>313.95436800000004</v>
      </c>
      <c r="D21" s="2422">
        <f t="shared" si="168"/>
        <v>313.95436800000004</v>
      </c>
      <c r="E21" s="2422">
        <f t="shared" si="169"/>
        <v>596.63028431999999</v>
      </c>
      <c r="F21" s="2422">
        <f t="shared" si="170"/>
        <v>274.74220703999998</v>
      </c>
      <c r="G21" s="3395"/>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1121</v>
      </c>
      <c r="B22" s="2422">
        <f>B23*(1+N22)</f>
        <v>405.524</v>
      </c>
      <c r="C22" s="2422">
        <f>C23*(1+O22)</f>
        <v>307.79840000000002</v>
      </c>
      <c r="D22" s="2422">
        <f>C22</f>
        <v>307.79840000000002</v>
      </c>
      <c r="E22" s="2422">
        <f>E23*(1+P22)</f>
        <v>574.67759999999998</v>
      </c>
      <c r="F22" s="2422">
        <f>F23*(1+Q22)</f>
        <v>270.20280000000002</v>
      </c>
      <c r="G22" s="3404"/>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00">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395"/>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395"/>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396"/>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394">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395"/>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395"/>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396"/>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394">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395"/>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395"/>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396"/>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1122</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1123</v>
      </c>
      <c r="B35" s="2436">
        <v>299</v>
      </c>
      <c r="C35" s="2436">
        <v>252</v>
      </c>
      <c r="D35" s="2436">
        <f t="shared" si="180"/>
        <v>252</v>
      </c>
      <c r="E35" s="2436">
        <v>409</v>
      </c>
      <c r="F35" s="2437">
        <v>227</v>
      </c>
      <c r="G35" s="3401">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1124</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02"/>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1125</v>
      </c>
      <c r="B37" s="2422">
        <f t="shared" si="189"/>
        <v>288.2649053828776</v>
      </c>
      <c r="C37" s="2422">
        <f t="shared" si="189"/>
        <v>243.64564425013293</v>
      </c>
      <c r="D37" s="2422">
        <f t="shared" si="180"/>
        <v>243.64564425013293</v>
      </c>
      <c r="E37" s="2422">
        <f t="shared" si="190"/>
        <v>393.31080825986544</v>
      </c>
      <c r="F37" s="2422">
        <f t="shared" si="190"/>
        <v>223.07903790551154</v>
      </c>
      <c r="G37" s="3402"/>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1126</v>
      </c>
      <c r="B38" s="2422">
        <f t="shared" si="189"/>
        <v>282.50186729015837</v>
      </c>
      <c r="C38" s="2422">
        <f t="shared" si="189"/>
        <v>238.09796174155468</v>
      </c>
      <c r="D38" s="2422">
        <f t="shared" si="180"/>
        <v>238.09796174155468</v>
      </c>
      <c r="E38" s="2422">
        <f t="shared" si="190"/>
        <v>385.33438646014054</v>
      </c>
      <c r="F38" s="2422">
        <f t="shared" si="190"/>
        <v>221.55034055567739</v>
      </c>
      <c r="G38" s="3403"/>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1127</v>
      </c>
      <c r="B39" s="2471">
        <v>278</v>
      </c>
      <c r="C39" s="2471">
        <v>234</v>
      </c>
      <c r="D39" s="2471">
        <f t="shared" si="180"/>
        <v>234</v>
      </c>
      <c r="E39" s="2471">
        <v>379</v>
      </c>
      <c r="F39" s="2472">
        <v>220</v>
      </c>
      <c r="G39" s="3394">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1128</v>
      </c>
      <c r="B40" s="2422">
        <f>B39/(1+N39)</f>
        <v>275.49301357645425</v>
      </c>
      <c r="C40" s="2422">
        <f>C39/(1+O39)</f>
        <v>232.41954707985698</v>
      </c>
      <c r="D40" s="2422">
        <f t="shared" si="180"/>
        <v>232.41954707985698</v>
      </c>
      <c r="E40" s="2422">
        <f t="shared" ref="E40:F42" si="191">E39/(1+P39)</f>
        <v>375.32184591008121</v>
      </c>
      <c r="F40" s="2422">
        <f t="shared" si="191"/>
        <v>218.03766105054513</v>
      </c>
      <c r="G40" s="3395"/>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1129</v>
      </c>
      <c r="B41" s="2422">
        <f>B40/(1+N40)</f>
        <v>275.24529281292263</v>
      </c>
      <c r="C41" s="2422">
        <f>C40/(1+O40)</f>
        <v>231.74747938962707</v>
      </c>
      <c r="D41" s="2422">
        <f t="shared" si="180"/>
        <v>231.74747938962707</v>
      </c>
      <c r="E41" s="2422">
        <f t="shared" si="191"/>
        <v>375.35938184826603</v>
      </c>
      <c r="F41" s="2422">
        <f t="shared" si="191"/>
        <v>216.78033510692495</v>
      </c>
      <c r="G41" s="3395"/>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1130</v>
      </c>
      <c r="B42" s="2422">
        <f>B41/(1+N41)</f>
        <v>275.19025476197027</v>
      </c>
      <c r="C42" s="2473">
        <v>232</v>
      </c>
      <c r="D42" s="2473">
        <f t="shared" si="180"/>
        <v>232</v>
      </c>
      <c r="E42" s="2422">
        <f t="shared" si="191"/>
        <v>375.65990977608692</v>
      </c>
      <c r="F42" s="2422">
        <f t="shared" si="191"/>
        <v>214.12518283971252</v>
      </c>
      <c r="G42" s="3396"/>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1131</v>
      </c>
      <c r="B43" s="2436">
        <v>275</v>
      </c>
      <c r="C43" s="2436">
        <v>232</v>
      </c>
      <c r="D43" s="2436">
        <f t="shared" si="180"/>
        <v>232</v>
      </c>
      <c r="E43" s="2436">
        <v>376</v>
      </c>
      <c r="F43" s="2437">
        <v>213</v>
      </c>
      <c r="G43" s="3394">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1132</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395">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1133</v>
      </c>
      <c r="B45" s="2422">
        <f t="shared" si="192"/>
        <v>275.19335084830601</v>
      </c>
      <c r="C45" s="2422">
        <f t="shared" si="192"/>
        <v>230.18088050139744</v>
      </c>
      <c r="D45" s="2422">
        <f t="shared" si="180"/>
        <v>230.18088050139744</v>
      </c>
      <c r="E45" s="2422">
        <f t="shared" si="193"/>
        <v>377.58482925212331</v>
      </c>
      <c r="F45" s="2422">
        <f t="shared" si="193"/>
        <v>210.90687997847917</v>
      </c>
      <c r="G45" s="3395">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1134</v>
      </c>
      <c r="B46" s="2422">
        <f t="shared" si="192"/>
        <v>276.29854502841971</v>
      </c>
      <c r="C46" s="2422">
        <f t="shared" si="192"/>
        <v>229.79023709833027</v>
      </c>
      <c r="D46" s="2422">
        <f t="shared" si="180"/>
        <v>229.79023709833027</v>
      </c>
      <c r="E46" s="2422">
        <f t="shared" si="193"/>
        <v>379.78759731655936</v>
      </c>
      <c r="F46" s="2422">
        <f t="shared" si="193"/>
        <v>211.32953905659235</v>
      </c>
      <c r="G46" s="3396">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1135</v>
      </c>
      <c r="B47" s="2436">
        <v>269</v>
      </c>
      <c r="C47" s="2436">
        <v>221</v>
      </c>
      <c r="D47" s="2436">
        <f t="shared" si="180"/>
        <v>221</v>
      </c>
      <c r="E47" s="2436">
        <v>373</v>
      </c>
      <c r="F47" s="2437">
        <v>196</v>
      </c>
      <c r="G47" s="3394">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1136</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395">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1137</v>
      </c>
      <c r="B49" s="2422">
        <f t="shared" si="194"/>
        <v>242.95398227588385</v>
      </c>
      <c r="C49" s="2422">
        <f t="shared" si="194"/>
        <v>199.59137053614126</v>
      </c>
      <c r="D49" s="2422">
        <f t="shared" si="180"/>
        <v>199.59137053614126</v>
      </c>
      <c r="E49" s="2422">
        <f t="shared" si="195"/>
        <v>335.92189522342125</v>
      </c>
      <c r="F49" s="2422">
        <f t="shared" si="195"/>
        <v>183.10139991109489</v>
      </c>
      <c r="G49" s="3395">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1138</v>
      </c>
      <c r="B50" s="2422">
        <f t="shared" si="194"/>
        <v>232.06990378821649</v>
      </c>
      <c r="C50" s="2422">
        <f t="shared" si="194"/>
        <v>192.74878854286936</v>
      </c>
      <c r="D50" s="2422">
        <f t="shared" si="180"/>
        <v>192.74878854286936</v>
      </c>
      <c r="E50" s="2422">
        <f t="shared" si="195"/>
        <v>319.71247284992984</v>
      </c>
      <c r="F50" s="2422">
        <f t="shared" si="195"/>
        <v>175.67053622862409</v>
      </c>
      <c r="G50" s="3396">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1139</v>
      </c>
      <c r="B51" s="2436">
        <v>220</v>
      </c>
      <c r="C51" s="2436">
        <v>187</v>
      </c>
      <c r="D51" s="2436">
        <f t="shared" si="180"/>
        <v>187</v>
      </c>
      <c r="E51" s="2436">
        <v>301</v>
      </c>
      <c r="F51" s="2437">
        <v>168</v>
      </c>
      <c r="G51" s="3394">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1140</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395">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1141</v>
      </c>
      <c r="B53" s="2422">
        <f t="shared" si="196"/>
        <v>210.630522469011</v>
      </c>
      <c r="C53" s="2422">
        <f t="shared" si="196"/>
        <v>181.69567812247232</v>
      </c>
      <c r="D53" s="2422">
        <f t="shared" si="180"/>
        <v>181.69567812247232</v>
      </c>
      <c r="E53" s="2422">
        <f t="shared" si="197"/>
        <v>286.13517466736738</v>
      </c>
      <c r="F53" s="2422">
        <f t="shared" si="197"/>
        <v>165.47535084591149</v>
      </c>
      <c r="G53" s="3395">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1142</v>
      </c>
      <c r="B54" s="2422">
        <f t="shared" si="196"/>
        <v>208.83454537875372</v>
      </c>
      <c r="C54" s="2422">
        <f t="shared" si="196"/>
        <v>183.77230517090351</v>
      </c>
      <c r="D54" s="2422">
        <f t="shared" si="180"/>
        <v>183.77230517090351</v>
      </c>
      <c r="E54" s="2422">
        <f t="shared" si="197"/>
        <v>281.10342338870947</v>
      </c>
      <c r="F54" s="2422">
        <f t="shared" si="197"/>
        <v>168.97309388942256</v>
      </c>
      <c r="G54" s="3396">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1143</v>
      </c>
      <c r="B55" s="2471">
        <v>214</v>
      </c>
      <c r="C55" s="2471">
        <v>188</v>
      </c>
      <c r="D55" s="2471">
        <f t="shared" si="180"/>
        <v>188</v>
      </c>
      <c r="E55" s="2471">
        <v>289</v>
      </c>
      <c r="F55" s="2472">
        <v>166</v>
      </c>
      <c r="G55" s="3394">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1144</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395">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1145</v>
      </c>
      <c r="B57" s="2422">
        <f t="shared" si="198"/>
        <v>206.31694671589116</v>
      </c>
      <c r="C57" s="2422">
        <f t="shared" si="198"/>
        <v>183.61041121036101</v>
      </c>
      <c r="D57" s="2422">
        <f t="shared" si="180"/>
        <v>183.61041121036101</v>
      </c>
      <c r="E57" s="2422">
        <f t="shared" si="199"/>
        <v>276.66850301795557</v>
      </c>
      <c r="F57" s="2422">
        <f t="shared" si="199"/>
        <v>165.1360938278614</v>
      </c>
      <c r="G57" s="3395">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1146</v>
      </c>
      <c r="B58" s="2474">
        <f t="shared" si="198"/>
        <v>196.62341248059772</v>
      </c>
      <c r="C58" s="2474">
        <f t="shared" si="198"/>
        <v>170.99125648199012</v>
      </c>
      <c r="D58" s="2474">
        <f t="shared" si="180"/>
        <v>170.99125648199012</v>
      </c>
      <c r="E58" s="2474">
        <f t="shared" si="199"/>
        <v>266.07857570490052</v>
      </c>
      <c r="F58" s="2474">
        <f t="shared" si="199"/>
        <v>154.53499328828505</v>
      </c>
      <c r="G58" s="3396">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1147</v>
      </c>
      <c r="B59" s="2436">
        <v>188</v>
      </c>
      <c r="C59" s="2436">
        <v>165</v>
      </c>
      <c r="D59" s="2436">
        <f t="shared" si="180"/>
        <v>165</v>
      </c>
      <c r="E59" s="2436">
        <v>254</v>
      </c>
      <c r="F59" s="2437">
        <v>148</v>
      </c>
      <c r="G59" s="3394">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1148</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395">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1149</v>
      </c>
      <c r="B61" s="2422">
        <f t="shared" si="202"/>
        <v>168.82017748715555</v>
      </c>
      <c r="C61" s="2422">
        <f t="shared" si="202"/>
        <v>148.06267029972753</v>
      </c>
      <c r="D61" s="2422">
        <f t="shared" si="180"/>
        <v>148.06267029972753</v>
      </c>
      <c r="E61" s="2422">
        <f t="shared" si="203"/>
        <v>216.46288379323747</v>
      </c>
      <c r="F61" s="2422">
        <f t="shared" si="203"/>
        <v>134.23529411764704</v>
      </c>
      <c r="G61" s="3395">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1150</v>
      </c>
      <c r="B62" s="2422">
        <f t="shared" si="202"/>
        <v>163.84913591779542</v>
      </c>
      <c r="C62" s="2422">
        <f t="shared" si="202"/>
        <v>145.0283378746594</v>
      </c>
      <c r="D62" s="2422">
        <f t="shared" si="180"/>
        <v>145.0283378746594</v>
      </c>
      <c r="E62" s="2422">
        <f t="shared" si="203"/>
        <v>204.95180722891567</v>
      </c>
      <c r="F62" s="2422">
        <f t="shared" si="203"/>
        <v>125.95920303605313</v>
      </c>
      <c r="G62" s="3396">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1151</v>
      </c>
      <c r="B63" s="2450">
        <v>159</v>
      </c>
      <c r="C63" s="2450">
        <v>141</v>
      </c>
      <c r="D63" s="2450">
        <f t="shared" si="180"/>
        <v>141</v>
      </c>
      <c r="E63" s="2450">
        <v>195</v>
      </c>
      <c r="F63" s="2451">
        <v>122</v>
      </c>
      <c r="G63" s="3394">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1152</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395">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1153</v>
      </c>
      <c r="B65" s="2422">
        <f t="shared" si="206"/>
        <v>146.57412060301507</v>
      </c>
      <c r="C65" s="2422">
        <f t="shared" si="206"/>
        <v>136.46831955922866</v>
      </c>
      <c r="D65" s="2422">
        <f t="shared" si="180"/>
        <v>136.46831955922866</v>
      </c>
      <c r="E65" s="2422">
        <f t="shared" si="207"/>
        <v>166.73864894795128</v>
      </c>
      <c r="F65" s="2422">
        <f t="shared" si="207"/>
        <v>115.05882352941177</v>
      </c>
      <c r="G65" s="3395">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1154</v>
      </c>
      <c r="B66" s="2422">
        <f t="shared" si="206"/>
        <v>144.04145728643215</v>
      </c>
      <c r="C66" s="2422">
        <f t="shared" si="206"/>
        <v>136.12396694214877</v>
      </c>
      <c r="D66" s="2422">
        <f t="shared" si="180"/>
        <v>136.12396694214877</v>
      </c>
      <c r="E66" s="2422">
        <f t="shared" si="207"/>
        <v>158.32225913621264</v>
      </c>
      <c r="F66" s="2422">
        <f t="shared" si="207"/>
        <v>114.04278074866311</v>
      </c>
      <c r="G66" s="3396">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1155</v>
      </c>
      <c r="B67" s="2450">
        <v>138</v>
      </c>
      <c r="C67" s="2450">
        <v>131</v>
      </c>
      <c r="D67" s="2450">
        <f t="shared" si="180"/>
        <v>131</v>
      </c>
      <c r="E67" s="2450">
        <v>155</v>
      </c>
      <c r="F67" s="2451">
        <v>114</v>
      </c>
      <c r="G67" s="3394">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1156</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395">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1157</v>
      </c>
      <c r="B69" s="2422">
        <f t="shared" si="210"/>
        <v>124.29032258064517</v>
      </c>
      <c r="C69" s="2422">
        <f t="shared" si="210"/>
        <v>123.8968609865471</v>
      </c>
      <c r="D69" s="2422">
        <f t="shared" si="180"/>
        <v>123.8968609865471</v>
      </c>
      <c r="E69" s="2422">
        <f t="shared" si="211"/>
        <v>138.00507614213197</v>
      </c>
      <c r="F69" s="2422">
        <f t="shared" si="211"/>
        <v>107.96106557377048</v>
      </c>
      <c r="G69" s="3395">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1158</v>
      </c>
      <c r="B70" s="2422">
        <f t="shared" si="210"/>
        <v>122.57204301075269</v>
      </c>
      <c r="C70" s="2422">
        <f t="shared" si="210"/>
        <v>123.4932735426009</v>
      </c>
      <c r="D70" s="2422">
        <f t="shared" si="180"/>
        <v>123.4932735426009</v>
      </c>
      <c r="E70" s="2422">
        <f t="shared" si="211"/>
        <v>129.82233502538071</v>
      </c>
      <c r="F70" s="2422">
        <f t="shared" si="211"/>
        <v>107.39446721311475</v>
      </c>
      <c r="G70" s="3396">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1159</v>
      </c>
      <c r="B71" s="2471">
        <v>121</v>
      </c>
      <c r="C71" s="2471">
        <v>122</v>
      </c>
      <c r="D71" s="2471">
        <f t="shared" si="180"/>
        <v>122</v>
      </c>
      <c r="E71" s="2471">
        <v>124</v>
      </c>
      <c r="F71" s="2472">
        <v>107</v>
      </c>
      <c r="G71" s="3394">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1160</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395">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1161</v>
      </c>
      <c r="B73" s="2422">
        <f t="shared" si="214"/>
        <v>116.99099099099099</v>
      </c>
      <c r="C73" s="2422">
        <f t="shared" si="214"/>
        <v>118.84848484848486</v>
      </c>
      <c r="D73" s="2422">
        <f t="shared" si="180"/>
        <v>118.84848484848486</v>
      </c>
      <c r="E73" s="2422">
        <f t="shared" si="215"/>
        <v>117.60960960960961</v>
      </c>
      <c r="F73" s="2422">
        <f t="shared" si="215"/>
        <v>104</v>
      </c>
      <c r="G73" s="3395">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1162</v>
      </c>
      <c r="B74" s="2474">
        <f t="shared" si="214"/>
        <v>112.48648648648648</v>
      </c>
      <c r="C74" s="2474">
        <f t="shared" si="214"/>
        <v>115.21212121212122</v>
      </c>
      <c r="D74" s="2474">
        <f t="shared" si="180"/>
        <v>115.21212121212122</v>
      </c>
      <c r="E74" s="2474">
        <f t="shared" si="215"/>
        <v>110.4024024024024</v>
      </c>
      <c r="F74" s="2474">
        <f t="shared" si="215"/>
        <v>104</v>
      </c>
      <c r="G74" s="3396">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1163</v>
      </c>
      <c r="B75" s="2491">
        <v>111</v>
      </c>
      <c r="C75" s="2491">
        <v>114</v>
      </c>
      <c r="D75" s="2491">
        <f t="shared" si="180"/>
        <v>114</v>
      </c>
      <c r="E75" s="2491">
        <v>108</v>
      </c>
      <c r="F75" s="2492">
        <v>104</v>
      </c>
      <c r="G75" s="3394">
        <v>2003</v>
      </c>
      <c r="H75" s="2481">
        <v>4</v>
      </c>
      <c r="I75" s="2493"/>
      <c r="J75" s="2493"/>
      <c r="K75" s="2493"/>
      <c r="L75" s="2493"/>
      <c r="N75" s="2494"/>
      <c r="O75" s="2493"/>
      <c r="P75" s="2493"/>
      <c r="Q75" s="2493"/>
      <c r="S75" s="2494"/>
      <c r="T75" s="2493"/>
      <c r="U75" s="2493"/>
      <c r="V75" s="2493"/>
      <c r="X75" s="2485"/>
      <c r="Y75" s="2485"/>
      <c r="Z75" s="2485"/>
    </row>
    <row r="76" spans="1:26">
      <c r="A76" s="2421" t="s">
        <v>1164</v>
      </c>
      <c r="B76" s="2495">
        <f t="shared" ref="B76:C78" si="216">B77+(B$75-B$79)/4</f>
        <v>109.75</v>
      </c>
      <c r="C76" s="2495">
        <f t="shared" si="216"/>
        <v>112.25</v>
      </c>
      <c r="D76" s="2495">
        <f t="shared" si="180"/>
        <v>112.25</v>
      </c>
      <c r="E76" s="2495">
        <f t="shared" ref="E76:F78" si="217">E77+(E$75-E$79)/4</f>
        <v>107.25</v>
      </c>
      <c r="F76" s="2495">
        <f t="shared" si="217"/>
        <v>103.5</v>
      </c>
      <c r="G76" s="3395">
        <v>2003</v>
      </c>
      <c r="H76" s="2447">
        <v>3</v>
      </c>
      <c r="I76" s="2493"/>
      <c r="J76" s="2493"/>
      <c r="K76" s="2493"/>
      <c r="L76" s="2493"/>
      <c r="X76" s="2485"/>
      <c r="Y76" s="2485"/>
      <c r="Z76" s="2485"/>
    </row>
    <row r="77" spans="1:26">
      <c r="A77" s="2421" t="s">
        <v>1165</v>
      </c>
      <c r="B77" s="2495">
        <f t="shared" si="216"/>
        <v>108.5</v>
      </c>
      <c r="C77" s="2495">
        <f t="shared" si="216"/>
        <v>110.5</v>
      </c>
      <c r="D77" s="2495">
        <f t="shared" si="180"/>
        <v>110.5</v>
      </c>
      <c r="E77" s="2495">
        <f t="shared" si="217"/>
        <v>106.5</v>
      </c>
      <c r="F77" s="2495">
        <f t="shared" si="217"/>
        <v>103</v>
      </c>
      <c r="G77" s="3395">
        <v>2003</v>
      </c>
      <c r="H77" s="2434">
        <v>2</v>
      </c>
      <c r="I77" s="2493"/>
      <c r="J77" s="2493"/>
      <c r="K77" s="2493"/>
      <c r="L77" s="2493"/>
      <c r="X77" s="2485"/>
      <c r="Y77" s="2485"/>
      <c r="Z77" s="2485"/>
    </row>
    <row r="78" spans="1:26" ht="13.5" thickBot="1">
      <c r="A78" s="2421" t="s">
        <v>1166</v>
      </c>
      <c r="B78" s="2495">
        <f t="shared" si="216"/>
        <v>107.25</v>
      </c>
      <c r="C78" s="2495">
        <f t="shared" si="216"/>
        <v>108.75</v>
      </c>
      <c r="D78" s="2495">
        <f t="shared" si="180"/>
        <v>108.75</v>
      </c>
      <c r="E78" s="2495">
        <f t="shared" si="217"/>
        <v>105.75</v>
      </c>
      <c r="F78" s="2495">
        <f t="shared" si="217"/>
        <v>102.5</v>
      </c>
      <c r="G78" s="3396">
        <v>2003</v>
      </c>
      <c r="H78" s="2496">
        <v>1</v>
      </c>
      <c r="I78" s="2493"/>
      <c r="J78" s="2493"/>
      <c r="K78" s="2493"/>
      <c r="L78" s="2493"/>
      <c r="S78" s="2424"/>
      <c r="T78" s="2409"/>
      <c r="U78" s="2409"/>
      <c r="X78" s="2485"/>
      <c r="Y78" s="2485"/>
      <c r="Z78" s="2485"/>
    </row>
    <row r="79" spans="1:26" ht="13.5" thickBot="1">
      <c r="A79" s="2421" t="s">
        <v>1167</v>
      </c>
      <c r="B79" s="2497">
        <v>106</v>
      </c>
      <c r="C79" s="2497">
        <v>107</v>
      </c>
      <c r="D79" s="2497">
        <f t="shared" si="180"/>
        <v>107</v>
      </c>
      <c r="E79" s="2497">
        <v>105</v>
      </c>
      <c r="F79" s="2498">
        <v>102</v>
      </c>
      <c r="G79" s="3394">
        <v>2002</v>
      </c>
      <c r="H79" s="2442">
        <v>4</v>
      </c>
      <c r="I79" s="2493"/>
      <c r="J79" s="2493"/>
      <c r="K79" s="2493"/>
      <c r="L79" s="2493"/>
      <c r="N79" s="2494"/>
      <c r="O79" s="2493"/>
      <c r="P79" s="2493"/>
      <c r="Q79" s="2493"/>
      <c r="S79" s="2494"/>
      <c r="T79" s="2493"/>
      <c r="U79" s="2493"/>
      <c r="V79" s="2493"/>
      <c r="X79" s="2485"/>
      <c r="Y79" s="2485"/>
      <c r="Z79" s="2485"/>
    </row>
    <row r="80" spans="1:26">
      <c r="A80" s="2421" t="s">
        <v>1168</v>
      </c>
      <c r="B80" s="2495">
        <f t="shared" ref="B80:C82" si="218">B81+(B$79-B$83)/4</f>
        <v>105</v>
      </c>
      <c r="C80" s="2495">
        <f t="shared" si="218"/>
        <v>106</v>
      </c>
      <c r="D80" s="2495">
        <f t="shared" si="180"/>
        <v>106</v>
      </c>
      <c r="E80" s="2495">
        <f t="shared" ref="E80:F82" si="219">E81+(E$79-E$83)/4</f>
        <v>104.5</v>
      </c>
      <c r="F80" s="2495">
        <f t="shared" si="219"/>
        <v>101.5</v>
      </c>
      <c r="G80" s="3395">
        <v>2002</v>
      </c>
      <c r="H80" s="2447">
        <v>3</v>
      </c>
      <c r="I80" s="2493"/>
      <c r="J80" s="2493"/>
      <c r="K80" s="2493"/>
      <c r="L80" s="2493"/>
      <c r="X80" s="2485"/>
      <c r="Y80" s="2485"/>
      <c r="Z80" s="2485"/>
    </row>
    <row r="81" spans="1:26">
      <c r="A81" s="2421" t="s">
        <v>1169</v>
      </c>
      <c r="B81" s="2495">
        <f t="shared" si="218"/>
        <v>104</v>
      </c>
      <c r="C81" s="2495">
        <f t="shared" si="218"/>
        <v>105</v>
      </c>
      <c r="D81" s="2495">
        <f t="shared" si="180"/>
        <v>105</v>
      </c>
      <c r="E81" s="2495">
        <f t="shared" si="219"/>
        <v>104</v>
      </c>
      <c r="F81" s="2495">
        <f t="shared" si="219"/>
        <v>101</v>
      </c>
      <c r="G81" s="3395">
        <v>2002</v>
      </c>
      <c r="H81" s="2434">
        <v>2</v>
      </c>
      <c r="I81" s="2493"/>
      <c r="J81" s="2493"/>
      <c r="K81" s="2493"/>
      <c r="L81" s="2493"/>
      <c r="X81" s="2485"/>
      <c r="Y81" s="2485"/>
      <c r="Z81" s="2485"/>
    </row>
    <row r="82" spans="1:26" s="2458" customFormat="1" ht="13.5" thickBot="1">
      <c r="A82" s="2454" t="s">
        <v>1170</v>
      </c>
      <c r="B82" s="2461">
        <f t="shared" si="218"/>
        <v>103</v>
      </c>
      <c r="C82" s="2461">
        <f t="shared" si="218"/>
        <v>104</v>
      </c>
      <c r="D82" s="2461">
        <f t="shared" si="180"/>
        <v>104</v>
      </c>
      <c r="E82" s="2461">
        <f t="shared" si="219"/>
        <v>103.5</v>
      </c>
      <c r="F82" s="2461">
        <f t="shared" si="219"/>
        <v>100.5</v>
      </c>
      <c r="G82" s="3396">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1171</v>
      </c>
      <c r="G85" s="2508"/>
      <c r="N85" s="2508"/>
      <c r="S85" s="2508"/>
    </row>
    <row r="86" spans="1:26" s="2507" customFormat="1">
      <c r="A86" s="2507" t="s">
        <v>1172</v>
      </c>
      <c r="G86" s="2508"/>
      <c r="N86" s="2508"/>
      <c r="S86" s="2508"/>
    </row>
    <row r="87" spans="1:26" s="2507" customFormat="1">
      <c r="A87" s="2507" t="s">
        <v>1173</v>
      </c>
      <c r="G87" s="2508"/>
      <c r="I87" s="2509"/>
      <c r="J87" s="2509"/>
      <c r="K87" s="2509"/>
      <c r="L87" s="2509"/>
      <c r="N87" s="2510"/>
      <c r="O87" s="2509"/>
      <c r="P87" s="2509"/>
      <c r="Q87" s="2509"/>
      <c r="S87" s="2510"/>
      <c r="T87" s="2509"/>
      <c r="U87" s="2509"/>
      <c r="V87" s="2509"/>
    </row>
    <row r="88" spans="1:26" s="2507" customFormat="1">
      <c r="A88" s="2507" t="s">
        <v>1174</v>
      </c>
      <c r="G88" s="2508"/>
      <c r="N88" s="2508"/>
      <c r="S88" s="2508"/>
    </row>
    <row r="95" spans="1:26" ht="13.5" thickBot="1"/>
    <row r="96" spans="1:26">
      <c r="G96" s="2408"/>
      <c r="S96" s="2511" t="s">
        <v>1175</v>
      </c>
      <c r="T96" s="2512" t="s">
        <v>1176</v>
      </c>
      <c r="U96" s="2512" t="s">
        <v>1177</v>
      </c>
      <c r="V96" s="2512" t="s">
        <v>1178</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408" t="s">
        <v>2819</v>
      </c>
      <c r="D1" s="3409"/>
      <c r="E1" s="3409"/>
      <c r="F1" s="3409"/>
      <c r="G1" s="3409"/>
      <c r="H1" s="3409"/>
      <c r="I1" s="3409"/>
      <c r="J1" s="3409"/>
      <c r="K1" s="3409"/>
      <c r="L1" s="3409"/>
      <c r="M1" s="3409"/>
      <c r="N1" s="3409"/>
      <c r="O1" s="3409"/>
      <c r="P1" s="3409"/>
      <c r="Q1" s="3409"/>
      <c r="R1" s="3409"/>
      <c r="S1" s="3410"/>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2822</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2823</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2824</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2828</v>
      </c>
      <c r="B17" s="2363"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2830</v>
      </c>
      <c r="E19" s="1523"/>
      <c r="F19" s="1523"/>
      <c r="G19" s="1523"/>
      <c r="H19" s="1190"/>
      <c r="I19" s="164"/>
      <c r="J19" s="164"/>
      <c r="K19" s="164"/>
      <c r="L19" s="164"/>
      <c r="M19" s="164"/>
      <c r="N19" s="164"/>
      <c r="O19" s="164"/>
      <c r="P19" s="164"/>
      <c r="Q19" s="164"/>
      <c r="R19" s="727"/>
      <c r="S19" s="134"/>
    </row>
    <row r="20" spans="1:45" ht="16.5" thickBot="1">
      <c r="A20" s="671" t="s">
        <v>2831</v>
      </c>
      <c r="B20" s="300" t="e">
        <f ca="1">IF(D20="——",S22,S22-F20)</f>
        <v>#REF!</v>
      </c>
      <c r="C20" s="164"/>
      <c r="D20" s="2365"/>
      <c r="E20" s="1524"/>
      <c r="F20" s="1114" t="e">
        <f ca="1">SUMIF(INDIRECT("'"&amp;H20&amp;"'"&amp;"!A:A"),"承租人权益价值",INDIRECT("'"&amp;H20&amp;"'"&amp;"!c:c"))</f>
        <v>#REF!</v>
      </c>
      <c r="G20" s="1114" t="s">
        <v>2832</v>
      </c>
      <c r="H20" s="2366"/>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76972</v>
      </c>
      <c r="C2" s="2" t="s">
        <v>133</v>
      </c>
      <c r="D2" s="205"/>
      <c r="E2" s="205"/>
      <c r="F2" s="205"/>
      <c r="G2" s="205"/>
    </row>
    <row r="3" spans="1:7" s="206" customFormat="1" ht="18" customHeight="1" thickBot="1">
      <c r="A3" s="209" t="s">
        <v>85</v>
      </c>
      <c r="B3" s="210">
        <f ca="1">ROUND(B2*10000/'数据-汇总表'!E3,0)</f>
        <v>19746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1109</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409</v>
      </c>
      <c r="D10" s="954">
        <f>'数据-汇总表'!E6</f>
        <v>38981.680000000008</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780</v>
      </c>
      <c r="D19" s="958">
        <f>'数据-汇总表'!E3</f>
        <v>38981.680000000008</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2942</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106</v>
      </c>
      <c r="D24" s="244"/>
      <c r="E24" s="244"/>
      <c r="F24" s="245"/>
      <c r="G24" s="246" t="s">
        <v>109</v>
      </c>
    </row>
    <row r="25" spans="1:7" s="220" customFormat="1" ht="24">
      <c r="A25" s="888" t="s">
        <v>793</v>
      </c>
      <c r="B25" s="221" t="s">
        <v>1026</v>
      </c>
      <c r="C25" s="1265">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4364</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4364</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31610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33369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31185</v>
      </c>
      <c r="D34" s="223"/>
      <c r="E34" s="226"/>
      <c r="F34" s="263">
        <f>IF('数据-取费表'!B24=0,1,'数据-取费表'!N16)</f>
        <v>1</v>
      </c>
      <c r="G34" s="225" t="s">
        <v>116</v>
      </c>
    </row>
    <row r="35" spans="1:7" ht="13.5" customHeight="1">
      <c r="A35" s="888" t="s">
        <v>796</v>
      </c>
      <c r="B35" s="221" t="s">
        <v>60</v>
      </c>
      <c r="C35" s="226">
        <f>ROUND(C34*F35,0)</f>
        <v>936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780</v>
      </c>
      <c r="D37" s="223">
        <f>'数据-汇总表'!E3</f>
        <v>38981.680000000008</v>
      </c>
      <c r="E37" s="255">
        <f>'数据-取费表'!B35</f>
        <v>200</v>
      </c>
      <c r="F37" s="265"/>
      <c r="G37" s="267" t="s">
        <v>119</v>
      </c>
    </row>
    <row r="38" spans="1:7" ht="13.5" customHeight="1">
      <c r="A38" s="888" t="s">
        <v>799</v>
      </c>
      <c r="B38" s="221" t="s">
        <v>63</v>
      </c>
      <c r="C38" s="226">
        <f>ROUND(C34*F38,0)</f>
        <v>468</v>
      </c>
      <c r="D38" s="226"/>
      <c r="E38" s="226"/>
      <c r="F38" s="265">
        <f>'数据-取费表'!B36</f>
        <v>1.4999999999999999E-2</v>
      </c>
      <c r="G38" s="225" t="s">
        <v>117</v>
      </c>
    </row>
    <row r="39" spans="1:7" s="220" customFormat="1" ht="13.5" customHeight="1">
      <c r="A39" s="885" t="s">
        <v>783</v>
      </c>
      <c r="B39" s="216" t="s">
        <v>104</v>
      </c>
      <c r="C39" s="238">
        <f>ROUND(C33*F20,0)</f>
        <v>667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2245</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2201</v>
      </c>
      <c r="D42" s="244"/>
      <c r="E42" s="244"/>
      <c r="F42" s="245"/>
      <c r="G42" s="3263" t="s">
        <v>121</v>
      </c>
    </row>
    <row r="43" spans="1:7" ht="13.5" customHeight="1">
      <c r="A43" s="888" t="s">
        <v>792</v>
      </c>
      <c r="B43" s="221" t="s">
        <v>1032</v>
      </c>
      <c r="C43" s="244">
        <f ca="1">ROUND(IF('数据-取费表'!B22&lt;=1,C39*F22*'数据-取费表'!B21/2,C39*(POWER((1+F22),'数据-取费表'!B21/2)-1)),0)</f>
        <v>44</v>
      </c>
      <c r="D43" s="244"/>
      <c r="E43" s="244"/>
      <c r="F43" s="245"/>
      <c r="G43" s="3264"/>
    </row>
    <row r="44" spans="1:7" ht="13.5" customHeight="1">
      <c r="A44" s="888" t="s">
        <v>793</v>
      </c>
      <c r="B44" s="221" t="s">
        <v>1034</v>
      </c>
      <c r="C44" s="244">
        <f ca="1">ROUND(IF('数据-取费表'!B22&lt;=1,C40*F22*'数据-取费表'!B21/2,C40*(POWER((1+F22),'数据-取费表'!B21/2)-1)),4)</f>
        <v>1.2999999999999999E-3</v>
      </c>
      <c r="D44" s="244"/>
      <c r="E44" s="244"/>
      <c r="F44" s="245"/>
      <c r="G44" s="3265"/>
    </row>
    <row r="45" spans="1:7" s="220" customFormat="1" ht="13.5" customHeight="1">
      <c r="A45" s="885" t="s">
        <v>786</v>
      </c>
      <c r="B45" s="250" t="s">
        <v>112</v>
      </c>
      <c r="C45" s="251">
        <f>C46</f>
        <v>6807</v>
      </c>
      <c r="D45" s="241">
        <f>C47</f>
        <v>4.0000000000000001E-3</v>
      </c>
      <c r="E45" s="242" t="s">
        <v>129</v>
      </c>
      <c r="F45" s="252"/>
      <c r="G45" s="253" t="s">
        <v>1040</v>
      </c>
    </row>
    <row r="46" spans="1:7" s="220" customFormat="1" ht="13.5" customHeight="1">
      <c r="A46" s="888" t="s">
        <v>794</v>
      </c>
      <c r="B46" s="254" t="s">
        <v>1033</v>
      </c>
      <c r="C46" s="255">
        <f>ROUND((C33+C39)*F27,0)</f>
        <v>6807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46765</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45362</v>
      </c>
      <c r="D51" s="238"/>
      <c r="E51" s="238"/>
      <c r="F51" s="270"/>
      <c r="G51" s="240" t="s">
        <v>64</v>
      </c>
    </row>
    <row r="52" spans="1:7" s="214" customFormat="1" ht="16.5" thickBot="1">
      <c r="A52" s="271" t="s">
        <v>65</v>
      </c>
      <c r="B52" s="272"/>
      <c r="C52" s="273">
        <f ca="1">C31+C51</f>
        <v>76972</v>
      </c>
      <c r="D52" s="272"/>
      <c r="E52" s="272"/>
      <c r="F52" s="272"/>
      <c r="G52" s="274"/>
    </row>
    <row r="55" spans="1:7" ht="15">
      <c r="B55" s="276" t="s">
        <v>66</v>
      </c>
      <c r="C55" s="277"/>
    </row>
    <row r="56" spans="1:7">
      <c r="B56" s="279" t="s">
        <v>67</v>
      </c>
      <c r="C56" s="280">
        <f ca="1">ROUND(C51/C52,3)</f>
        <v>0.58899999999999997</v>
      </c>
    </row>
    <row r="57" spans="1:7">
      <c r="B57" s="279" t="s">
        <v>68</v>
      </c>
      <c r="C57" s="281">
        <f ca="1">1-C56</f>
        <v>0.41100000000000003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1260</v>
      </c>
      <c r="C1" s="1463">
        <f>项目基本情况!D3</f>
        <v>44322</v>
      </c>
      <c r="D1" s="1469" t="s">
        <v>1261</v>
      </c>
      <c r="E1" s="1464">
        <f>'数据-取费表'!B22</f>
        <v>3</v>
      </c>
      <c r="F1" s="1469" t="s">
        <v>1262</v>
      </c>
      <c r="G1" s="1465">
        <f ca="1">INDIRECT("d"&amp;$K$1)/100</f>
        <v>3.85E-2</v>
      </c>
      <c r="H1" s="1469" t="s">
        <v>1292</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1263</v>
      </c>
      <c r="E2" s="1407"/>
      <c r="F2" s="1407" t="s">
        <v>1264</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1265</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1266</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1267</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1268</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1269</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1270</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1271</v>
      </c>
      <c r="C10" s="1435"/>
      <c r="D10" s="1435"/>
      <c r="E10" s="1435"/>
      <c r="F10" s="1435"/>
      <c r="G10" s="1435"/>
      <c r="H10" s="1435"/>
      <c r="I10" s="1409"/>
      <c r="J10" s="1409"/>
      <c r="K10" s="1435"/>
      <c r="L10" s="1436" t="s">
        <v>1272</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1273</v>
      </c>
      <c r="C11" s="1440" t="s">
        <v>1274</v>
      </c>
      <c r="D11" s="1441" t="s">
        <v>1275</v>
      </c>
      <c r="E11" s="1442"/>
      <c r="F11" s="1441" t="s">
        <v>1276</v>
      </c>
      <c r="G11" s="1443"/>
      <c r="H11" s="1442"/>
      <c r="I11" s="1441" t="s">
        <v>1277</v>
      </c>
      <c r="J11" s="1442"/>
      <c r="K11" s="1438"/>
      <c r="L11" s="1439" t="s">
        <v>1273</v>
      </c>
      <c r="M11" s="1440" t="s">
        <v>1274</v>
      </c>
      <c r="N11" s="1439" t="s">
        <v>1278</v>
      </c>
      <c r="O11" s="1441" t="s">
        <v>1279</v>
      </c>
      <c r="P11" s="1443"/>
      <c r="Q11" s="1443"/>
      <c r="R11" s="1443"/>
      <c r="S11" s="1443"/>
      <c r="T11" s="1442"/>
      <c r="U11" s="1441" t="s">
        <v>1280</v>
      </c>
      <c r="V11" s="1443"/>
      <c r="W11" s="1442"/>
      <c r="X11" s="1439" t="s">
        <v>1281</v>
      </c>
      <c r="Y11" s="1439" t="s">
        <v>1282</v>
      </c>
      <c r="Z11" s="1439" t="s">
        <v>1283</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1284</v>
      </c>
      <c r="E12" s="1448" t="s">
        <v>1285</v>
      </c>
      <c r="F12" s="1448" t="s">
        <v>1286</v>
      </c>
      <c r="G12" s="1448" t="s">
        <v>1287</v>
      </c>
      <c r="H12" s="1448" t="s">
        <v>1269</v>
      </c>
      <c r="I12" s="1449" t="s">
        <v>1288</v>
      </c>
      <c r="J12" s="1449" t="s">
        <v>1288</v>
      </c>
      <c r="K12" s="1445"/>
      <c r="L12" s="1446"/>
      <c r="M12" s="1447"/>
      <c r="N12" s="1446"/>
      <c r="O12" s="1449" t="s">
        <v>1289</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1290</v>
      </c>
      <c r="C13" s="3050">
        <v>43941</v>
      </c>
      <c r="D13" s="3051">
        <v>3.85</v>
      </c>
      <c r="E13" s="3051">
        <v>3.85</v>
      </c>
      <c r="F13" s="3051">
        <v>3.85</v>
      </c>
      <c r="G13" s="3051">
        <v>3.85</v>
      </c>
      <c r="H13" s="3051">
        <v>4.6500000000000004</v>
      </c>
      <c r="I13" s="1453"/>
      <c r="J13" s="1453"/>
      <c r="K13" s="1451"/>
      <c r="L13" s="1452" t="s">
        <v>1290</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3054</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1291</v>
      </c>
      <c r="Y42" s="1457" t="s">
        <v>1291</v>
      </c>
      <c r="Z42" s="1457" t="s">
        <v>1291</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1291</v>
      </c>
      <c r="Y43" s="1457" t="s">
        <v>1291</v>
      </c>
      <c r="Z43" s="1457" t="s">
        <v>1291</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1291</v>
      </c>
      <c r="Y44" s="1457" t="s">
        <v>1291</v>
      </c>
      <c r="Z44" s="1457" t="s">
        <v>1291</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1291</v>
      </c>
      <c r="Y45" s="1457" t="s">
        <v>1291</v>
      </c>
      <c r="Z45" s="1457" t="s">
        <v>1291</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1291</v>
      </c>
      <c r="Y46" s="1457" t="s">
        <v>1291</v>
      </c>
      <c r="Z46" s="1457" t="s">
        <v>1291</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1291</v>
      </c>
      <c r="Y47" s="1457" t="s">
        <v>1291</v>
      </c>
      <c r="Z47" s="1457" t="s">
        <v>1291</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1291</v>
      </c>
      <c r="Y48" s="1457" t="s">
        <v>1291</v>
      </c>
      <c r="Z48" s="1457" t="s">
        <v>1291</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1291</v>
      </c>
      <c r="Y49" s="1457" t="s">
        <v>1291</v>
      </c>
      <c r="Z49" s="1457" t="s">
        <v>1291</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1291</v>
      </c>
      <c r="Y50" s="1457" t="s">
        <v>1291</v>
      </c>
      <c r="Z50" s="1457" t="s">
        <v>1291</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1291</v>
      </c>
      <c r="V51" s="1457" t="s">
        <v>1291</v>
      </c>
      <c r="W51" s="1457" t="s">
        <v>1291</v>
      </c>
      <c r="X51" s="1457" t="s">
        <v>1291</v>
      </c>
      <c r="Y51" s="1457" t="s">
        <v>1291</v>
      </c>
      <c r="Z51" s="1457" t="s">
        <v>1291</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1291</v>
      </c>
      <c r="J60" s="1457" t="s">
        <v>1291</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1331</v>
      </c>
      <c r="E1" s="1511" t="s">
        <v>1335</v>
      </c>
      <c r="F1" s="1512" t="s">
        <v>1339</v>
      </c>
    </row>
    <row r="2" spans="1:13" ht="20.25">
      <c r="A2" s="1518" t="s">
        <v>1332</v>
      </c>
    </row>
    <row r="3" spans="1:13" ht="16.5">
      <c r="A3" s="1519" t="s">
        <v>1333</v>
      </c>
    </row>
    <row r="4" spans="1:13" ht="14.25">
      <c r="A4" s="1509" t="s">
        <v>1334</v>
      </c>
      <c r="B4" s="1514" t="s">
        <v>1336</v>
      </c>
      <c r="C4" s="1515"/>
      <c r="D4" s="1516"/>
      <c r="E4" s="1514" t="s">
        <v>27</v>
      </c>
      <c r="F4" s="1515"/>
      <c r="G4" s="1516"/>
      <c r="H4" s="1514" t="s">
        <v>1337</v>
      </c>
      <c r="I4" s="1515"/>
      <c r="J4" s="1516"/>
      <c r="K4" s="1514" t="s">
        <v>6</v>
      </c>
      <c r="L4" s="1515"/>
      <c r="M4" s="1516"/>
    </row>
    <row r="5" spans="1:13" ht="14.25">
      <c r="A5" s="1510" t="s">
        <v>1338</v>
      </c>
      <c r="B5" s="1509" t="s">
        <v>1340</v>
      </c>
      <c r="C5" s="1509" t="s">
        <v>1341</v>
      </c>
      <c r="D5" s="1509" t="s">
        <v>1342</v>
      </c>
      <c r="E5" s="1509" t="s">
        <v>1340</v>
      </c>
      <c r="F5" s="1509" t="s">
        <v>1341</v>
      </c>
      <c r="G5" s="1509" t="s">
        <v>1342</v>
      </c>
      <c r="H5" s="1509" t="s">
        <v>1340</v>
      </c>
      <c r="I5" s="1509" t="s">
        <v>1341</v>
      </c>
      <c r="J5" s="1509" t="s">
        <v>1342</v>
      </c>
      <c r="K5" s="1509" t="s">
        <v>1340</v>
      </c>
      <c r="L5" s="1509" t="s">
        <v>1341</v>
      </c>
      <c r="M5" s="1509" t="s">
        <v>1342</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2" sqref="A10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1599</v>
      </c>
      <c r="B2" s="3095" t="s">
        <v>1600</v>
      </c>
      <c r="C2" s="3095" t="s">
        <v>1601</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963" t="s">
        <v>1596</v>
      </c>
      <c r="E3" s="963" t="s">
        <v>1602</v>
      </c>
      <c r="F3" s="963" t="s">
        <v>1596</v>
      </c>
      <c r="G3" s="963" t="s">
        <v>1597</v>
      </c>
      <c r="H3" s="963" t="s">
        <v>1596</v>
      </c>
      <c r="I3" s="963" t="s">
        <v>1597</v>
      </c>
    </row>
    <row r="4" spans="1:9" ht="15">
      <c r="A4" s="1689" t="str">
        <f>项目基本情况!S2</f>
        <v>房地产</v>
      </c>
      <c r="B4" s="963">
        <f>项目基本情况!C17</f>
        <v>38981.680000000008</v>
      </c>
      <c r="C4" s="963">
        <f>项目基本情况!C18</f>
        <v>155390.20000000001</v>
      </c>
      <c r="D4" s="963">
        <f ca="1">结果表!D118</f>
        <v>17251</v>
      </c>
      <c r="E4" s="963">
        <f ca="1">结果表!E118</f>
        <v>4425</v>
      </c>
      <c r="F4" s="963">
        <f ca="1">结果表!F118</f>
        <v>37340</v>
      </c>
      <c r="G4" s="963">
        <f ca="1">结果表!G118</f>
        <v>9579</v>
      </c>
      <c r="H4" s="963">
        <f ca="1">结果表!H118</f>
        <v>54591</v>
      </c>
      <c r="I4" s="963">
        <f ca="1">结果表!I118</f>
        <v>14004</v>
      </c>
    </row>
    <row r="5" spans="1:9" ht="30" customHeight="1">
      <c r="A5" s="3089" t="s">
        <v>1598</v>
      </c>
      <c r="B5" s="3089"/>
      <c r="C5" s="3089"/>
      <c r="D5" s="3090" t="str">
        <f ca="1">结果表!D119</f>
        <v>壹亿柒仟贰佰伍拾壹万元整</v>
      </c>
      <c r="E5" s="3090"/>
      <c r="F5" s="3090" t="str">
        <f ca="1">结果表!F119</f>
        <v>叁亿柒仟叁佰肆拾万元整</v>
      </c>
      <c r="G5" s="3090"/>
      <c r="H5" s="3090" t="str">
        <f ca="1">结果表!H119</f>
        <v>伍亿肆仟伍佰玖拾壹万元整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1598</v>
      </c>
      <c r="B7" s="3089"/>
      <c r="C7" s="3089"/>
      <c r="D7" s="3091" t="str">
        <f>结果表!D121</f>
        <v>零元整</v>
      </c>
      <c r="E7" s="3092"/>
      <c r="F7" s="3092"/>
      <c r="G7" s="3092"/>
      <c r="H7" s="3092"/>
      <c r="I7" s="3093"/>
    </row>
    <row r="8" spans="1:9" ht="15.75">
      <c r="A8" s="3088" t="str">
        <f>结果表!A122</f>
        <v>房地产抵押价值</v>
      </c>
      <c r="B8" s="3088"/>
      <c r="C8" s="3088"/>
      <c r="D8" s="3088">
        <f ca="1">结果表!D122</f>
        <v>54591</v>
      </c>
      <c r="E8" s="3088"/>
      <c r="F8" s="3088"/>
      <c r="G8" s="3088"/>
      <c r="H8" s="3088"/>
      <c r="I8" s="3088"/>
    </row>
    <row r="9" spans="1:9" ht="15">
      <c r="A9" s="3089" t="s">
        <v>1598</v>
      </c>
      <c r="B9" s="3089"/>
      <c r="C9" s="3089"/>
      <c r="D9" s="3090" t="str">
        <f ca="1">结果表!D123</f>
        <v>伍亿肆仟伍佰玖拾壹万元整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1598</v>
      </c>
      <c r="B11" s="3089"/>
      <c r="C11" s="3089"/>
      <c r="D11" s="3090" t="e">
        <f>结果表!D125</f>
        <v>#VALUE!</v>
      </c>
      <c r="E11" s="3090"/>
      <c r="F11" s="3090"/>
      <c r="G11" s="3090"/>
      <c r="H11" s="3090"/>
      <c r="I11" s="3090"/>
    </row>
    <row r="12" spans="1:9" ht="15.75">
      <c r="A12" s="3088" t="str">
        <f>结果表!A126</f>
        <v>抵押净值</v>
      </c>
      <c r="B12" s="3088"/>
      <c r="C12" s="3088"/>
      <c r="D12" s="3088">
        <f ca="1">结果表!D126</f>
        <v>23146</v>
      </c>
      <c r="E12" s="3088"/>
      <c r="F12" s="3088"/>
      <c r="G12" s="3088"/>
      <c r="H12" s="3088"/>
      <c r="I12" s="3088"/>
    </row>
    <row r="13" spans="1:9" ht="15.75" thickBot="1">
      <c r="A13" s="3085" t="s">
        <v>1598</v>
      </c>
      <c r="B13" s="3085"/>
      <c r="C13" s="3085"/>
      <c r="D13" s="3086" t="str">
        <f ca="1">结果表!D127</f>
        <v>贰亿叁仟壹佰肆拾陆万元整</v>
      </c>
      <c r="E13" s="3086"/>
      <c r="F13" s="3086"/>
      <c r="G13" s="3086"/>
      <c r="H13" s="3086"/>
      <c r="I13" s="3086"/>
    </row>
    <row r="14" spans="1:9" ht="15" thickTop="1">
      <c r="A14" s="3087" t="s">
        <v>1603</v>
      </c>
      <c r="B14" s="3087"/>
      <c r="C14" s="3087"/>
      <c r="D14" s="3087"/>
      <c r="E14" s="3087"/>
      <c r="F14" s="3087"/>
      <c r="G14" s="3087"/>
      <c r="H14" s="3087"/>
      <c r="I14" s="3087"/>
    </row>
    <row r="16" spans="1:9" ht="18.75">
      <c r="A16" s="1690" t="s">
        <v>1586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2" t="s">
        <v>1620</v>
      </c>
      <c r="B1" s="3102"/>
      <c r="C1" s="3102"/>
      <c r="D1" s="3102"/>
    </row>
    <row r="2" spans="1:4" ht="18">
      <c r="A2" s="3103" t="s">
        <v>1604</v>
      </c>
      <c r="B2" s="3103"/>
      <c r="C2" s="3103"/>
      <c r="D2" s="3103"/>
    </row>
    <row r="3" spans="1:4" ht="18.75">
      <c r="A3" s="1693" t="s">
        <v>1605</v>
      </c>
      <c r="B3" s="1693" t="s">
        <v>1606</v>
      </c>
      <c r="C3" s="1693" t="s">
        <v>1607</v>
      </c>
      <c r="D3" s="1693" t="s">
        <v>1608</v>
      </c>
    </row>
    <row r="4" spans="1:4" ht="56.25" customHeight="1">
      <c r="A4" s="1694">
        <f>项目基本情况!B4</f>
        <v>0</v>
      </c>
      <c r="B4" s="1695">
        <f>项目基本情况!C4</f>
        <v>0</v>
      </c>
      <c r="C4" s="1696"/>
      <c r="D4" s="1697" t="s">
        <v>1609</v>
      </c>
    </row>
    <row r="5" spans="1:4" ht="56.25" customHeight="1">
      <c r="A5" s="1694">
        <f>项目基本情况!D4</f>
        <v>0</v>
      </c>
      <c r="B5" s="1695">
        <f>项目基本情况!E4</f>
        <v>0</v>
      </c>
      <c r="C5" s="1698"/>
      <c r="D5" s="1697" t="s">
        <v>1609</v>
      </c>
    </row>
    <row r="6" spans="1:4" ht="18">
      <c r="A6" s="3103" t="s">
        <v>1610</v>
      </c>
      <c r="B6" s="3103"/>
      <c r="C6" s="3103"/>
      <c r="D6" s="3103"/>
    </row>
    <row r="7" spans="1:4" ht="18.75">
      <c r="A7" s="1693" t="s">
        <v>1605</v>
      </c>
      <c r="B7" s="1695" t="s">
        <v>1611</v>
      </c>
      <c r="C7" s="1693" t="s">
        <v>1607</v>
      </c>
      <c r="D7" s="1693" t="s">
        <v>1608</v>
      </c>
    </row>
    <row r="8" spans="1:4" ht="56.25" customHeight="1">
      <c r="A8" s="1699" t="s">
        <v>837</v>
      </c>
      <c r="B8" s="1699" t="s">
        <v>1</v>
      </c>
      <c r="C8" s="1696"/>
      <c r="D8" s="1697" t="s">
        <v>1609</v>
      </c>
    </row>
    <row r="9" spans="1:4">
      <c r="A9" s="684"/>
      <c r="B9" s="684"/>
      <c r="C9" s="684"/>
      <c r="D9" s="684"/>
    </row>
    <row r="10" spans="1:4" ht="18.75">
      <c r="A10" s="1700" t="s">
        <v>1612</v>
      </c>
      <c r="B10" s="684"/>
      <c r="C10" s="684"/>
      <c r="D10" s="684"/>
    </row>
    <row r="11" spans="1:4" ht="30" customHeight="1">
      <c r="A11" s="3104" t="s">
        <v>1613</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1614</v>
      </c>
      <c r="B16" s="3098"/>
      <c r="C16" s="3098"/>
      <c r="D16" s="3098"/>
    </row>
    <row r="17" spans="1:4" ht="144" customHeight="1">
      <c r="A17" s="3098" t="s">
        <v>1615</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1616</v>
      </c>
      <c r="B22" s="3100"/>
      <c r="C22" s="3100"/>
      <c r="D22" s="3100"/>
    </row>
    <row r="23" spans="1:4">
      <c r="A23" s="1701"/>
      <c r="B23" s="1673"/>
      <c r="C23" s="1673"/>
      <c r="D23" s="1673"/>
    </row>
    <row r="24" spans="1:4">
      <c r="A24" s="1701"/>
      <c r="B24" s="1673"/>
      <c r="C24" s="1673"/>
      <c r="D24" s="1673"/>
    </row>
    <row r="25" spans="1:4" ht="18.75">
      <c r="A25" s="1702" t="s">
        <v>1617</v>
      </c>
    </row>
    <row r="26" spans="1:4" ht="18">
      <c r="A26" s="1671"/>
    </row>
    <row r="27" spans="1:4" ht="18.75">
      <c r="A27" s="1671" t="s">
        <v>1618</v>
      </c>
    </row>
    <row r="30" spans="1:4" ht="18.75">
      <c r="D30" s="1702" t="s">
        <v>1619</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1621</v>
      </c>
    </row>
    <row r="3" spans="1:7">
      <c r="A3" s="1707" t="s">
        <v>82</v>
      </c>
      <c r="B3" s="1691" t="s">
        <v>1622</v>
      </c>
      <c r="G3" s="1708"/>
    </row>
    <row r="4" spans="1:7">
      <c r="G4" s="1708"/>
    </row>
    <row r="5" spans="1:7">
      <c r="A5" s="1710" t="s">
        <v>73</v>
      </c>
      <c r="B5" s="1691" t="s">
        <v>1623</v>
      </c>
      <c r="G5" s="1708"/>
    </row>
    <row r="6" spans="1:7">
      <c r="G6" s="1708"/>
    </row>
    <row r="7" spans="1:7">
      <c r="A7" s="1711" t="s">
        <v>135</v>
      </c>
      <c r="B7" s="1691" t="s">
        <v>1624</v>
      </c>
      <c r="G7" s="1708"/>
    </row>
    <row r="8" spans="1:7">
      <c r="G8" s="1708"/>
    </row>
    <row r="9" spans="1:7">
      <c r="A9" s="1712" t="s">
        <v>74</v>
      </c>
      <c r="B9" s="1691" t="s">
        <v>1625</v>
      </c>
    </row>
    <row r="11" spans="1:7">
      <c r="A11" s="1713" t="s">
        <v>75</v>
      </c>
      <c r="B11" s="1714" t="s">
        <v>72</v>
      </c>
    </row>
    <row r="13" spans="1:7">
      <c r="A13" s="1715" t="s">
        <v>1626</v>
      </c>
    </row>
    <row r="15" spans="1:7" ht="13.5">
      <c r="A15" s="3110" t="s">
        <v>1627</v>
      </c>
      <c r="B15" s="3105" t="s">
        <v>136</v>
      </c>
      <c r="C15" s="3106"/>
    </row>
    <row r="16" spans="1:7" ht="13.5">
      <c r="A16" s="3111"/>
      <c r="B16" s="3105" t="s">
        <v>69</v>
      </c>
      <c r="C16" s="3106"/>
    </row>
    <row r="17" spans="1:3" ht="13.5">
      <c r="A17" s="3111"/>
      <c r="B17" s="3108" t="s">
        <v>1628</v>
      </c>
      <c r="C17" s="1716" t="s">
        <v>1627</v>
      </c>
    </row>
    <row r="18" spans="1:3" ht="13.5">
      <c r="A18" s="3111"/>
      <c r="B18" s="3108"/>
      <c r="C18" s="1716" t="s">
        <v>1629</v>
      </c>
    </row>
    <row r="19" spans="1:3" ht="13.5">
      <c r="A19" s="3111"/>
      <c r="B19" s="3108"/>
      <c r="C19" s="1716" t="s">
        <v>1630</v>
      </c>
    </row>
    <row r="20" spans="1:3" ht="13.5">
      <c r="A20" s="3112"/>
      <c r="B20" s="3107" t="s">
        <v>1631</v>
      </c>
      <c r="C20" s="3106"/>
    </row>
    <row r="21" spans="1:3" ht="13.5">
      <c r="A21" s="1717" t="s">
        <v>1632</v>
      </c>
      <c r="B21" s="1718"/>
      <c r="C21" s="1719"/>
    </row>
    <row r="22" spans="1:3" ht="13.5">
      <c r="A22" s="3109" t="s">
        <v>1633</v>
      </c>
      <c r="B22" s="3107" t="s">
        <v>1634</v>
      </c>
      <c r="C22" s="3106"/>
    </row>
    <row r="23" spans="1:3" ht="13.5">
      <c r="A23" s="3109"/>
      <c r="B23" s="3107" t="s">
        <v>1635</v>
      </c>
      <c r="C23" s="3106"/>
    </row>
    <row r="24" spans="1:3" ht="13.5">
      <c r="A24" s="3109"/>
      <c r="B24" s="3107" t="s">
        <v>1636</v>
      </c>
      <c r="C24" s="3106"/>
    </row>
    <row r="25" spans="1:3" ht="13.5">
      <c r="A25" s="3109"/>
      <c r="B25" s="3108" t="s">
        <v>1637</v>
      </c>
      <c r="C25" s="1716" t="s">
        <v>1638</v>
      </c>
    </row>
    <row r="26" spans="1:3" ht="13.5">
      <c r="A26" s="3109"/>
      <c r="B26" s="3108"/>
      <c r="C26" s="1716" t="s">
        <v>1639</v>
      </c>
    </row>
    <row r="27" spans="1:3" ht="13.5">
      <c r="A27" s="3109"/>
      <c r="B27" s="3108"/>
      <c r="C27" s="1716" t="s">
        <v>1640</v>
      </c>
    </row>
    <row r="28" spans="1:3" ht="13.5">
      <c r="A28" s="3109"/>
      <c r="B28" s="3108"/>
      <c r="C28" s="1716" t="s">
        <v>1641</v>
      </c>
    </row>
    <row r="29" spans="1:3" ht="13.5">
      <c r="A29" s="3109"/>
      <c r="B29" s="3108"/>
      <c r="C29" s="1716" t="s">
        <v>1642</v>
      </c>
    </row>
    <row r="30" spans="1:3" ht="13.5">
      <c r="A30" s="3109"/>
      <c r="B30" s="3108"/>
      <c r="C30" s="1716" t="s">
        <v>1643</v>
      </c>
    </row>
    <row r="31" spans="1:3" ht="13.5">
      <c r="A31" s="3109"/>
      <c r="B31" s="3108"/>
      <c r="C31" s="1716" t="s">
        <v>1644</v>
      </c>
    </row>
    <row r="32" spans="1:3" ht="13.5">
      <c r="A32" s="3109"/>
      <c r="B32" s="3108"/>
      <c r="C32" s="1716" t="s">
        <v>1645</v>
      </c>
    </row>
    <row r="33" spans="1:3" ht="13.5">
      <c r="A33" s="3109"/>
      <c r="B33" s="3108"/>
      <c r="C33" s="1716" t="s">
        <v>1646</v>
      </c>
    </row>
    <row r="34" spans="1:3">
      <c r="A34" s="1720" t="s">
        <v>76</v>
      </c>
    </row>
    <row r="37" spans="1:3">
      <c r="A37" s="1720" t="s">
        <v>1647</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2875</v>
      </c>
      <c r="B2" s="2560">
        <f ca="1">TODAY()</f>
        <v>44322</v>
      </c>
      <c r="C2" s="2561" t="s">
        <v>2876</v>
      </c>
      <c r="D2" s="2561"/>
      <c r="E2" s="2561"/>
      <c r="F2" s="2557"/>
      <c r="G2" s="2557"/>
      <c r="H2" s="2557"/>
    </row>
    <row r="3" spans="1:8" ht="24" customHeight="1">
      <c r="A3" s="2562" t="s">
        <v>2877</v>
      </c>
      <c r="B3" s="2563" t="s">
        <v>2878</v>
      </c>
      <c r="C3" s="2563" t="s">
        <v>2879</v>
      </c>
      <c r="D3" s="2564" t="s">
        <v>2880</v>
      </c>
      <c r="E3" s="2565" t="s">
        <v>2881</v>
      </c>
      <c r="F3" s="1471" t="s">
        <v>2882</v>
      </c>
      <c r="G3" s="2563" t="s">
        <v>2879</v>
      </c>
      <c r="H3" s="2564" t="s">
        <v>2883</v>
      </c>
    </row>
    <row r="4" spans="1:8" ht="24" customHeight="1">
      <c r="A4" s="1471" t="s">
        <v>2884</v>
      </c>
      <c r="B4" s="1471">
        <f ca="1">IF(C4&lt;B2,"已过期",1119970066)</f>
        <v>1119970066</v>
      </c>
      <c r="C4" s="2566">
        <v>44876</v>
      </c>
      <c r="D4" s="2567" t="str">
        <f ca="1">A4&amp;"（注册号："&amp;B4&amp;"）"</f>
        <v>梁津（注册号：1119970066）</v>
      </c>
      <c r="E4" s="2568" t="s">
        <v>2884</v>
      </c>
      <c r="F4" s="1471">
        <f ca="1">IF(G4&lt;B2,"已过期",96010014)</f>
        <v>96010014</v>
      </c>
      <c r="G4" s="2569">
        <v>47118</v>
      </c>
      <c r="H4" s="2570" t="str">
        <f ca="1">E4&amp;"（注册号："&amp;F4&amp;"）"</f>
        <v>梁津（注册号：96010014）</v>
      </c>
    </row>
    <row r="5" spans="1:8" ht="24" customHeight="1">
      <c r="A5" s="1471" t="s">
        <v>2885</v>
      </c>
      <c r="B5" s="1471">
        <f ca="1">IF(C5&lt;B2,"已过期",1119970111)</f>
        <v>1119970111</v>
      </c>
      <c r="C5" s="2566">
        <v>44876</v>
      </c>
      <c r="D5" s="2567" t="str">
        <f t="shared" ref="D5:D15" ca="1" si="0">A5&amp;"（注册号："&amp;B5&amp;"）"</f>
        <v>叶凌（注册号：1119970111）</v>
      </c>
      <c r="E5" s="2568" t="s">
        <v>2885</v>
      </c>
      <c r="F5" s="1471">
        <f ca="1">IF(G5&lt;B2,"已过期",94010078)</f>
        <v>94010078</v>
      </c>
      <c r="G5" s="2569">
        <v>46387</v>
      </c>
      <c r="H5" s="2570" t="str">
        <f t="shared" ref="H5:H16" ca="1" si="1">E5&amp;"（注册号："&amp;F5&amp;"）"</f>
        <v>叶凌（注册号：94010078）</v>
      </c>
    </row>
    <row r="6" spans="1:8" ht="24" customHeight="1">
      <c r="A6" s="1471" t="s">
        <v>2886</v>
      </c>
      <c r="B6" s="1471">
        <f ca="1">IF(C6&lt;B2,"已过期",1120050019)</f>
        <v>1120050019</v>
      </c>
      <c r="C6" s="2566">
        <v>44395</v>
      </c>
      <c r="D6" s="2567" t="str">
        <f t="shared" ca="1" si="0"/>
        <v>王鹏（注册号：1120050019）</v>
      </c>
      <c r="E6" s="2568" t="s">
        <v>2886</v>
      </c>
      <c r="F6" s="1471">
        <f ca="1">IF(G6&lt;B2,"已过期",2002110030)</f>
        <v>2002110030</v>
      </c>
      <c r="G6" s="2569">
        <v>46387</v>
      </c>
      <c r="H6" s="2570" t="str">
        <f t="shared" ca="1" si="1"/>
        <v>王鹏（注册号：2002110030）</v>
      </c>
    </row>
    <row r="7" spans="1:8" ht="24" customHeight="1">
      <c r="A7" s="1471" t="s">
        <v>2887</v>
      </c>
      <c r="B7" s="1471">
        <f ca="1">IF(C7&lt;B2,"已过期",1120000080)</f>
        <v>1120000080</v>
      </c>
      <c r="C7" s="2566">
        <v>44876</v>
      </c>
      <c r="D7" s="2567" t="str">
        <f t="shared" ca="1" si="0"/>
        <v>欧红伟（注册号：1120000080）</v>
      </c>
      <c r="E7" s="2568" t="s">
        <v>2887</v>
      </c>
      <c r="F7" s="1471">
        <f ca="1">IF(G7&lt;B2,"已过期",2000110082)</f>
        <v>2000110082</v>
      </c>
      <c r="G7" s="2569">
        <v>46387</v>
      </c>
      <c r="H7" s="2570" t="str">
        <f t="shared" ca="1" si="1"/>
        <v>欧红伟（注册号：2000110082）</v>
      </c>
    </row>
    <row r="8" spans="1:8" ht="24" customHeight="1">
      <c r="A8" s="1471" t="s">
        <v>2888</v>
      </c>
      <c r="B8" s="1471">
        <f ca="1">IF(C8&lt;B2,"已过期",1419970001)</f>
        <v>1419970001</v>
      </c>
      <c r="C8" s="2566">
        <v>44899</v>
      </c>
      <c r="D8" s="2567" t="str">
        <f t="shared" ca="1" si="0"/>
        <v>吴薇（注册号：1419970001）</v>
      </c>
      <c r="E8" s="2568" t="s">
        <v>2888</v>
      </c>
      <c r="F8" s="1471">
        <f ca="1">IF(G8&lt;B2,"已过期",2002110125)</f>
        <v>2002110125</v>
      </c>
      <c r="G8" s="2569">
        <v>47118</v>
      </c>
      <c r="H8" s="2570" t="str">
        <f t="shared" ca="1" si="1"/>
        <v>吴薇（注册号：2002110125）</v>
      </c>
    </row>
    <row r="9" spans="1:8" ht="24" customHeight="1">
      <c r="A9" s="1471" t="s">
        <v>2889</v>
      </c>
      <c r="B9" s="1471">
        <f ca="1">IF(C9&lt;B2,"已过期",1120060040)</f>
        <v>1120060040</v>
      </c>
      <c r="C9" s="2571">
        <v>44554</v>
      </c>
      <c r="D9" s="2567" t="str">
        <f t="shared" ca="1" si="0"/>
        <v>陈颖（注册号：1120060040）</v>
      </c>
      <c r="E9" s="2568" t="s">
        <v>2889</v>
      </c>
      <c r="F9" s="1471">
        <f ca="1">IF(G9&lt;B2,"已过期",2004110096)</f>
        <v>2004110096</v>
      </c>
      <c r="G9" s="2569">
        <v>47118</v>
      </c>
      <c r="H9" s="2570" t="str">
        <f t="shared" ca="1" si="1"/>
        <v>陈颖（注册号：2004110096）</v>
      </c>
    </row>
    <row r="10" spans="1:8" ht="24" customHeight="1">
      <c r="A10" s="1471" t="s">
        <v>2890</v>
      </c>
      <c r="B10" s="1471">
        <f ca="1">IF(C10&lt;B2,"已过期",1120100036)</f>
        <v>1120100036</v>
      </c>
      <c r="C10" s="2571">
        <v>44675</v>
      </c>
      <c r="D10" s="2567" t="str">
        <f t="shared" ca="1" si="0"/>
        <v>崔锴（注册号：1120100036）</v>
      </c>
      <c r="E10" s="2568" t="s">
        <v>2890</v>
      </c>
      <c r="F10" s="1471">
        <f ca="1">IF(G10&lt;B2,"已过期",2010110070)</f>
        <v>2010110070</v>
      </c>
      <c r="G10" s="2569">
        <v>47907</v>
      </c>
      <c r="H10" s="2570" t="str">
        <f t="shared" ca="1" si="1"/>
        <v>崔锴（注册号：2010110070）</v>
      </c>
    </row>
    <row r="11" spans="1:8" ht="24" customHeight="1">
      <c r="A11" s="1471" t="s">
        <v>2891</v>
      </c>
      <c r="B11" s="1471">
        <f ca="1">IF(C11&lt;B2,"已过期",1120070131)</f>
        <v>1120070131</v>
      </c>
      <c r="C11" s="2566">
        <v>44849</v>
      </c>
      <c r="D11" s="2567" t="str">
        <f t="shared" ca="1" si="0"/>
        <v>郑燚（注册号：1120070131）</v>
      </c>
      <c r="E11" s="2568" t="s">
        <v>2891</v>
      </c>
      <c r="F11" s="1471">
        <f ca="1">IF(G11&lt;B2,"已过期",2014110011)</f>
        <v>2014110011</v>
      </c>
      <c r="G11" s="2569">
        <v>49302</v>
      </c>
      <c r="H11" s="2570" t="str">
        <f t="shared" ca="1" si="1"/>
        <v>郑燚（注册号：2014110011）</v>
      </c>
    </row>
    <row r="12" spans="1:8" ht="24" customHeight="1">
      <c r="A12" s="1471" t="s">
        <v>2892</v>
      </c>
      <c r="B12" s="1471">
        <f ca="1">IF(C12&lt;B2,"已过期",1120040230)</f>
        <v>1120040230</v>
      </c>
      <c r="C12" s="2571">
        <v>44864</v>
      </c>
      <c r="D12" s="2567" t="str">
        <f t="shared" ca="1" si="0"/>
        <v>苏海（注册号：1120040230）</v>
      </c>
      <c r="E12" s="2568" t="s">
        <v>2892</v>
      </c>
      <c r="F12" s="1471">
        <f ca="1">IF(G12&lt;B2,"已过期",98030020)</f>
        <v>98030020</v>
      </c>
      <c r="G12" s="2569">
        <v>47118</v>
      </c>
      <c r="H12" s="2570" t="str">
        <f t="shared" ca="1" si="1"/>
        <v>苏海（注册号：98030020）</v>
      </c>
    </row>
    <row r="13" spans="1:8" ht="24" customHeight="1">
      <c r="A13" s="1471" t="s">
        <v>2893</v>
      </c>
      <c r="B13" s="1471">
        <f ca="1">IF(C13&lt;B2,"已过期",1120020033)</f>
        <v>1120020033</v>
      </c>
      <c r="C13" s="2566">
        <v>44339</v>
      </c>
      <c r="D13" s="2567" t="str">
        <f t="shared" ca="1" si="0"/>
        <v>刘敬东（注册号：1120020033）</v>
      </c>
      <c r="E13" s="2568" t="s">
        <v>2893</v>
      </c>
      <c r="F13" s="1471">
        <f ca="1">IF(G13&lt;B2,"已过期",2000110137)</f>
        <v>2000110137</v>
      </c>
      <c r="G13" s="2569">
        <v>46387</v>
      </c>
      <c r="H13" s="2570" t="str">
        <f t="shared" ca="1" si="1"/>
        <v>刘敬东（注册号：2000110137）</v>
      </c>
    </row>
    <row r="14" spans="1:8" ht="24" customHeight="1">
      <c r="A14" s="1471" t="s">
        <v>2894</v>
      </c>
      <c r="B14" s="1471">
        <f ca="1">IF(C14&lt;B2,"已过期",1119980106)</f>
        <v>1119980106</v>
      </c>
      <c r="C14" s="2571">
        <v>44969</v>
      </c>
      <c r="D14" s="2567" t="str">
        <f t="shared" ca="1" si="0"/>
        <v>刘俊财（注册号：1119980106）</v>
      </c>
      <c r="E14" s="2568" t="s">
        <v>2894</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2895</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13" t="s">
        <v>2896</v>
      </c>
      <c r="B17" s="3113"/>
      <c r="C17" s="3113"/>
      <c r="D17" s="3113"/>
      <c r="E17" s="3113"/>
      <c r="F17" s="3113"/>
      <c r="G17" s="3113"/>
      <c r="H17" s="3113"/>
    </row>
    <row r="18" spans="1:8" ht="24" customHeight="1">
      <c r="A18" s="3114" t="s">
        <v>2897</v>
      </c>
      <c r="B18" s="3114"/>
      <c r="C18" s="3114"/>
      <c r="D18" s="2564"/>
      <c r="E18" s="3115" t="s">
        <v>2898</v>
      </c>
      <c r="F18" s="3114"/>
      <c r="G18" s="3114"/>
    </row>
    <row r="19" spans="1:8" s="2575" customFormat="1" ht="24" customHeight="1">
      <c r="A19" s="2574" t="s">
        <v>2899</v>
      </c>
      <c r="B19" s="2563" t="s">
        <v>2900</v>
      </c>
      <c r="C19" s="2563" t="s">
        <v>2879</v>
      </c>
      <c r="D19" s="2564"/>
      <c r="E19" s="2568" t="s">
        <v>2899</v>
      </c>
      <c r="F19" s="2563" t="s">
        <v>2900</v>
      </c>
      <c r="G19" s="2563" t="s">
        <v>2879</v>
      </c>
    </row>
    <row r="20" spans="1:8" s="2575" customFormat="1" ht="24" customHeight="1">
      <c r="A20" s="2576" t="s">
        <v>2901</v>
      </c>
      <c r="B20" s="2576" t="s">
        <v>2902</v>
      </c>
      <c r="C20" s="2569">
        <v>44820</v>
      </c>
      <c r="D20" s="2577"/>
      <c r="E20" s="2578" t="s">
        <v>2903</v>
      </c>
      <c r="F20" s="2576" t="s">
        <v>2904</v>
      </c>
      <c r="G20" s="2579">
        <v>44377</v>
      </c>
    </row>
    <row r="21" spans="1:8" s="2575" customFormat="1" ht="24" customHeight="1">
      <c r="A21" s="2576"/>
      <c r="B21" s="2576"/>
      <c r="C21" s="2580"/>
      <c r="D21" s="2581"/>
      <c r="E21" s="2578" t="s">
        <v>2905</v>
      </c>
      <c r="F21" s="2582" t="s">
        <v>2906</v>
      </c>
      <c r="G21" s="2583">
        <v>44012</v>
      </c>
    </row>
    <row r="22" spans="1:8" ht="24" customHeight="1">
      <c r="C22" s="2584"/>
      <c r="D22" s="2584"/>
      <c r="E22" s="2585"/>
      <c r="F22" s="2586"/>
      <c r="G22" s="2587"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介绍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2021-05-06T08:20:51Z</dcterms:modified>
</cp:coreProperties>
</file>