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calcMode="manual"/>
</workbook>
</file>

<file path=xl/calcChain.xml><?xml version="1.0" encoding="utf-8"?>
<calcChain xmlns="http://schemas.openxmlformats.org/spreadsheetml/2006/main">
  <c r="C106" i="9"/>
  <c r="C15" i="66" l="1"/>
  <c r="B15"/>
  <c r="I13" i="3" l="1"/>
  <c r="C40" i="39"/>
  <c r="D73" l="1"/>
  <c r="E73" s="1"/>
  <c r="F73" s="1"/>
  <c r="G73" s="1"/>
  <c r="H73" s="1"/>
  <c r="I73" s="1"/>
  <c r="D10" i="68"/>
  <c r="C12" i="39"/>
  <c r="B27" i="1"/>
  <c r="B28" s="1"/>
  <c r="F19" i="6"/>
  <c r="C3" i="65" l="1"/>
  <c r="R524" i="31"/>
  <c r="S524" s="1"/>
  <c r="Q524"/>
  <c r="O524"/>
  <c r="M524"/>
  <c r="K524"/>
  <c r="I524"/>
  <c r="G524"/>
  <c r="E524"/>
  <c r="C524"/>
  <c r="R523"/>
  <c r="S523" s="1"/>
  <c r="Q523"/>
  <c r="O523"/>
  <c r="M523"/>
  <c r="K523"/>
  <c r="I523"/>
  <c r="G523"/>
  <c r="E523"/>
  <c r="C523"/>
  <c r="R522"/>
  <c r="S522" s="1"/>
  <c r="Q522"/>
  <c r="O522"/>
  <c r="M522"/>
  <c r="K522"/>
  <c r="I522"/>
  <c r="G522"/>
  <c r="E522"/>
  <c r="C522"/>
  <c r="R521"/>
  <c r="S521" s="1"/>
  <c r="Q521"/>
  <c r="O521"/>
  <c r="M521"/>
  <c r="K521"/>
  <c r="I521"/>
  <c r="G521"/>
  <c r="E521"/>
  <c r="C521"/>
  <c r="R520"/>
  <c r="S520" s="1"/>
  <c r="Q520"/>
  <c r="O520"/>
  <c r="M520"/>
  <c r="K520"/>
  <c r="I520"/>
  <c r="G520"/>
  <c r="E520"/>
  <c r="C520"/>
  <c r="R519"/>
  <c r="S519" s="1"/>
  <c r="Q519"/>
  <c r="O519"/>
  <c r="M519"/>
  <c r="K519"/>
  <c r="I519"/>
  <c r="G519"/>
  <c r="E519"/>
  <c r="C519"/>
  <c r="R518"/>
  <c r="S518" s="1"/>
  <c r="Q518"/>
  <c r="O518"/>
  <c r="M518"/>
  <c r="K518"/>
  <c r="I518"/>
  <c r="G518"/>
  <c r="E518"/>
  <c r="C518"/>
  <c r="R517"/>
  <c r="S517" s="1"/>
  <c r="Q517"/>
  <c r="O517"/>
  <c r="M517"/>
  <c r="K517"/>
  <c r="I517"/>
  <c r="G517"/>
  <c r="E517"/>
  <c r="C517"/>
  <c r="R516"/>
  <c r="S516" s="1"/>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s="1"/>
  <c r="B21" s="1"/>
  <c r="B22"/>
  <c r="B20"/>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6"/>
  <c r="B93"/>
  <c r="B91"/>
  <c r="M86"/>
  <c r="L86"/>
  <c r="K86"/>
  <c r="J86"/>
  <c r="I86"/>
  <c r="H86"/>
  <c r="G86"/>
  <c r="F86"/>
  <c r="E86"/>
  <c r="D86"/>
  <c r="C86"/>
  <c r="M85"/>
  <c r="E85"/>
  <c r="F85" s="1"/>
  <c r="G85" s="1"/>
  <c r="H85" s="1"/>
  <c r="I85" s="1"/>
  <c r="J85" s="1"/>
  <c r="K85" s="1"/>
  <c r="L85" s="1"/>
  <c r="D85"/>
  <c r="E83"/>
  <c r="F83" s="1"/>
  <c r="G83" s="1"/>
  <c r="H83" s="1"/>
  <c r="I83" s="1"/>
  <c r="J83" s="1"/>
  <c r="K83" s="1"/>
  <c r="L83" s="1"/>
  <c r="M83" s="1"/>
  <c r="D83"/>
  <c r="M81"/>
  <c r="E81"/>
  <c r="F81" s="1"/>
  <c r="G81" s="1"/>
  <c r="H81" s="1"/>
  <c r="I81" s="1"/>
  <c r="J81" s="1"/>
  <c r="K81" s="1"/>
  <c r="L81" s="1"/>
  <c r="D81"/>
  <c r="G79"/>
  <c r="F79"/>
  <c r="E79"/>
  <c r="D79"/>
  <c r="C79"/>
  <c r="F78"/>
  <c r="G78" s="1"/>
  <c r="H78" s="1"/>
  <c r="I78" s="1"/>
  <c r="J78" s="1"/>
  <c r="K78" s="1"/>
  <c r="L78" s="1"/>
  <c r="M78" s="1"/>
  <c r="D78"/>
  <c r="E78" s="1"/>
  <c r="B75"/>
  <c r="B73"/>
  <c r="B71"/>
  <c r="D70"/>
  <c r="F68"/>
  <c r="G68" s="1"/>
  <c r="D68"/>
  <c r="E68" s="1"/>
  <c r="F66"/>
  <c r="G66" s="1"/>
  <c r="D66"/>
  <c r="E66" s="1"/>
  <c r="F64"/>
  <c r="G64" s="1"/>
  <c r="D64"/>
  <c r="E64" s="1"/>
  <c r="F62"/>
  <c r="G62" s="1"/>
  <c r="D62"/>
  <c r="E62" s="1"/>
  <c r="B59"/>
  <c r="B57"/>
  <c r="B55"/>
  <c r="G54"/>
  <c r="H54" s="1"/>
  <c r="I54" s="1"/>
  <c r="F54"/>
  <c r="C51"/>
  <c r="I42"/>
  <c r="J42" s="1"/>
  <c r="G42"/>
  <c r="H42" s="1"/>
  <c r="E42"/>
  <c r="F42" s="1"/>
  <c r="P37"/>
  <c r="P36"/>
  <c r="V35"/>
  <c r="T35"/>
  <c r="R35"/>
  <c r="P35"/>
  <c r="Q34"/>
  <c r="Z34" s="1"/>
  <c r="Q33"/>
  <c r="Z33" s="1"/>
  <c r="J33"/>
  <c r="H33"/>
  <c r="AB33" s="1"/>
  <c r="F33"/>
  <c r="AA33" s="1"/>
  <c r="Q32"/>
  <c r="Z32" s="1"/>
  <c r="AC31"/>
  <c r="W31"/>
  <c r="Q31"/>
  <c r="Z31" s="1"/>
  <c r="J31"/>
  <c r="H31"/>
  <c r="AB31" s="1"/>
  <c r="F31"/>
  <c r="AA31" s="1"/>
  <c r="AB30"/>
  <c r="U30"/>
  <c r="Q30"/>
  <c r="Z30" s="1"/>
  <c r="J30"/>
  <c r="H30"/>
  <c r="F30"/>
  <c r="Z29"/>
  <c r="Q29"/>
  <c r="J29"/>
  <c r="AC29" s="1"/>
  <c r="H29"/>
  <c r="F29"/>
  <c r="AA29" s="1"/>
  <c r="AC28"/>
  <c r="W28"/>
  <c r="Q28"/>
  <c r="Z28" s="1"/>
  <c r="J28"/>
  <c r="H28"/>
  <c r="AB28" s="1"/>
  <c r="F28"/>
  <c r="AA28" s="1"/>
  <c r="AB27"/>
  <c r="U27"/>
  <c r="Q27"/>
  <c r="Z27" s="1"/>
  <c r="J27"/>
  <c r="AC27" s="1"/>
  <c r="H27"/>
  <c r="F27"/>
  <c r="AA27" s="1"/>
  <c r="Q26"/>
  <c r="Z26" s="1"/>
  <c r="J26"/>
  <c r="H26"/>
  <c r="AB26" s="1"/>
  <c r="F26"/>
  <c r="AA26" s="1"/>
  <c r="Q25"/>
  <c r="Z25" s="1"/>
  <c r="J25"/>
  <c r="AC25" s="1"/>
  <c r="H25"/>
  <c r="F25"/>
  <c r="AA25" s="1"/>
  <c r="AC24"/>
  <c r="W24"/>
  <c r="Q24"/>
  <c r="Z24" s="1"/>
  <c r="J24"/>
  <c r="H24"/>
  <c r="AB24" s="1"/>
  <c r="F24"/>
  <c r="AA24" s="1"/>
  <c r="AB23"/>
  <c r="U23"/>
  <c r="Q23"/>
  <c r="Z23" s="1"/>
  <c r="J23"/>
  <c r="AC23" s="1"/>
  <c r="H23"/>
  <c r="F23"/>
  <c r="AA23" s="1"/>
  <c r="AA22"/>
  <c r="Q22"/>
  <c r="Z22" s="1"/>
  <c r="J22"/>
  <c r="H22"/>
  <c r="AB22" s="1"/>
  <c r="F22"/>
  <c r="S22" s="1"/>
  <c r="Z20"/>
  <c r="Q20"/>
  <c r="J20"/>
  <c r="AC20" s="1"/>
  <c r="H20"/>
  <c r="F20"/>
  <c r="AA20" s="1"/>
  <c r="C20"/>
  <c r="Z18"/>
  <c r="Q18"/>
  <c r="J18"/>
  <c r="AC18" s="1"/>
  <c r="H18"/>
  <c r="F18"/>
  <c r="AA18" s="1"/>
  <c r="C18"/>
  <c r="Z16"/>
  <c r="Q16"/>
  <c r="J16"/>
  <c r="AC16" s="1"/>
  <c r="H16"/>
  <c r="F16"/>
  <c r="AA16" s="1"/>
  <c r="C16"/>
  <c r="Z14"/>
  <c r="Q14"/>
  <c r="J14"/>
  <c r="AC14" s="1"/>
  <c r="H14"/>
  <c r="F14"/>
  <c r="AA14" s="1"/>
  <c r="C14"/>
  <c r="Z13"/>
  <c r="Q13"/>
  <c r="J13"/>
  <c r="AC13" s="1"/>
  <c r="H13"/>
  <c r="F13"/>
  <c r="AA13" s="1"/>
  <c r="AC12"/>
  <c r="W12"/>
  <c r="Q12"/>
  <c r="Z12" s="1"/>
  <c r="J12"/>
  <c r="H12"/>
  <c r="F12"/>
  <c r="AA12" s="1"/>
  <c r="Q11"/>
  <c r="Z11" s="1"/>
  <c r="J11"/>
  <c r="H11"/>
  <c r="AB11" s="1"/>
  <c r="F11"/>
  <c r="S11" s="1"/>
  <c r="Q10"/>
  <c r="Z10" s="1"/>
  <c r="J10"/>
  <c r="AC10" s="1"/>
  <c r="H10"/>
  <c r="F10"/>
  <c r="AA10" s="1"/>
  <c r="AC9"/>
  <c r="W9"/>
  <c r="Q9"/>
  <c r="Z9" s="1"/>
  <c r="J9"/>
  <c r="H9"/>
  <c r="AB9" s="1"/>
  <c r="F9"/>
  <c r="AA9" s="1"/>
  <c r="W8"/>
  <c r="S8"/>
  <c r="J8"/>
  <c r="AC8" s="1"/>
  <c r="H8"/>
  <c r="U8" s="1"/>
  <c r="F8"/>
  <c r="AA8" s="1"/>
  <c r="D3"/>
  <c r="B101" i="35"/>
  <c r="B99"/>
  <c r="H35" s="1"/>
  <c r="B97"/>
  <c r="G96"/>
  <c r="E96"/>
  <c r="F96" s="1"/>
  <c r="D96"/>
  <c r="G94"/>
  <c r="H94" s="1"/>
  <c r="I94" s="1"/>
  <c r="J94" s="1"/>
  <c r="K94" s="1"/>
  <c r="L94" s="1"/>
  <c r="M94" s="1"/>
  <c r="E94"/>
  <c r="F94" s="1"/>
  <c r="D94"/>
  <c r="M90"/>
  <c r="L90"/>
  <c r="K90"/>
  <c r="J90"/>
  <c r="I90"/>
  <c r="H90"/>
  <c r="G90"/>
  <c r="F90"/>
  <c r="E90"/>
  <c r="D90"/>
  <c r="C90"/>
  <c r="D89"/>
  <c r="E89" s="1"/>
  <c r="F89" s="1"/>
  <c r="G89" s="1"/>
  <c r="H89" s="1"/>
  <c r="I89" s="1"/>
  <c r="J89" s="1"/>
  <c r="K89" s="1"/>
  <c r="L89" s="1"/>
  <c r="M89" s="1"/>
  <c r="F87"/>
  <c r="G87" s="1"/>
  <c r="H87" s="1"/>
  <c r="I87" s="1"/>
  <c r="J87" s="1"/>
  <c r="K87" s="1"/>
  <c r="L87" s="1"/>
  <c r="M87" s="1"/>
  <c r="D87"/>
  <c r="E87" s="1"/>
  <c r="G85"/>
  <c r="F85"/>
  <c r="E85"/>
  <c r="D85"/>
  <c r="C85"/>
  <c r="G84"/>
  <c r="H84" s="1"/>
  <c r="I84" s="1"/>
  <c r="J84" s="1"/>
  <c r="K84" s="1"/>
  <c r="L84" s="1"/>
  <c r="M84" s="1"/>
  <c r="E84"/>
  <c r="F84" s="1"/>
  <c r="D84"/>
  <c r="G80"/>
  <c r="H80" s="1"/>
  <c r="I80" s="1"/>
  <c r="J80" s="1"/>
  <c r="K80" s="1"/>
  <c r="L80" s="1"/>
  <c r="M80" s="1"/>
  <c r="E80"/>
  <c r="F80" s="1"/>
  <c r="D80"/>
  <c r="C79"/>
  <c r="B77"/>
  <c r="B75"/>
  <c r="B73"/>
  <c r="E72"/>
  <c r="F72" s="1"/>
  <c r="G72" s="1"/>
  <c r="D72"/>
  <c r="G70"/>
  <c r="E70"/>
  <c r="F70" s="1"/>
  <c r="D70"/>
  <c r="E68"/>
  <c r="F68" s="1"/>
  <c r="G68" s="1"/>
  <c r="D68"/>
  <c r="G66"/>
  <c r="E66"/>
  <c r="F66" s="1"/>
  <c r="D66"/>
  <c r="E64"/>
  <c r="F64" s="1"/>
  <c r="G64" s="1"/>
  <c r="D64"/>
  <c r="B61"/>
  <c r="B59"/>
  <c r="B57"/>
  <c r="F56"/>
  <c r="G56" s="1"/>
  <c r="H56" s="1"/>
  <c r="I56" s="1"/>
  <c r="C53"/>
  <c r="J44"/>
  <c r="I44"/>
  <c r="H44"/>
  <c r="G44"/>
  <c r="F44"/>
  <c r="E44"/>
  <c r="P39"/>
  <c r="P38"/>
  <c r="V37"/>
  <c r="T37"/>
  <c r="R37"/>
  <c r="P37"/>
  <c r="AC36"/>
  <c r="W36"/>
  <c r="Q36"/>
  <c r="Z36" s="1"/>
  <c r="J36"/>
  <c r="H36"/>
  <c r="AB36" s="1"/>
  <c r="F36"/>
  <c r="AA36" s="1"/>
  <c r="Q35"/>
  <c r="Z35" s="1"/>
  <c r="AA34"/>
  <c r="Q34"/>
  <c r="Z34" s="1"/>
  <c r="J34"/>
  <c r="H34"/>
  <c r="AB34" s="1"/>
  <c r="F34"/>
  <c r="S34" s="1"/>
  <c r="Z33"/>
  <c r="Q33"/>
  <c r="J33"/>
  <c r="AC33" s="1"/>
  <c r="H33"/>
  <c r="F33"/>
  <c r="AA33" s="1"/>
  <c r="AC32"/>
  <c r="W32"/>
  <c r="Q32"/>
  <c r="Z32" s="1"/>
  <c r="J32"/>
  <c r="H32"/>
  <c r="AB32" s="1"/>
  <c r="F32"/>
  <c r="AA32" s="1"/>
  <c r="AB31"/>
  <c r="U31"/>
  <c r="Q31"/>
  <c r="Z31" s="1"/>
  <c r="J31"/>
  <c r="AC31" s="1"/>
  <c r="H31"/>
  <c r="F31"/>
  <c r="AA31" s="1"/>
  <c r="Q30"/>
  <c r="Z30" s="1"/>
  <c r="J30"/>
  <c r="H30"/>
  <c r="AB30" s="1"/>
  <c r="F30"/>
  <c r="S30" s="1"/>
  <c r="Q29"/>
  <c r="Z29" s="1"/>
  <c r="J29"/>
  <c r="AC29" s="1"/>
  <c r="H29"/>
  <c r="F29"/>
  <c r="AA29" s="1"/>
  <c r="AC28"/>
  <c r="W28"/>
  <c r="Q28"/>
  <c r="Z28" s="1"/>
  <c r="J28"/>
  <c r="H28"/>
  <c r="AB28" s="1"/>
  <c r="F28"/>
  <c r="AA28" s="1"/>
  <c r="AB27"/>
  <c r="U27"/>
  <c r="Q27"/>
  <c r="Z27" s="1"/>
  <c r="J27"/>
  <c r="AC27" s="1"/>
  <c r="H27"/>
  <c r="F27"/>
  <c r="AA27" s="1"/>
  <c r="AA26"/>
  <c r="S26"/>
  <c r="Q26"/>
  <c r="Z26" s="1"/>
  <c r="J26"/>
  <c r="F26"/>
  <c r="C26"/>
  <c r="H26" s="1"/>
  <c r="AA25"/>
  <c r="Q25"/>
  <c r="Z25" s="1"/>
  <c r="J25"/>
  <c r="H25"/>
  <c r="AB25" s="1"/>
  <c r="F25"/>
  <c r="S25" s="1"/>
  <c r="Z24"/>
  <c r="Q24"/>
  <c r="H24"/>
  <c r="AB24" s="1"/>
  <c r="AC23"/>
  <c r="W23"/>
  <c r="Q23"/>
  <c r="Z23" s="1"/>
  <c r="J23"/>
  <c r="H23"/>
  <c r="AB23" s="1"/>
  <c r="F23"/>
  <c r="AA23" s="1"/>
  <c r="AB22"/>
  <c r="U22"/>
  <c r="Q22"/>
  <c r="Z22" s="1"/>
  <c r="J22"/>
  <c r="AC22" s="1"/>
  <c r="H22"/>
  <c r="F22"/>
  <c r="AA22" s="1"/>
  <c r="Q20"/>
  <c r="Z20" s="1"/>
  <c r="J20"/>
  <c r="H20"/>
  <c r="AB20" s="1"/>
  <c r="F20"/>
  <c r="S20" s="1"/>
  <c r="C20"/>
  <c r="AC18"/>
  <c r="W18"/>
  <c r="Q18"/>
  <c r="Z18" s="1"/>
  <c r="J18"/>
  <c r="H18"/>
  <c r="AB18" s="1"/>
  <c r="F18"/>
  <c r="AA18" s="1"/>
  <c r="C18"/>
  <c r="Q16"/>
  <c r="Z16" s="1"/>
  <c r="J16"/>
  <c r="H16"/>
  <c r="AB16" s="1"/>
  <c r="F16"/>
  <c r="S16" s="1"/>
  <c r="C16"/>
  <c r="AC14"/>
  <c r="W14"/>
  <c r="Q14"/>
  <c r="Z14" s="1"/>
  <c r="J14"/>
  <c r="H14"/>
  <c r="AB14" s="1"/>
  <c r="F14"/>
  <c r="AA14" s="1"/>
  <c r="C14"/>
  <c r="Q13"/>
  <c r="Z13" s="1"/>
  <c r="J13"/>
  <c r="AB12"/>
  <c r="U12"/>
  <c r="Q12"/>
  <c r="Z12" s="1"/>
  <c r="J12"/>
  <c r="AC12" s="1"/>
  <c r="H12"/>
  <c r="F12"/>
  <c r="AA12" s="1"/>
  <c r="Q11"/>
  <c r="Z11" s="1"/>
  <c r="J11"/>
  <c r="AB10"/>
  <c r="U10"/>
  <c r="Q10"/>
  <c r="Z10" s="1"/>
  <c r="J10"/>
  <c r="AC10" s="1"/>
  <c r="H10"/>
  <c r="F10"/>
  <c r="AA10" s="1"/>
  <c r="W9"/>
  <c r="Q9"/>
  <c r="Z9" s="1"/>
  <c r="J9"/>
  <c r="AC9" s="1"/>
  <c r="H9"/>
  <c r="AB9" s="1"/>
  <c r="F9"/>
  <c r="AA9" s="1"/>
  <c r="W8"/>
  <c r="S8"/>
  <c r="J8"/>
  <c r="AC8" s="1"/>
  <c r="H8"/>
  <c r="U8" s="1"/>
  <c r="F8"/>
  <c r="AA8" s="1"/>
  <c r="D3"/>
  <c r="B112" i="37"/>
  <c r="B110"/>
  <c r="J39" s="1"/>
  <c r="B108"/>
  <c r="E107"/>
  <c r="F107" s="1"/>
  <c r="G107" s="1"/>
  <c r="H107" s="1"/>
  <c r="I107" s="1"/>
  <c r="J107" s="1"/>
  <c r="K107" s="1"/>
  <c r="L107" s="1"/>
  <c r="M107" s="1"/>
  <c r="D107"/>
  <c r="G105"/>
  <c r="E105"/>
  <c r="F105" s="1"/>
  <c r="D105"/>
  <c r="G103"/>
  <c r="H103" s="1"/>
  <c r="I103" s="1"/>
  <c r="J103" s="1"/>
  <c r="K103" s="1"/>
  <c r="L103" s="1"/>
  <c r="M103" s="1"/>
  <c r="E103"/>
  <c r="F103" s="1"/>
  <c r="D103"/>
  <c r="G101"/>
  <c r="H101" s="1"/>
  <c r="I101" s="1"/>
  <c r="J101" s="1"/>
  <c r="K101" s="1"/>
  <c r="L101" s="1"/>
  <c r="M101" s="1"/>
  <c r="E101"/>
  <c r="F101" s="1"/>
  <c r="D101"/>
  <c r="G99"/>
  <c r="H99" s="1"/>
  <c r="I99" s="1"/>
  <c r="J99" s="1"/>
  <c r="K99" s="1"/>
  <c r="L99" s="1"/>
  <c r="M99" s="1"/>
  <c r="E99"/>
  <c r="F99" s="1"/>
  <c r="D99"/>
  <c r="G97"/>
  <c r="F97"/>
  <c r="E97"/>
  <c r="D97"/>
  <c r="C97"/>
  <c r="D96"/>
  <c r="E96" s="1"/>
  <c r="F96" s="1"/>
  <c r="G96" s="1"/>
  <c r="H96" s="1"/>
  <c r="I96" s="1"/>
  <c r="J96" s="1"/>
  <c r="K96" s="1"/>
  <c r="L96" s="1"/>
  <c r="M96" s="1"/>
  <c r="F94"/>
  <c r="G94" s="1"/>
  <c r="H94" s="1"/>
  <c r="I94" s="1"/>
  <c r="J94" s="1"/>
  <c r="K94" s="1"/>
  <c r="L94" s="1"/>
  <c r="M94" s="1"/>
  <c r="D94"/>
  <c r="E94" s="1"/>
  <c r="M90"/>
  <c r="L90"/>
  <c r="K90"/>
  <c r="J90"/>
  <c r="I90"/>
  <c r="H90"/>
  <c r="G90"/>
  <c r="F90"/>
  <c r="E90"/>
  <c r="D90"/>
  <c r="C90"/>
  <c r="G89"/>
  <c r="H89" s="1"/>
  <c r="I89" s="1"/>
  <c r="J89" s="1"/>
  <c r="K89" s="1"/>
  <c r="L89" s="1"/>
  <c r="M89" s="1"/>
  <c r="E89"/>
  <c r="F89" s="1"/>
  <c r="D89"/>
  <c r="B86"/>
  <c r="B84"/>
  <c r="B82"/>
  <c r="B80"/>
  <c r="E79"/>
  <c r="F79" s="1"/>
  <c r="G79" s="1"/>
  <c r="D79"/>
  <c r="G77"/>
  <c r="E77"/>
  <c r="F77" s="1"/>
  <c r="D77"/>
  <c r="E75"/>
  <c r="F75" s="1"/>
  <c r="G75" s="1"/>
  <c r="D75"/>
  <c r="G73"/>
  <c r="E73"/>
  <c r="F73" s="1"/>
  <c r="D73"/>
  <c r="E71"/>
  <c r="F71" s="1"/>
  <c r="G71" s="1"/>
  <c r="D71"/>
  <c r="B68"/>
  <c r="B66"/>
  <c r="B64"/>
  <c r="J63"/>
  <c r="K63" s="1"/>
  <c r="L63" s="1"/>
  <c r="M63" s="1"/>
  <c r="F63"/>
  <c r="G63" s="1"/>
  <c r="H63" s="1"/>
  <c r="I63" s="1"/>
  <c r="D63"/>
  <c r="E63" s="1"/>
  <c r="M61"/>
  <c r="L61"/>
  <c r="K61"/>
  <c r="J61"/>
  <c r="I61"/>
  <c r="H61"/>
  <c r="G61"/>
  <c r="F61"/>
  <c r="E61"/>
  <c r="D61"/>
  <c r="C61"/>
  <c r="G60"/>
  <c r="H60" s="1"/>
  <c r="I60" s="1"/>
  <c r="F60"/>
  <c r="C57"/>
  <c r="I48"/>
  <c r="J48" s="1"/>
  <c r="G48"/>
  <c r="H48" s="1"/>
  <c r="E48"/>
  <c r="F48" s="1"/>
  <c r="P43"/>
  <c r="P42"/>
  <c r="V41"/>
  <c r="T41"/>
  <c r="R41"/>
  <c r="P41"/>
  <c r="AB40"/>
  <c r="U40"/>
  <c r="Q40"/>
  <c r="Z40" s="1"/>
  <c r="J40"/>
  <c r="AC40" s="1"/>
  <c r="H40"/>
  <c r="F40"/>
  <c r="AA40" s="1"/>
  <c r="Q39"/>
  <c r="Z39" s="1"/>
  <c r="AB38"/>
  <c r="U38"/>
  <c r="Q38"/>
  <c r="Z38" s="1"/>
  <c r="J38"/>
  <c r="AC38" s="1"/>
  <c r="H38"/>
  <c r="F38"/>
  <c r="AA38" s="1"/>
  <c r="Q37"/>
  <c r="Z37" s="1"/>
  <c r="J37"/>
  <c r="H37"/>
  <c r="AB37" s="1"/>
  <c r="F37"/>
  <c r="AA37" s="1"/>
  <c r="Q36"/>
  <c r="Z36" s="1"/>
  <c r="J36"/>
  <c r="AC36" s="1"/>
  <c r="H36"/>
  <c r="F36"/>
  <c r="AA36" s="1"/>
  <c r="AC35"/>
  <c r="W35"/>
  <c r="Q35"/>
  <c r="Z35" s="1"/>
  <c r="J35"/>
  <c r="H35"/>
  <c r="AB35" s="1"/>
  <c r="F35"/>
  <c r="AA35" s="1"/>
  <c r="AB34"/>
  <c r="U34"/>
  <c r="Q34"/>
  <c r="Z34" s="1"/>
  <c r="J34"/>
  <c r="AC34" s="1"/>
  <c r="H34"/>
  <c r="F34"/>
  <c r="AA34" s="1"/>
  <c r="AA33"/>
  <c r="Q33"/>
  <c r="Z33" s="1"/>
  <c r="J33"/>
  <c r="H33"/>
  <c r="AB33" s="1"/>
  <c r="F33"/>
  <c r="S33" s="1"/>
  <c r="Z32"/>
  <c r="Q32"/>
  <c r="J32"/>
  <c r="AC32" s="1"/>
  <c r="H32"/>
  <c r="F32"/>
  <c r="AA32" s="1"/>
  <c r="AC31"/>
  <c r="W31"/>
  <c r="Q31"/>
  <c r="Z31" s="1"/>
  <c r="J31"/>
  <c r="H31"/>
  <c r="AB31" s="1"/>
  <c r="F31"/>
  <c r="AA31" s="1"/>
  <c r="AB30"/>
  <c r="U30"/>
  <c r="Q30"/>
  <c r="Z30" s="1"/>
  <c r="J30"/>
  <c r="AC30" s="1"/>
  <c r="H30"/>
  <c r="F30"/>
  <c r="AA30" s="1"/>
  <c r="Q29"/>
  <c r="Z29" s="1"/>
  <c r="J29"/>
  <c r="H29"/>
  <c r="AB29" s="1"/>
  <c r="F29"/>
  <c r="AA29" s="1"/>
  <c r="Q28"/>
  <c r="Z28" s="1"/>
  <c r="H28"/>
  <c r="AB28" s="1"/>
  <c r="AC27"/>
  <c r="W27"/>
  <c r="Q27"/>
  <c r="Z27" s="1"/>
  <c r="J27"/>
  <c r="H27"/>
  <c r="AB27" s="1"/>
  <c r="F27"/>
  <c r="AA27" s="1"/>
  <c r="AB26"/>
  <c r="Q26"/>
  <c r="Z26" s="1"/>
  <c r="H26"/>
  <c r="U26" s="1"/>
  <c r="AA25"/>
  <c r="Q25"/>
  <c r="Z25" s="1"/>
  <c r="J25"/>
  <c r="H25"/>
  <c r="AB25" s="1"/>
  <c r="F25"/>
  <c r="S25" s="1"/>
  <c r="Z23"/>
  <c r="Q23"/>
  <c r="J23"/>
  <c r="AC23" s="1"/>
  <c r="H23"/>
  <c r="F23"/>
  <c r="AA23" s="1"/>
  <c r="C23"/>
  <c r="Z21"/>
  <c r="Q21"/>
  <c r="J21"/>
  <c r="AC21" s="1"/>
  <c r="H21"/>
  <c r="F21"/>
  <c r="AA21" s="1"/>
  <c r="C21"/>
  <c r="Q19"/>
  <c r="Z19" s="1"/>
  <c r="J19"/>
  <c r="AC19" s="1"/>
  <c r="H19"/>
  <c r="F19"/>
  <c r="AA19" s="1"/>
  <c r="C19"/>
  <c r="Q17"/>
  <c r="Z17" s="1"/>
  <c r="J17"/>
  <c r="AC17" s="1"/>
  <c r="H17"/>
  <c r="F17"/>
  <c r="AA17" s="1"/>
  <c r="C17"/>
  <c r="Q15"/>
  <c r="Z15" s="1"/>
  <c r="J15"/>
  <c r="AC15" s="1"/>
  <c r="H15"/>
  <c r="F15"/>
  <c r="AA15" s="1"/>
  <c r="C15"/>
  <c r="Q14"/>
  <c r="Z14" s="1"/>
  <c r="AC13"/>
  <c r="W13"/>
  <c r="Q13"/>
  <c r="Z13" s="1"/>
  <c r="J13"/>
  <c r="H13"/>
  <c r="AB13" s="1"/>
  <c r="F13"/>
  <c r="AA13" s="1"/>
  <c r="Q12"/>
  <c r="Z12" s="1"/>
  <c r="H12"/>
  <c r="U12" s="1"/>
  <c r="Q11"/>
  <c r="Z11" s="1"/>
  <c r="J11"/>
  <c r="H11"/>
  <c r="AB11" s="1"/>
  <c r="F11"/>
  <c r="S11" s="1"/>
  <c r="Q10"/>
  <c r="Z10" s="1"/>
  <c r="J10"/>
  <c r="AC10" s="1"/>
  <c r="H10"/>
  <c r="F10"/>
  <c r="AA10" s="1"/>
  <c r="Q9"/>
  <c r="Z9" s="1"/>
  <c r="F9"/>
  <c r="W8"/>
  <c r="S8"/>
  <c r="J8"/>
  <c r="AC8" s="1"/>
  <c r="H8"/>
  <c r="U8" s="1"/>
  <c r="F8"/>
  <c r="AA8" s="1"/>
  <c r="D3"/>
  <c r="B131" i="34"/>
  <c r="B129"/>
  <c r="H46" s="1"/>
  <c r="B127"/>
  <c r="E126"/>
  <c r="F126" s="1"/>
  <c r="G126" s="1"/>
  <c r="D126"/>
  <c r="I124"/>
  <c r="J124" s="1"/>
  <c r="K124" s="1"/>
  <c r="L124" s="1"/>
  <c r="M124" s="1"/>
  <c r="E124"/>
  <c r="F124" s="1"/>
  <c r="G124" s="1"/>
  <c r="H124" s="1"/>
  <c r="D124"/>
  <c r="I120"/>
  <c r="J120" s="1"/>
  <c r="K120" s="1"/>
  <c r="L120" s="1"/>
  <c r="M120" s="1"/>
  <c r="E120"/>
  <c r="F120" s="1"/>
  <c r="G120" s="1"/>
  <c r="H120" s="1"/>
  <c r="D120"/>
  <c r="G118"/>
  <c r="E118"/>
  <c r="F118" s="1"/>
  <c r="D118"/>
  <c r="K116"/>
  <c r="L116" s="1"/>
  <c r="M116" s="1"/>
  <c r="G116"/>
  <c r="H116" s="1"/>
  <c r="I116" s="1"/>
  <c r="J116" s="1"/>
  <c r="E116"/>
  <c r="F116" s="1"/>
  <c r="D116"/>
  <c r="K114"/>
  <c r="L114" s="1"/>
  <c r="M114" s="1"/>
  <c r="G114"/>
  <c r="H114" s="1"/>
  <c r="I114" s="1"/>
  <c r="J114" s="1"/>
  <c r="E114"/>
  <c r="F114" s="1"/>
  <c r="D114"/>
  <c r="K112"/>
  <c r="L112" s="1"/>
  <c r="M112" s="1"/>
  <c r="G112"/>
  <c r="H112" s="1"/>
  <c r="I112" s="1"/>
  <c r="J112" s="1"/>
  <c r="E112"/>
  <c r="F112" s="1"/>
  <c r="D112"/>
  <c r="G110"/>
  <c r="F110"/>
  <c r="E110"/>
  <c r="D110"/>
  <c r="C110"/>
  <c r="H109"/>
  <c r="I109" s="1"/>
  <c r="J109" s="1"/>
  <c r="K109" s="1"/>
  <c r="L109" s="1"/>
  <c r="M109" s="1"/>
  <c r="D109"/>
  <c r="E109" s="1"/>
  <c r="F109" s="1"/>
  <c r="G109" s="1"/>
  <c r="J107"/>
  <c r="K107" s="1"/>
  <c r="L107" s="1"/>
  <c r="M107" s="1"/>
  <c r="F107"/>
  <c r="G107" s="1"/>
  <c r="H107" s="1"/>
  <c r="I107" s="1"/>
  <c r="D107"/>
  <c r="E107" s="1"/>
  <c r="M103"/>
  <c r="L103"/>
  <c r="K103"/>
  <c r="J103"/>
  <c r="I103"/>
  <c r="H103"/>
  <c r="G103"/>
  <c r="F103"/>
  <c r="E103"/>
  <c r="D103"/>
  <c r="C103"/>
  <c r="K102"/>
  <c r="L102" s="1"/>
  <c r="M102" s="1"/>
  <c r="G102"/>
  <c r="H102" s="1"/>
  <c r="I102" s="1"/>
  <c r="J102" s="1"/>
  <c r="E102"/>
  <c r="F102" s="1"/>
  <c r="D102"/>
  <c r="B99"/>
  <c r="B97"/>
  <c r="B95"/>
  <c r="B93"/>
  <c r="K92"/>
  <c r="L92" s="1"/>
  <c r="M92" s="1"/>
  <c r="G92"/>
  <c r="H92" s="1"/>
  <c r="I92" s="1"/>
  <c r="J92" s="1"/>
  <c r="E92"/>
  <c r="F92" s="1"/>
  <c r="D92"/>
  <c r="B91"/>
  <c r="H90"/>
  <c r="I90" s="1"/>
  <c r="J90" s="1"/>
  <c r="K90" s="1"/>
  <c r="L90" s="1"/>
  <c r="M90" s="1"/>
  <c r="D90"/>
  <c r="E90" s="1"/>
  <c r="F90" s="1"/>
  <c r="G90" s="1"/>
  <c r="B89"/>
  <c r="I88"/>
  <c r="J88" s="1"/>
  <c r="K88" s="1"/>
  <c r="L88" s="1"/>
  <c r="M88" s="1"/>
  <c r="E88"/>
  <c r="F88" s="1"/>
  <c r="G88" s="1"/>
  <c r="H88" s="1"/>
  <c r="D88"/>
  <c r="G86"/>
  <c r="E86"/>
  <c r="F86" s="1"/>
  <c r="D86"/>
  <c r="E84"/>
  <c r="F84" s="1"/>
  <c r="G84" s="1"/>
  <c r="D84"/>
  <c r="G82"/>
  <c r="E82"/>
  <c r="F82" s="1"/>
  <c r="D82"/>
  <c r="E80"/>
  <c r="F80" s="1"/>
  <c r="G80" s="1"/>
  <c r="D80"/>
  <c r="G78"/>
  <c r="E78"/>
  <c r="F78" s="1"/>
  <c r="D78"/>
  <c r="B75"/>
  <c r="B73"/>
  <c r="B71"/>
  <c r="H70"/>
  <c r="I70" s="1"/>
  <c r="J70" s="1"/>
  <c r="K70" s="1"/>
  <c r="L70" s="1"/>
  <c r="M70" s="1"/>
  <c r="D70"/>
  <c r="E70" s="1"/>
  <c r="F70" s="1"/>
  <c r="G70" s="1"/>
  <c r="M68"/>
  <c r="L68"/>
  <c r="K68"/>
  <c r="J68"/>
  <c r="I68"/>
  <c r="H68"/>
  <c r="G68"/>
  <c r="F68"/>
  <c r="E68"/>
  <c r="D68"/>
  <c r="C68"/>
  <c r="I67"/>
  <c r="G67"/>
  <c r="H67" s="1"/>
  <c r="F67"/>
  <c r="C64"/>
  <c r="I55"/>
  <c r="J55" s="1"/>
  <c r="G55"/>
  <c r="H55" s="1"/>
  <c r="E55"/>
  <c r="F55" s="1"/>
  <c r="P50"/>
  <c r="P49"/>
  <c r="V48"/>
  <c r="T48"/>
  <c r="R48"/>
  <c r="P48"/>
  <c r="Z47"/>
  <c r="Q47"/>
  <c r="J47"/>
  <c r="AC47" s="1"/>
  <c r="H47"/>
  <c r="F47"/>
  <c r="AA47" s="1"/>
  <c r="AC46"/>
  <c r="W46"/>
  <c r="Q46"/>
  <c r="Z46" s="1"/>
  <c r="J46"/>
  <c r="F46"/>
  <c r="Z45"/>
  <c r="Q45"/>
  <c r="J45"/>
  <c r="AC45" s="1"/>
  <c r="H45"/>
  <c r="F45"/>
  <c r="AA45" s="1"/>
  <c r="AC44"/>
  <c r="W44"/>
  <c r="Q44"/>
  <c r="Z44" s="1"/>
  <c r="J44"/>
  <c r="H44"/>
  <c r="AB44" s="1"/>
  <c r="F44"/>
  <c r="AA44" s="1"/>
  <c r="AB43"/>
  <c r="U43"/>
  <c r="Q43"/>
  <c r="Z43" s="1"/>
  <c r="J43"/>
  <c r="AC43" s="1"/>
  <c r="H43"/>
  <c r="F43"/>
  <c r="AA43" s="1"/>
  <c r="Q42"/>
  <c r="Z42" s="1"/>
  <c r="J42"/>
  <c r="H42"/>
  <c r="AB42" s="1"/>
  <c r="F42"/>
  <c r="S42" s="1"/>
  <c r="Q41"/>
  <c r="Z41" s="1"/>
  <c r="J41"/>
  <c r="AC41" s="1"/>
  <c r="H41"/>
  <c r="F41"/>
  <c r="AA41" s="1"/>
  <c r="AC40"/>
  <c r="W40"/>
  <c r="Q40"/>
  <c r="Z40" s="1"/>
  <c r="J40"/>
  <c r="H40"/>
  <c r="AB40" s="1"/>
  <c r="F40"/>
  <c r="AA40" s="1"/>
  <c r="AB39"/>
  <c r="U39"/>
  <c r="Q39"/>
  <c r="Z39" s="1"/>
  <c r="J39"/>
  <c r="AC39" s="1"/>
  <c r="H39"/>
  <c r="F39"/>
  <c r="AA39" s="1"/>
  <c r="AA38"/>
  <c r="Q38"/>
  <c r="Z38" s="1"/>
  <c r="J38"/>
  <c r="H38"/>
  <c r="AB38" s="1"/>
  <c r="F38"/>
  <c r="S38" s="1"/>
  <c r="Z37"/>
  <c r="Q37"/>
  <c r="J37"/>
  <c r="AC37" s="1"/>
  <c r="H37"/>
  <c r="F37"/>
  <c r="AA37" s="1"/>
  <c r="AC36"/>
  <c r="Q36"/>
  <c r="Z36" s="1"/>
  <c r="J36"/>
  <c r="W36" s="1"/>
  <c r="H36"/>
  <c r="AB36" s="1"/>
  <c r="F36"/>
  <c r="AA36" s="1"/>
  <c r="AC35"/>
  <c r="W35"/>
  <c r="Q35"/>
  <c r="Z35" s="1"/>
  <c r="J35"/>
  <c r="H35"/>
  <c r="AB35" s="1"/>
  <c r="F35"/>
  <c r="AA35" s="1"/>
  <c r="AB34"/>
  <c r="U34"/>
  <c r="Q34"/>
  <c r="Z34" s="1"/>
  <c r="J34"/>
  <c r="AC34" s="1"/>
  <c r="H34"/>
  <c r="F34"/>
  <c r="AA34" s="1"/>
  <c r="Q33"/>
  <c r="Z33" s="1"/>
  <c r="J33"/>
  <c r="AC33" s="1"/>
  <c r="H33"/>
  <c r="AB33" s="1"/>
  <c r="F33"/>
  <c r="AA33" s="1"/>
  <c r="Q32"/>
  <c r="Z32" s="1"/>
  <c r="J32"/>
  <c r="AC32" s="1"/>
  <c r="H32"/>
  <c r="AB32" s="1"/>
  <c r="F32"/>
  <c r="AA32" s="1"/>
  <c r="AC31"/>
  <c r="W31"/>
  <c r="Q31"/>
  <c r="Z31" s="1"/>
  <c r="J31"/>
  <c r="H31"/>
  <c r="AB31" s="1"/>
  <c r="F31"/>
  <c r="AA31" s="1"/>
  <c r="AB30"/>
  <c r="U30"/>
  <c r="Q30"/>
  <c r="Z30" s="1"/>
  <c r="J30"/>
  <c r="AC30" s="1"/>
  <c r="H30"/>
  <c r="F30"/>
  <c r="AA30" s="1"/>
  <c r="Q29"/>
  <c r="Z29" s="1"/>
  <c r="J29"/>
  <c r="AC29" s="1"/>
  <c r="H29"/>
  <c r="AB29" s="1"/>
  <c r="F29"/>
  <c r="AA29" s="1"/>
  <c r="Q28"/>
  <c r="Z28" s="1"/>
  <c r="J28"/>
  <c r="AC28" s="1"/>
  <c r="H28"/>
  <c r="AB28" s="1"/>
  <c r="F28"/>
  <c r="AA28" s="1"/>
  <c r="AC27"/>
  <c r="W27"/>
  <c r="Q27"/>
  <c r="Z27" s="1"/>
  <c r="J27"/>
  <c r="H27"/>
  <c r="AB27" s="1"/>
  <c r="F27"/>
  <c r="AA27" s="1"/>
  <c r="AB25"/>
  <c r="U25"/>
  <c r="Q25"/>
  <c r="Z25" s="1"/>
  <c r="J25"/>
  <c r="AC25" s="1"/>
  <c r="H25"/>
  <c r="F25"/>
  <c r="AA25" s="1"/>
  <c r="Q23"/>
  <c r="Z23" s="1"/>
  <c r="J23"/>
  <c r="AC23" s="1"/>
  <c r="H23"/>
  <c r="AB23" s="1"/>
  <c r="F23"/>
  <c r="AA23" s="1"/>
  <c r="C23"/>
  <c r="AC21"/>
  <c r="W21"/>
  <c r="Q21"/>
  <c r="Z21" s="1"/>
  <c r="J21"/>
  <c r="H21"/>
  <c r="AB21" s="1"/>
  <c r="F21"/>
  <c r="AA21" s="1"/>
  <c r="C21"/>
  <c r="Q19"/>
  <c r="Z19" s="1"/>
  <c r="J19"/>
  <c r="AC19" s="1"/>
  <c r="H19"/>
  <c r="AB19" s="1"/>
  <c r="F19"/>
  <c r="AA19" s="1"/>
  <c r="C19"/>
  <c r="AC17"/>
  <c r="W17"/>
  <c r="Q17"/>
  <c r="Z17" s="1"/>
  <c r="J17"/>
  <c r="H17"/>
  <c r="AB17" s="1"/>
  <c r="F17"/>
  <c r="AA17" s="1"/>
  <c r="C17"/>
  <c r="Q15"/>
  <c r="Z15" s="1"/>
  <c r="J15"/>
  <c r="AC15" s="1"/>
  <c r="H15"/>
  <c r="AB15" s="1"/>
  <c r="F15"/>
  <c r="AA15" s="1"/>
  <c r="C15"/>
  <c r="AC14"/>
  <c r="W14"/>
  <c r="Q14"/>
  <c r="Z14" s="1"/>
  <c r="J14"/>
  <c r="H14"/>
  <c r="AB14" s="1"/>
  <c r="F14"/>
  <c r="AA14" s="1"/>
  <c r="AB13"/>
  <c r="U13"/>
  <c r="Q13"/>
  <c r="Z13" s="1"/>
  <c r="J13"/>
  <c r="AC13" s="1"/>
  <c r="H13"/>
  <c r="F13"/>
  <c r="AA13" s="1"/>
  <c r="Q12"/>
  <c r="Z12" s="1"/>
  <c r="J12"/>
  <c r="AC12" s="1"/>
  <c r="H12"/>
  <c r="AB12" s="1"/>
  <c r="F12"/>
  <c r="AA12" s="1"/>
  <c r="Q11"/>
  <c r="Z11" s="1"/>
  <c r="J11"/>
  <c r="AC11" s="1"/>
  <c r="H11"/>
  <c r="AB11" s="1"/>
  <c r="F11"/>
  <c r="AA11" s="1"/>
  <c r="AC10"/>
  <c r="W10"/>
  <c r="Q10"/>
  <c r="Z10" s="1"/>
  <c r="J10"/>
  <c r="H10"/>
  <c r="AB10" s="1"/>
  <c r="F10"/>
  <c r="AA10" s="1"/>
  <c r="AB9"/>
  <c r="U9"/>
  <c r="Q9"/>
  <c r="Z9" s="1"/>
  <c r="J9"/>
  <c r="AC9" s="1"/>
  <c r="H9"/>
  <c r="F9"/>
  <c r="AA9" s="1"/>
  <c r="U8"/>
  <c r="J8"/>
  <c r="W8" s="1"/>
  <c r="H8"/>
  <c r="AB8" s="1"/>
  <c r="F8"/>
  <c r="S8" s="1"/>
  <c r="D3"/>
  <c r="B130" i="33"/>
  <c r="H46" s="1"/>
  <c r="B128"/>
  <c r="B126"/>
  <c r="D125"/>
  <c r="E125" s="1"/>
  <c r="F125" s="1"/>
  <c r="G125" s="1"/>
  <c r="F123"/>
  <c r="G123" s="1"/>
  <c r="H123" s="1"/>
  <c r="I123" s="1"/>
  <c r="J123" s="1"/>
  <c r="K123" s="1"/>
  <c r="L123" s="1"/>
  <c r="M123" s="1"/>
  <c r="D123"/>
  <c r="E123" s="1"/>
  <c r="D121"/>
  <c r="E121" s="1"/>
  <c r="F121" s="1"/>
  <c r="G121" s="1"/>
  <c r="H121" s="1"/>
  <c r="I121" s="1"/>
  <c r="J121" s="1"/>
  <c r="K121" s="1"/>
  <c r="L121" s="1"/>
  <c r="M121" s="1"/>
  <c r="D117"/>
  <c r="E117" s="1"/>
  <c r="F117" s="1"/>
  <c r="G117" s="1"/>
  <c r="F115"/>
  <c r="G115" s="1"/>
  <c r="H115" s="1"/>
  <c r="I115" s="1"/>
  <c r="J115" s="1"/>
  <c r="K115" s="1"/>
  <c r="L115" s="1"/>
  <c r="M115" s="1"/>
  <c r="D115"/>
  <c r="E115" s="1"/>
  <c r="D113"/>
  <c r="E113" s="1"/>
  <c r="F113" s="1"/>
  <c r="G113" s="1"/>
  <c r="H113" s="1"/>
  <c r="I113" s="1"/>
  <c r="J113" s="1"/>
  <c r="K113" s="1"/>
  <c r="L113" s="1"/>
  <c r="M113" s="1"/>
  <c r="F111"/>
  <c r="G111" s="1"/>
  <c r="H111" s="1"/>
  <c r="I111" s="1"/>
  <c r="J111" s="1"/>
  <c r="K111" s="1"/>
  <c r="L111" s="1"/>
  <c r="M111" s="1"/>
  <c r="D111"/>
  <c r="E111" s="1"/>
  <c r="G109"/>
  <c r="F109"/>
  <c r="E109"/>
  <c r="D109"/>
  <c r="C109"/>
  <c r="G108"/>
  <c r="H108" s="1"/>
  <c r="I108" s="1"/>
  <c r="J108" s="1"/>
  <c r="K108" s="1"/>
  <c r="L108" s="1"/>
  <c r="M108" s="1"/>
  <c r="E108"/>
  <c r="F108" s="1"/>
  <c r="D108"/>
  <c r="G106"/>
  <c r="H106" s="1"/>
  <c r="I106" s="1"/>
  <c r="J106" s="1"/>
  <c r="K106" s="1"/>
  <c r="L106" s="1"/>
  <c r="M106" s="1"/>
  <c r="E106"/>
  <c r="F106" s="1"/>
  <c r="D106"/>
  <c r="M102"/>
  <c r="L102"/>
  <c r="K102"/>
  <c r="J102"/>
  <c r="I102"/>
  <c r="H102"/>
  <c r="G102"/>
  <c r="F102"/>
  <c r="E102"/>
  <c r="D102"/>
  <c r="C102"/>
  <c r="D101"/>
  <c r="E101" s="1"/>
  <c r="F101" s="1"/>
  <c r="G101" s="1"/>
  <c r="H101" s="1"/>
  <c r="I101" s="1"/>
  <c r="J101" s="1"/>
  <c r="K101" s="1"/>
  <c r="L101" s="1"/>
  <c r="M101" s="1"/>
  <c r="B98"/>
  <c r="B96"/>
  <c r="H30" s="1"/>
  <c r="B94"/>
  <c r="B92"/>
  <c r="F91"/>
  <c r="G91" s="1"/>
  <c r="H91" s="1"/>
  <c r="I91" s="1"/>
  <c r="J91" s="1"/>
  <c r="K91" s="1"/>
  <c r="L91" s="1"/>
  <c r="M91" s="1"/>
  <c r="D91"/>
  <c r="E91" s="1"/>
  <c r="B90"/>
  <c r="B88"/>
  <c r="D87"/>
  <c r="E87" s="1"/>
  <c r="F87" s="1"/>
  <c r="G87" s="1"/>
  <c r="H87" s="1"/>
  <c r="I87" s="1"/>
  <c r="J87" s="1"/>
  <c r="K87" s="1"/>
  <c r="L87" s="1"/>
  <c r="M87" s="1"/>
  <c r="D85"/>
  <c r="E85" s="1"/>
  <c r="F85" s="1"/>
  <c r="G85" s="1"/>
  <c r="D83"/>
  <c r="E83" s="1"/>
  <c r="F83" s="1"/>
  <c r="G83" s="1"/>
  <c r="D81"/>
  <c r="E81" s="1"/>
  <c r="F81" s="1"/>
  <c r="G81" s="1"/>
  <c r="D79"/>
  <c r="E79" s="1"/>
  <c r="F79" s="1"/>
  <c r="G79" s="1"/>
  <c r="D77"/>
  <c r="E77" s="1"/>
  <c r="F77" s="1"/>
  <c r="G77" s="1"/>
  <c r="B74"/>
  <c r="B72"/>
  <c r="H13" s="1"/>
  <c r="B70"/>
  <c r="E69"/>
  <c r="F69" s="1"/>
  <c r="G69" s="1"/>
  <c r="H69" s="1"/>
  <c r="I69" s="1"/>
  <c r="J69" s="1"/>
  <c r="K69" s="1"/>
  <c r="L69" s="1"/>
  <c r="M69" s="1"/>
  <c r="D69"/>
  <c r="M67"/>
  <c r="L67"/>
  <c r="K67"/>
  <c r="J67"/>
  <c r="I67"/>
  <c r="H67"/>
  <c r="G67"/>
  <c r="F67"/>
  <c r="E67"/>
  <c r="D67"/>
  <c r="C67"/>
  <c r="H66"/>
  <c r="I66" s="1"/>
  <c r="G66"/>
  <c r="C63"/>
  <c r="H9" s="1"/>
  <c r="I54"/>
  <c r="J54" s="1"/>
  <c r="G54"/>
  <c r="H54" s="1"/>
  <c r="E54"/>
  <c r="F54" s="1"/>
  <c r="P49"/>
  <c r="P48"/>
  <c r="V47"/>
  <c r="T47"/>
  <c r="R47"/>
  <c r="P47"/>
  <c r="Q46"/>
  <c r="Z46" s="1"/>
  <c r="AC45"/>
  <c r="W45"/>
  <c r="Q45"/>
  <c r="Z45" s="1"/>
  <c r="J45"/>
  <c r="H45"/>
  <c r="AB45" s="1"/>
  <c r="F45"/>
  <c r="AA45" s="1"/>
  <c r="Q44"/>
  <c r="Z44" s="1"/>
  <c r="H44"/>
  <c r="AB44" s="1"/>
  <c r="Q43"/>
  <c r="Z43" s="1"/>
  <c r="J43"/>
  <c r="AC43" s="1"/>
  <c r="H43"/>
  <c r="AB43" s="1"/>
  <c r="F43"/>
  <c r="AA43" s="1"/>
  <c r="Q42"/>
  <c r="Z42" s="1"/>
  <c r="J42"/>
  <c r="AC42" s="1"/>
  <c r="H42"/>
  <c r="AB42" s="1"/>
  <c r="F42"/>
  <c r="AA42" s="1"/>
  <c r="AC41"/>
  <c r="W41"/>
  <c r="Q41"/>
  <c r="Z41" s="1"/>
  <c r="J41"/>
  <c r="H41"/>
  <c r="AB41" s="1"/>
  <c r="F41"/>
  <c r="AA41" s="1"/>
  <c r="AB40"/>
  <c r="U40"/>
  <c r="Q40"/>
  <c r="Z40" s="1"/>
  <c r="J40"/>
  <c r="AC40" s="1"/>
  <c r="H40"/>
  <c r="F40"/>
  <c r="AA40" s="1"/>
  <c r="Q39"/>
  <c r="Z39" s="1"/>
  <c r="J39"/>
  <c r="AC39" s="1"/>
  <c r="H39"/>
  <c r="AB39" s="1"/>
  <c r="F39"/>
  <c r="AA39" s="1"/>
  <c r="Q38"/>
  <c r="Z38" s="1"/>
  <c r="J38"/>
  <c r="AC38" s="1"/>
  <c r="H38"/>
  <c r="AB38" s="1"/>
  <c r="F38"/>
  <c r="AA38" s="1"/>
  <c r="AC37"/>
  <c r="W37"/>
  <c r="Q37"/>
  <c r="Z37" s="1"/>
  <c r="J37"/>
  <c r="H37"/>
  <c r="AB37" s="1"/>
  <c r="F37"/>
  <c r="AA37" s="1"/>
  <c r="AB36"/>
  <c r="U36"/>
  <c r="Q36"/>
  <c r="Z36" s="1"/>
  <c r="J36"/>
  <c r="AC36" s="1"/>
  <c r="H36"/>
  <c r="F36"/>
  <c r="AA36" s="1"/>
  <c r="Q35"/>
  <c r="Z35" s="1"/>
  <c r="J35"/>
  <c r="AC35" s="1"/>
  <c r="H35"/>
  <c r="AB35" s="1"/>
  <c r="F35"/>
  <c r="AA35" s="1"/>
  <c r="Q34"/>
  <c r="Z34" s="1"/>
  <c r="J34"/>
  <c r="AC34" s="1"/>
  <c r="H34"/>
  <c r="AB34" s="1"/>
  <c r="F34"/>
  <c r="AA34" s="1"/>
  <c r="AC33"/>
  <c r="W33"/>
  <c r="Q33"/>
  <c r="Z33" s="1"/>
  <c r="J33"/>
  <c r="H33"/>
  <c r="AB33" s="1"/>
  <c r="F33"/>
  <c r="AA33" s="1"/>
  <c r="AB32"/>
  <c r="U32"/>
  <c r="Q32"/>
  <c r="Z32" s="1"/>
  <c r="J32"/>
  <c r="AC32" s="1"/>
  <c r="H32"/>
  <c r="F32"/>
  <c r="AA32" s="1"/>
  <c r="Q31"/>
  <c r="Z31" s="1"/>
  <c r="J31"/>
  <c r="AC31" s="1"/>
  <c r="H31"/>
  <c r="AB31" s="1"/>
  <c r="F31"/>
  <c r="AA31" s="1"/>
  <c r="Q30"/>
  <c r="Z30" s="1"/>
  <c r="AC29"/>
  <c r="W29"/>
  <c r="Q29"/>
  <c r="Z29" s="1"/>
  <c r="J29"/>
  <c r="H29"/>
  <c r="AB29" s="1"/>
  <c r="F29"/>
  <c r="AA29" s="1"/>
  <c r="Q28"/>
  <c r="Z28" s="1"/>
  <c r="H28"/>
  <c r="AB28" s="1"/>
  <c r="Q27"/>
  <c r="Z27" s="1"/>
  <c r="J27"/>
  <c r="AC27" s="1"/>
  <c r="H27"/>
  <c r="AB27" s="1"/>
  <c r="F27"/>
  <c r="AA27" s="1"/>
  <c r="Q26"/>
  <c r="Z26" s="1"/>
  <c r="H26"/>
  <c r="AB26" s="1"/>
  <c r="AC25"/>
  <c r="W25"/>
  <c r="Q25"/>
  <c r="Z25" s="1"/>
  <c r="J25"/>
  <c r="H25"/>
  <c r="AB25" s="1"/>
  <c r="F25"/>
  <c r="AA25" s="1"/>
  <c r="AB23"/>
  <c r="U23"/>
  <c r="Q23"/>
  <c r="Z23" s="1"/>
  <c r="J23"/>
  <c r="AC23" s="1"/>
  <c r="H23"/>
  <c r="F23"/>
  <c r="AA23" s="1"/>
  <c r="C23"/>
  <c r="AB21"/>
  <c r="U21"/>
  <c r="Q21"/>
  <c r="Z21" s="1"/>
  <c r="J21"/>
  <c r="AC21" s="1"/>
  <c r="H21"/>
  <c r="F21"/>
  <c r="AA21" s="1"/>
  <c r="C21"/>
  <c r="AB19"/>
  <c r="U19"/>
  <c r="Q19"/>
  <c r="Z19" s="1"/>
  <c r="J19"/>
  <c r="AC19" s="1"/>
  <c r="H19"/>
  <c r="F19"/>
  <c r="AA19" s="1"/>
  <c r="C19"/>
  <c r="AB17"/>
  <c r="U17"/>
  <c r="Q17"/>
  <c r="Z17" s="1"/>
  <c r="J17"/>
  <c r="AC17" s="1"/>
  <c r="H17"/>
  <c r="F17"/>
  <c r="AA17" s="1"/>
  <c r="C17"/>
  <c r="AB15"/>
  <c r="U15"/>
  <c r="Q15"/>
  <c r="Z15" s="1"/>
  <c r="J15"/>
  <c r="AC15" s="1"/>
  <c r="H15"/>
  <c r="F15"/>
  <c r="AA15" s="1"/>
  <c r="C15"/>
  <c r="AB14"/>
  <c r="U14"/>
  <c r="Q14"/>
  <c r="Z14" s="1"/>
  <c r="J14"/>
  <c r="AC14" s="1"/>
  <c r="H14"/>
  <c r="F14"/>
  <c r="AA14" s="1"/>
  <c r="AA13"/>
  <c r="S13"/>
  <c r="Q13"/>
  <c r="Z13" s="1"/>
  <c r="J13"/>
  <c r="AC13" s="1"/>
  <c r="F13"/>
  <c r="AB12"/>
  <c r="U12"/>
  <c r="Q12"/>
  <c r="Z12" s="1"/>
  <c r="J12"/>
  <c r="AC12" s="1"/>
  <c r="H12"/>
  <c r="F12"/>
  <c r="AA12" s="1"/>
  <c r="Q11"/>
  <c r="Z11" s="1"/>
  <c r="J11"/>
  <c r="AC11" s="1"/>
  <c r="H11"/>
  <c r="AB11" s="1"/>
  <c r="F11"/>
  <c r="AA11" s="1"/>
  <c r="Q10"/>
  <c r="Z10" s="1"/>
  <c r="J10"/>
  <c r="AC10" s="1"/>
  <c r="H10"/>
  <c r="AB10" s="1"/>
  <c r="F10"/>
  <c r="AA10" s="1"/>
  <c r="AC9"/>
  <c r="W9"/>
  <c r="Q9"/>
  <c r="Z9" s="1"/>
  <c r="J9"/>
  <c r="F9"/>
  <c r="AA9" s="1"/>
  <c r="W8"/>
  <c r="S8"/>
  <c r="J8"/>
  <c r="AC8" s="1"/>
  <c r="H8"/>
  <c r="U8" s="1"/>
  <c r="F8"/>
  <c r="AA8" s="1"/>
  <c r="D3"/>
  <c r="C145" i="21"/>
  <c r="K139" s="1"/>
  <c r="J142"/>
  <c r="J140"/>
  <c r="B130"/>
  <c r="B128"/>
  <c r="B126"/>
  <c r="E125"/>
  <c r="F125" s="1"/>
  <c r="G125" s="1"/>
  <c r="D125"/>
  <c r="E123"/>
  <c r="F123" s="1"/>
  <c r="G123" s="1"/>
  <c r="H123" s="1"/>
  <c r="I123" s="1"/>
  <c r="J123" s="1"/>
  <c r="K123" s="1"/>
  <c r="L123" s="1"/>
  <c r="M123" s="1"/>
  <c r="D123"/>
  <c r="E119"/>
  <c r="F119" s="1"/>
  <c r="G119" s="1"/>
  <c r="H119" s="1"/>
  <c r="I119" s="1"/>
  <c r="J119" s="1"/>
  <c r="K119" s="1"/>
  <c r="L119" s="1"/>
  <c r="M119" s="1"/>
  <c r="D119"/>
  <c r="G117"/>
  <c r="E117"/>
  <c r="F117" s="1"/>
  <c r="D117"/>
  <c r="G115"/>
  <c r="H115" s="1"/>
  <c r="I115" s="1"/>
  <c r="J115" s="1"/>
  <c r="K115" s="1"/>
  <c r="L115" s="1"/>
  <c r="M115" s="1"/>
  <c r="E115"/>
  <c r="F115" s="1"/>
  <c r="D115"/>
  <c r="F113"/>
  <c r="G113" s="1"/>
  <c r="H113" s="1"/>
  <c r="D113"/>
  <c r="E113" s="1"/>
  <c r="H111"/>
  <c r="G111"/>
  <c r="F111"/>
  <c r="E111"/>
  <c r="D111"/>
  <c r="C111"/>
  <c r="D110"/>
  <c r="E110" s="1"/>
  <c r="F110" s="1"/>
  <c r="G110" s="1"/>
  <c r="H110" s="1"/>
  <c r="I110" s="1"/>
  <c r="J110" s="1"/>
  <c r="K110" s="1"/>
  <c r="L110" s="1"/>
  <c r="M110" s="1"/>
  <c r="F108"/>
  <c r="G108" s="1"/>
  <c r="H108" s="1"/>
  <c r="I108" s="1"/>
  <c r="J108" s="1"/>
  <c r="K108" s="1"/>
  <c r="L108" s="1"/>
  <c r="M108" s="1"/>
  <c r="D108"/>
  <c r="E108" s="1"/>
  <c r="D106"/>
  <c r="E106" s="1"/>
  <c r="F106" s="1"/>
  <c r="G106" s="1"/>
  <c r="H106" s="1"/>
  <c r="I106" s="1"/>
  <c r="J106" s="1"/>
  <c r="K106" s="1"/>
  <c r="L106" s="1"/>
  <c r="M106" s="1"/>
  <c r="M102"/>
  <c r="L102"/>
  <c r="K102"/>
  <c r="J102"/>
  <c r="I102"/>
  <c r="H102"/>
  <c r="G102"/>
  <c r="F102"/>
  <c r="E102"/>
  <c r="D102"/>
  <c r="C102"/>
  <c r="E101"/>
  <c r="F101" s="1"/>
  <c r="G101" s="1"/>
  <c r="H101" s="1"/>
  <c r="I101" s="1"/>
  <c r="J101" s="1"/>
  <c r="K101" s="1"/>
  <c r="L101" s="1"/>
  <c r="M101" s="1"/>
  <c r="D101"/>
  <c r="B98"/>
  <c r="B96"/>
  <c r="B94"/>
  <c r="B92"/>
  <c r="B90"/>
  <c r="F89"/>
  <c r="G89" s="1"/>
  <c r="H89" s="1"/>
  <c r="I89" s="1"/>
  <c r="J89" s="1"/>
  <c r="K89" s="1"/>
  <c r="L89" s="1"/>
  <c r="M89" s="1"/>
  <c r="D89"/>
  <c r="E89" s="1"/>
  <c r="M87"/>
  <c r="L87"/>
  <c r="K87"/>
  <c r="J87"/>
  <c r="I87"/>
  <c r="H87"/>
  <c r="G87"/>
  <c r="F87"/>
  <c r="E87"/>
  <c r="D87"/>
  <c r="F85"/>
  <c r="G85" s="1"/>
  <c r="D85"/>
  <c r="E85" s="1"/>
  <c r="F83"/>
  <c r="G83" s="1"/>
  <c r="D83"/>
  <c r="E83" s="1"/>
  <c r="F81"/>
  <c r="G81" s="1"/>
  <c r="D81"/>
  <c r="E81" s="1"/>
  <c r="F79"/>
  <c r="G79" s="1"/>
  <c r="D79"/>
  <c r="E79" s="1"/>
  <c r="F77"/>
  <c r="G77" s="1"/>
  <c r="D77"/>
  <c r="E77" s="1"/>
  <c r="B74"/>
  <c r="B72"/>
  <c r="B70"/>
  <c r="G69"/>
  <c r="H69" s="1"/>
  <c r="I69" s="1"/>
  <c r="J69" s="1"/>
  <c r="K69" s="1"/>
  <c r="L69" s="1"/>
  <c r="M69" s="1"/>
  <c r="E69"/>
  <c r="F69" s="1"/>
  <c r="D69"/>
  <c r="M67"/>
  <c r="L67"/>
  <c r="K67"/>
  <c r="J67"/>
  <c r="I67"/>
  <c r="H67"/>
  <c r="G67"/>
  <c r="F67"/>
  <c r="E67"/>
  <c r="D67"/>
  <c r="C67"/>
  <c r="D66"/>
  <c r="E66" s="1"/>
  <c r="F66" s="1"/>
  <c r="G66" s="1"/>
  <c r="H66" s="1"/>
  <c r="I66" s="1"/>
  <c r="C63"/>
  <c r="J54"/>
  <c r="I54"/>
  <c r="H54"/>
  <c r="G54"/>
  <c r="F54"/>
  <c r="E54"/>
  <c r="P49"/>
  <c r="P48"/>
  <c r="V47"/>
  <c r="T47"/>
  <c r="R47"/>
  <c r="P47"/>
  <c r="AC46"/>
  <c r="W46"/>
  <c r="Q46"/>
  <c r="Z46" s="1"/>
  <c r="J46"/>
  <c r="H46"/>
  <c r="AB46" s="1"/>
  <c r="F46"/>
  <c r="AA46" s="1"/>
  <c r="Q45"/>
  <c r="Z45" s="1"/>
  <c r="H45"/>
  <c r="AB45" s="1"/>
  <c r="Q44"/>
  <c r="Z44" s="1"/>
  <c r="J44"/>
  <c r="AC44" s="1"/>
  <c r="H44"/>
  <c r="AB44" s="1"/>
  <c r="F44"/>
  <c r="AA44" s="1"/>
  <c r="Q43"/>
  <c r="Z43" s="1"/>
  <c r="J43"/>
  <c r="AC43" s="1"/>
  <c r="H43"/>
  <c r="AB43" s="1"/>
  <c r="F43"/>
  <c r="AA43" s="1"/>
  <c r="AC42"/>
  <c r="W42"/>
  <c r="Q42"/>
  <c r="Z42" s="1"/>
  <c r="J42"/>
  <c r="H42"/>
  <c r="AB42" s="1"/>
  <c r="F42"/>
  <c r="AA42" s="1"/>
  <c r="AB41"/>
  <c r="U41"/>
  <c r="Q41"/>
  <c r="Z41" s="1"/>
  <c r="J41"/>
  <c r="AC41" s="1"/>
  <c r="H41"/>
  <c r="F41"/>
  <c r="AA41" s="1"/>
  <c r="Q40"/>
  <c r="Z40" s="1"/>
  <c r="J40"/>
  <c r="AC40" s="1"/>
  <c r="H40"/>
  <c r="AB40" s="1"/>
  <c r="F40"/>
  <c r="AA40" s="1"/>
  <c r="Q39"/>
  <c r="Z39" s="1"/>
  <c r="J39"/>
  <c r="AC39" s="1"/>
  <c r="H39"/>
  <c r="AB39" s="1"/>
  <c r="F39"/>
  <c r="AA39" s="1"/>
  <c r="AC38"/>
  <c r="W38"/>
  <c r="Q38"/>
  <c r="Z38" s="1"/>
  <c r="J38"/>
  <c r="H38"/>
  <c r="AB38" s="1"/>
  <c r="F38"/>
  <c r="AA38" s="1"/>
  <c r="AB37"/>
  <c r="U37"/>
  <c r="Q37"/>
  <c r="Z37" s="1"/>
  <c r="J37"/>
  <c r="AC37" s="1"/>
  <c r="H37"/>
  <c r="F37"/>
  <c r="AA37" s="1"/>
  <c r="Q36"/>
  <c r="Z36" s="1"/>
  <c r="J36"/>
  <c r="AC36" s="1"/>
  <c r="H36"/>
  <c r="AB36" s="1"/>
  <c r="F36"/>
  <c r="AA36" s="1"/>
  <c r="Q35"/>
  <c r="Z35" s="1"/>
  <c r="J35"/>
  <c r="AC35" s="1"/>
  <c r="H35"/>
  <c r="AB35" s="1"/>
  <c r="F35"/>
  <c r="AA35" s="1"/>
  <c r="AC34"/>
  <c r="W34"/>
  <c r="Q34"/>
  <c r="Z34" s="1"/>
  <c r="J34"/>
  <c r="H34"/>
  <c r="AB34" s="1"/>
  <c r="F34"/>
  <c r="AA34" s="1"/>
  <c r="AB33"/>
  <c r="U33"/>
  <c r="Q33"/>
  <c r="Z33" s="1"/>
  <c r="J33"/>
  <c r="AC33" s="1"/>
  <c r="H33"/>
  <c r="F33"/>
  <c r="AA33" s="1"/>
  <c r="Q32"/>
  <c r="Z32" s="1"/>
  <c r="J32"/>
  <c r="AC32" s="1"/>
  <c r="H32"/>
  <c r="AB32" s="1"/>
  <c r="F32"/>
  <c r="AA32" s="1"/>
  <c r="Q31"/>
  <c r="Z31" s="1"/>
  <c r="H31"/>
  <c r="AB31" s="1"/>
  <c r="AC30"/>
  <c r="W30"/>
  <c r="Q30"/>
  <c r="Z30" s="1"/>
  <c r="J30"/>
  <c r="H30"/>
  <c r="AB30" s="1"/>
  <c r="F30"/>
  <c r="AA30" s="1"/>
  <c r="Q29"/>
  <c r="Z29" s="1"/>
  <c r="H29"/>
  <c r="AB29" s="1"/>
  <c r="Q28"/>
  <c r="Z28" s="1"/>
  <c r="J28"/>
  <c r="AC28" s="1"/>
  <c r="H28"/>
  <c r="AB28" s="1"/>
  <c r="F28"/>
  <c r="AA28" s="1"/>
  <c r="Q27"/>
  <c r="Z27" s="1"/>
  <c r="H27"/>
  <c r="AB27" s="1"/>
  <c r="AC26"/>
  <c r="W26"/>
  <c r="Q26"/>
  <c r="Z26" s="1"/>
  <c r="J26"/>
  <c r="H26"/>
  <c r="AB26" s="1"/>
  <c r="F26"/>
  <c r="AA26" s="1"/>
  <c r="AB25"/>
  <c r="U25"/>
  <c r="Q25"/>
  <c r="Z25" s="1"/>
  <c r="J25"/>
  <c r="AC25" s="1"/>
  <c r="H25"/>
  <c r="F25"/>
  <c r="AA25" s="1"/>
  <c r="Q23"/>
  <c r="Z23" s="1"/>
  <c r="J23"/>
  <c r="AC23" s="1"/>
  <c r="H23"/>
  <c r="AB23" s="1"/>
  <c r="F23"/>
  <c r="AA23" s="1"/>
  <c r="C23"/>
  <c r="AC21"/>
  <c r="W21"/>
  <c r="Q21"/>
  <c r="Z21" s="1"/>
  <c r="J21"/>
  <c r="H21"/>
  <c r="AB21" s="1"/>
  <c r="F21"/>
  <c r="AA21" s="1"/>
  <c r="C21"/>
  <c r="Q19"/>
  <c r="Z19" s="1"/>
  <c r="J19"/>
  <c r="AC19" s="1"/>
  <c r="H19"/>
  <c r="AB19" s="1"/>
  <c r="F19"/>
  <c r="AA19" s="1"/>
  <c r="C19"/>
  <c r="AC17"/>
  <c r="W17"/>
  <c r="Q17"/>
  <c r="Z17" s="1"/>
  <c r="J17"/>
  <c r="H17"/>
  <c r="AB17" s="1"/>
  <c r="F17"/>
  <c r="AA17" s="1"/>
  <c r="C17"/>
  <c r="Q15"/>
  <c r="Z15" s="1"/>
  <c r="J15"/>
  <c r="AC15" s="1"/>
  <c r="H15"/>
  <c r="AB15" s="1"/>
  <c r="F15"/>
  <c r="AA15" s="1"/>
  <c r="C15"/>
  <c r="AC14"/>
  <c r="W14"/>
  <c r="Q14"/>
  <c r="Z14" s="1"/>
  <c r="J14"/>
  <c r="H14"/>
  <c r="AB14" s="1"/>
  <c r="F14"/>
  <c r="AA14" s="1"/>
  <c r="Q13"/>
  <c r="Z13" s="1"/>
  <c r="H13"/>
  <c r="AB13" s="1"/>
  <c r="Q12"/>
  <c r="Z12" s="1"/>
  <c r="J12"/>
  <c r="AC12" s="1"/>
  <c r="H12"/>
  <c r="AB12" s="1"/>
  <c r="F12"/>
  <c r="AA12" s="1"/>
  <c r="Q11"/>
  <c r="Z11" s="1"/>
  <c r="J11"/>
  <c r="AC11" s="1"/>
  <c r="H11"/>
  <c r="AB11" s="1"/>
  <c r="F11"/>
  <c r="AA11" s="1"/>
  <c r="AC10"/>
  <c r="W10"/>
  <c r="Q10"/>
  <c r="Z10" s="1"/>
  <c r="J10"/>
  <c r="H10"/>
  <c r="AB10" s="1"/>
  <c r="F10"/>
  <c r="AA10" s="1"/>
  <c r="AB9"/>
  <c r="U9"/>
  <c r="Q9"/>
  <c r="Z9" s="1"/>
  <c r="J9"/>
  <c r="AC9" s="1"/>
  <c r="H9"/>
  <c r="F9"/>
  <c r="AA9" s="1"/>
  <c r="U8"/>
  <c r="J8"/>
  <c r="W8" s="1"/>
  <c r="H8"/>
  <c r="AB8" s="1"/>
  <c r="F8"/>
  <c r="S8" s="1"/>
  <c r="D3"/>
  <c r="G17" i="11"/>
  <c r="E13"/>
  <c r="E12"/>
  <c r="C11"/>
  <c r="C10" s="1"/>
  <c r="C7"/>
  <c r="C32" i="57"/>
  <c r="C31"/>
  <c r="C30"/>
  <c r="E26"/>
  <c r="I23"/>
  <c r="D20"/>
  <c r="I19"/>
  <c r="I18"/>
  <c r="I17"/>
  <c r="I20" s="1"/>
  <c r="E15"/>
  <c r="I14"/>
  <c r="I13"/>
  <c r="I12"/>
  <c r="I15" s="1"/>
  <c r="I9"/>
  <c r="I8"/>
  <c r="I7"/>
  <c r="I6"/>
  <c r="I5"/>
  <c r="I4"/>
  <c r="I3"/>
  <c r="Q73" i="15"/>
  <c r="Q60"/>
  <c r="D60"/>
  <c r="Q59"/>
  <c r="K59"/>
  <c r="P75" s="1"/>
  <c r="F58"/>
  <c r="Q52"/>
  <c r="J50"/>
  <c r="M47"/>
  <c r="F33"/>
  <c r="F60" s="1"/>
  <c r="F31"/>
  <c r="F23"/>
  <c r="D24" s="1"/>
  <c r="F21"/>
  <c r="F20"/>
  <c r="M19"/>
  <c r="F18"/>
  <c r="M17"/>
  <c r="F17"/>
  <c r="F15"/>
  <c r="D71" i="59"/>
  <c r="F70"/>
  <c r="E70"/>
  <c r="E69" s="1"/>
  <c r="C70"/>
  <c r="B70"/>
  <c r="F69"/>
  <c r="F68" s="1"/>
  <c r="B69"/>
  <c r="B68" s="1"/>
  <c r="E68"/>
  <c r="D67"/>
  <c r="F66"/>
  <c r="E66"/>
  <c r="E65" s="1"/>
  <c r="C66"/>
  <c r="B66"/>
  <c r="F65"/>
  <c r="F64" s="1"/>
  <c r="B65"/>
  <c r="B64" s="1"/>
  <c r="E64"/>
  <c r="D63"/>
  <c r="S62"/>
  <c r="Q62"/>
  <c r="P62"/>
  <c r="O62"/>
  <c r="N62"/>
  <c r="F62"/>
  <c r="V62" s="1"/>
  <c r="E62"/>
  <c r="E61" s="1"/>
  <c r="C62"/>
  <c r="B62"/>
  <c r="Q61"/>
  <c r="P61"/>
  <c r="O61"/>
  <c r="N61"/>
  <c r="F61"/>
  <c r="F60" s="1"/>
  <c r="B61"/>
  <c r="B60" s="1"/>
  <c r="Q60"/>
  <c r="P60"/>
  <c r="O60"/>
  <c r="N60"/>
  <c r="E60"/>
  <c r="Q59"/>
  <c r="P59"/>
  <c r="O59"/>
  <c r="N59"/>
  <c r="D59"/>
  <c r="S58"/>
  <c r="Q58"/>
  <c r="P58"/>
  <c r="O58"/>
  <c r="N58"/>
  <c r="F58"/>
  <c r="V58" s="1"/>
  <c r="E58"/>
  <c r="E57" s="1"/>
  <c r="C58"/>
  <c r="B58"/>
  <c r="Q57"/>
  <c r="P57"/>
  <c r="O57"/>
  <c r="N57"/>
  <c r="F57"/>
  <c r="F56" s="1"/>
  <c r="B57"/>
  <c r="B56" s="1"/>
  <c r="Q56"/>
  <c r="P56"/>
  <c r="O56"/>
  <c r="N56"/>
  <c r="E56"/>
  <c r="Q55"/>
  <c r="P55"/>
  <c r="O55"/>
  <c r="N55"/>
  <c r="D55"/>
  <c r="S54"/>
  <c r="Q54"/>
  <c r="P54"/>
  <c r="O54"/>
  <c r="N54"/>
  <c r="F54"/>
  <c r="V54" s="1"/>
  <c r="E54"/>
  <c r="E53" s="1"/>
  <c r="C54"/>
  <c r="B54"/>
  <c r="Q53"/>
  <c r="P53"/>
  <c r="O53"/>
  <c r="N53"/>
  <c r="F53"/>
  <c r="F52" s="1"/>
  <c r="B53"/>
  <c r="B52" s="1"/>
  <c r="Q52"/>
  <c r="P52"/>
  <c r="O52"/>
  <c r="N52"/>
  <c r="E52"/>
  <c r="Q51"/>
  <c r="P51"/>
  <c r="O51"/>
  <c r="N51"/>
  <c r="D51"/>
  <c r="S50"/>
  <c r="N50"/>
  <c r="F50"/>
  <c r="V50" s="1"/>
  <c r="E50"/>
  <c r="E49" s="1"/>
  <c r="P49" s="1"/>
  <c r="C50"/>
  <c r="B50"/>
  <c r="F49"/>
  <c r="F48" s="1"/>
  <c r="Q48" s="1"/>
  <c r="B49"/>
  <c r="E48"/>
  <c r="P47" s="1"/>
  <c r="Q47"/>
  <c r="D47"/>
  <c r="Q46"/>
  <c r="P46"/>
  <c r="O46"/>
  <c r="N46"/>
  <c r="Q45"/>
  <c r="P45"/>
  <c r="O45"/>
  <c r="N45"/>
  <c r="Q44"/>
  <c r="P44"/>
  <c r="O44"/>
  <c r="N44"/>
  <c r="E44"/>
  <c r="E45" s="1"/>
  <c r="E46" s="1"/>
  <c r="U46" s="1"/>
  <c r="Q43"/>
  <c r="F44" s="1"/>
  <c r="F45" s="1"/>
  <c r="F46" s="1"/>
  <c r="V46" s="1"/>
  <c r="P43"/>
  <c r="O43"/>
  <c r="C44" s="1"/>
  <c r="N43"/>
  <c r="B44" s="1"/>
  <c r="B45" s="1"/>
  <c r="B46" s="1"/>
  <c r="S46" s="1"/>
  <c r="D43"/>
  <c r="Q42"/>
  <c r="P42"/>
  <c r="O42"/>
  <c r="N42"/>
  <c r="Q41"/>
  <c r="P41"/>
  <c r="O41"/>
  <c r="N41"/>
  <c r="Q40"/>
  <c r="P40"/>
  <c r="O40"/>
  <c r="N40"/>
  <c r="E40"/>
  <c r="E41" s="1"/>
  <c r="E42" s="1"/>
  <c r="U42" s="1"/>
  <c r="Q39"/>
  <c r="F40" s="1"/>
  <c r="F41" s="1"/>
  <c r="F42" s="1"/>
  <c r="V42" s="1"/>
  <c r="P39"/>
  <c r="O39"/>
  <c r="C40" s="1"/>
  <c r="N39"/>
  <c r="B40" s="1"/>
  <c r="B41" s="1"/>
  <c r="B42" s="1"/>
  <c r="S42" s="1"/>
  <c r="D39"/>
  <c r="Q38"/>
  <c r="P38"/>
  <c r="O38"/>
  <c r="N38"/>
  <c r="Q37"/>
  <c r="P37"/>
  <c r="O37"/>
  <c r="N37"/>
  <c r="Q36"/>
  <c r="P36"/>
  <c r="O36"/>
  <c r="N36"/>
  <c r="E36"/>
  <c r="E37" s="1"/>
  <c r="E38" s="1"/>
  <c r="U38" s="1"/>
  <c r="Q35"/>
  <c r="F36" s="1"/>
  <c r="F37" s="1"/>
  <c r="F38" s="1"/>
  <c r="V38" s="1"/>
  <c r="P35"/>
  <c r="O35"/>
  <c r="C36" s="1"/>
  <c r="N35"/>
  <c r="B36" s="1"/>
  <c r="B37" s="1"/>
  <c r="B38" s="1"/>
  <c r="S38" s="1"/>
  <c r="D35"/>
  <c r="Q34"/>
  <c r="P34"/>
  <c r="O34"/>
  <c r="N34"/>
  <c r="Q33"/>
  <c r="P33"/>
  <c r="O33"/>
  <c r="N33"/>
  <c r="Q32"/>
  <c r="P32"/>
  <c r="O32"/>
  <c r="N32"/>
  <c r="E32"/>
  <c r="E33" s="1"/>
  <c r="E34" s="1"/>
  <c r="U34" s="1"/>
  <c r="Q31"/>
  <c r="F32" s="1"/>
  <c r="F33" s="1"/>
  <c r="F34" s="1"/>
  <c r="V34" s="1"/>
  <c r="P3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F26"/>
  <c r="V26" s="1"/>
  <c r="Q25"/>
  <c r="P25"/>
  <c r="O25"/>
  <c r="N25"/>
  <c r="Q24"/>
  <c r="P24"/>
  <c r="O24"/>
  <c r="N24"/>
  <c r="F24"/>
  <c r="F25" s="1"/>
  <c r="Q23"/>
  <c r="P23"/>
  <c r="E24" s="1"/>
  <c r="E25" s="1"/>
  <c r="E26" s="1"/>
  <c r="U26" s="1"/>
  <c r="O23"/>
  <c r="C24" s="1"/>
  <c r="C25" s="1"/>
  <c r="N23"/>
  <c r="B24" s="1"/>
  <c r="B25" s="1"/>
  <c r="B26" s="1"/>
  <c r="S26" s="1"/>
  <c r="D23"/>
  <c r="AH22"/>
  <c r="AG22"/>
  <c r="AF22"/>
  <c r="AE22"/>
  <c r="AD22"/>
  <c r="Q22"/>
  <c r="P22"/>
  <c r="O22"/>
  <c r="N22"/>
  <c r="AH21"/>
  <c r="AG21"/>
  <c r="AF21"/>
  <c r="AE21"/>
  <c r="AD21"/>
  <c r="AA21"/>
  <c r="Y21"/>
  <c r="Z21" s="1"/>
  <c r="Q21"/>
  <c r="AB21" s="1"/>
  <c r="P21"/>
  <c r="O21"/>
  <c r="N21"/>
  <c r="X21" s="1"/>
  <c r="AH20"/>
  <c r="AG20"/>
  <c r="AE20"/>
  <c r="AF20" s="1"/>
  <c r="AD20"/>
  <c r="AB20"/>
  <c r="Q20"/>
  <c r="P20"/>
  <c r="AA20" s="1"/>
  <c r="O20"/>
  <c r="Y20" s="1"/>
  <c r="Z20" s="1"/>
  <c r="N20"/>
  <c r="X20" s="1"/>
  <c r="E20"/>
  <c r="AH19"/>
  <c r="AG19"/>
  <c r="AF19"/>
  <c r="AE19"/>
  <c r="AD19"/>
  <c r="AA19"/>
  <c r="Q19"/>
  <c r="AB18" s="1"/>
  <c r="P19"/>
  <c r="O19"/>
  <c r="C20" s="1"/>
  <c r="N19"/>
  <c r="B20" s="1"/>
  <c r="B21" s="1"/>
  <c r="B22" s="1"/>
  <c r="S22" s="1"/>
  <c r="D19"/>
  <c r="AH18"/>
  <c r="AG18"/>
  <c r="AE18"/>
  <c r="AF18" s="1"/>
  <c r="AD18"/>
  <c r="Q18"/>
  <c r="P18"/>
  <c r="AA18" s="1"/>
  <c r="O18"/>
  <c r="Y18" s="1"/>
  <c r="Z18" s="1"/>
  <c r="N18"/>
  <c r="X18" s="1"/>
  <c r="AH17"/>
  <c r="AG17"/>
  <c r="AF17"/>
  <c r="AE17"/>
  <c r="AD17"/>
  <c r="AA17"/>
  <c r="Y17"/>
  <c r="Z17" s="1"/>
  <c r="Q17"/>
  <c r="AB17" s="1"/>
  <c r="P17"/>
  <c r="O17"/>
  <c r="N17"/>
  <c r="X17" s="1"/>
  <c r="AH16"/>
  <c r="AG16"/>
  <c r="AE16"/>
  <c r="AF16" s="1"/>
  <c r="AD16"/>
  <c r="AB16"/>
  <c r="Q16"/>
  <c r="P16"/>
  <c r="AA16" s="1"/>
  <c r="O16"/>
  <c r="Y16" s="1"/>
  <c r="Z16" s="1"/>
  <c r="N16"/>
  <c r="X16" s="1"/>
  <c r="E16"/>
  <c r="AH15"/>
  <c r="AG15"/>
  <c r="AF15"/>
  <c r="AE15"/>
  <c r="AD15"/>
  <c r="AA15"/>
  <c r="Q15"/>
  <c r="AB14" s="1"/>
  <c r="P15"/>
  <c r="O15"/>
  <c r="C16" s="1"/>
  <c r="N15"/>
  <c r="B16" s="1"/>
  <c r="B17" s="1"/>
  <c r="B18" s="1"/>
  <c r="S18" s="1"/>
  <c r="D15"/>
  <c r="AH14"/>
  <c r="AG14"/>
  <c r="AE14"/>
  <c r="AF14" s="1"/>
  <c r="AD14"/>
  <c r="Q14"/>
  <c r="P14"/>
  <c r="AA14" s="1"/>
  <c r="O14"/>
  <c r="Y14" s="1"/>
  <c r="Z14" s="1"/>
  <c r="N14"/>
  <c r="X14" s="1"/>
  <c r="AH13"/>
  <c r="AG13"/>
  <c r="AF13"/>
  <c r="AE13"/>
  <c r="AD13"/>
  <c r="AA13"/>
  <c r="Y13"/>
  <c r="Z13" s="1"/>
  <c r="Q13"/>
  <c r="AB13" s="1"/>
  <c r="P13"/>
  <c r="O13"/>
  <c r="N13"/>
  <c r="X13" s="1"/>
  <c r="AH12"/>
  <c r="AG12"/>
  <c r="AE12"/>
  <c r="AF12" s="1"/>
  <c r="AD12"/>
  <c r="AB12"/>
  <c r="Q12"/>
  <c r="P12"/>
  <c r="AA12" s="1"/>
  <c r="O12"/>
  <c r="Y12" s="1"/>
  <c r="Z12" s="1"/>
  <c r="N12"/>
  <c r="X12" s="1"/>
  <c r="E12"/>
  <c r="AH11"/>
  <c r="AG11"/>
  <c r="AF11"/>
  <c r="AE11"/>
  <c r="AD11"/>
  <c r="AA11"/>
  <c r="Q11"/>
  <c r="AB10" s="1"/>
  <c r="P11"/>
  <c r="O11"/>
  <c r="C12" s="1"/>
  <c r="N11"/>
  <c r="B12" s="1"/>
  <c r="B13" s="1"/>
  <c r="B14" s="1"/>
  <c r="S14" s="1"/>
  <c r="D11"/>
  <c r="AH10"/>
  <c r="AG10"/>
  <c r="AE10"/>
  <c r="AF10" s="1"/>
  <c r="AD10"/>
  <c r="U10"/>
  <c r="Q10"/>
  <c r="P10"/>
  <c r="AA10" s="1"/>
  <c r="O10"/>
  <c r="Y10" s="1"/>
  <c r="Z10" s="1"/>
  <c r="N10"/>
  <c r="B10" s="1"/>
  <c r="S10" s="1"/>
  <c r="F10"/>
  <c r="V10" s="1"/>
  <c r="E10"/>
  <c r="E9" s="1"/>
  <c r="C10"/>
  <c r="AH9"/>
  <c r="AG9"/>
  <c r="AF9"/>
  <c r="AE9"/>
  <c r="AD9"/>
  <c r="AA9"/>
  <c r="Q9"/>
  <c r="AB9" s="1"/>
  <c r="P9"/>
  <c r="O9"/>
  <c r="Y9" s="1"/>
  <c r="Z9" s="1"/>
  <c r="N9"/>
  <c r="X9" s="1"/>
  <c r="F9"/>
  <c r="F8" s="1"/>
  <c r="B9"/>
  <c r="AH8"/>
  <c r="AG8"/>
  <c r="AE8"/>
  <c r="AF8" s="1"/>
  <c r="AD8"/>
  <c r="Q8"/>
  <c r="P8"/>
  <c r="AA8" s="1"/>
  <c r="O8"/>
  <c r="Y8" s="1"/>
  <c r="Z8" s="1"/>
  <c r="N8"/>
  <c r="X8" s="1"/>
  <c r="E8"/>
  <c r="AH7"/>
  <c r="AG7"/>
  <c r="AF7"/>
  <c r="AE7"/>
  <c r="AD7"/>
  <c r="AA7"/>
  <c r="Q7"/>
  <c r="AB7" s="1"/>
  <c r="P7"/>
  <c r="O7"/>
  <c r="Y7" s="1"/>
  <c r="Z7" s="1"/>
  <c r="N7"/>
  <c r="X7" s="1"/>
  <c r="D7"/>
  <c r="AH6"/>
  <c r="AG6"/>
  <c r="AE6"/>
  <c r="AF6" s="1"/>
  <c r="AD6"/>
  <c r="AB6"/>
  <c r="Q6"/>
  <c r="P6"/>
  <c r="AA5" s="1"/>
  <c r="O6"/>
  <c r="Y6" s="1"/>
  <c r="Z6" s="1"/>
  <c r="N6"/>
  <c r="B6" s="1"/>
  <c r="S6" s="1"/>
  <c r="F6"/>
  <c r="V6" s="1"/>
  <c r="E6"/>
  <c r="E5" s="1"/>
  <c r="C6"/>
  <c r="AH5"/>
  <c r="AG5"/>
  <c r="AF5"/>
  <c r="AE5"/>
  <c r="AD5"/>
  <c r="Y5"/>
  <c r="Z5" s="1"/>
  <c r="Q5"/>
  <c r="AB5" s="1"/>
  <c r="P5"/>
  <c r="O5"/>
  <c r="Y3" s="1"/>
  <c r="N5"/>
  <c r="X5" s="1"/>
  <c r="F5"/>
  <c r="B5"/>
  <c r="AE3"/>
  <c r="AF3" s="1"/>
  <c r="AB3"/>
  <c r="Z3"/>
  <c r="X3"/>
  <c r="L3"/>
  <c r="AH3" s="1"/>
  <c r="K3"/>
  <c r="AG3" s="1"/>
  <c r="J3"/>
  <c r="I3"/>
  <c r="AD3" s="1"/>
  <c r="Q74" i="44"/>
  <c r="Q61"/>
  <c r="Q60"/>
  <c r="Q53"/>
  <c r="J51"/>
  <c r="J52" s="1"/>
  <c r="M48"/>
  <c r="F35"/>
  <c r="F33"/>
  <c r="F25"/>
  <c r="D25" s="1"/>
  <c r="F23"/>
  <c r="F22"/>
  <c r="M21"/>
  <c r="F20"/>
  <c r="M19"/>
  <c r="F19"/>
  <c r="F17"/>
  <c r="H61" i="49"/>
  <c r="F113" i="46"/>
  <c r="N99"/>
  <c r="N108" s="1"/>
  <c r="M99"/>
  <c r="M108" s="1"/>
  <c r="L99"/>
  <c r="L108" s="1"/>
  <c r="K99"/>
  <c r="K108" s="1"/>
  <c r="J99"/>
  <c r="J108" s="1"/>
  <c r="I99"/>
  <c r="I108" s="1"/>
  <c r="H99"/>
  <c r="H108" s="1"/>
  <c r="G99"/>
  <c r="G108" s="1"/>
  <c r="F99"/>
  <c r="F108" s="1"/>
  <c r="E99"/>
  <c r="E108" s="1"/>
  <c r="D99"/>
  <c r="D108" s="1"/>
  <c r="C99"/>
  <c r="C108" s="1"/>
  <c r="N87"/>
  <c r="M87"/>
  <c r="K87"/>
  <c r="J87" s="1"/>
  <c r="D87"/>
  <c r="N86"/>
  <c r="M86"/>
  <c r="K86"/>
  <c r="J86" s="1"/>
  <c r="D86"/>
  <c r="M85"/>
  <c r="N85" s="1"/>
  <c r="K85"/>
  <c r="J85"/>
  <c r="D85"/>
  <c r="M84"/>
  <c r="N84" s="1"/>
  <c r="K84"/>
  <c r="J84"/>
  <c r="D84"/>
  <c r="M83"/>
  <c r="N83" s="1"/>
  <c r="K83"/>
  <c r="J83"/>
  <c r="D83"/>
  <c r="B83"/>
  <c r="M82"/>
  <c r="N82" s="1"/>
  <c r="K82"/>
  <c r="J82"/>
  <c r="D82"/>
  <c r="B82"/>
  <c r="M81"/>
  <c r="N81" s="1"/>
  <c r="K81"/>
  <c r="J81"/>
  <c r="D81"/>
  <c r="M80"/>
  <c r="N80" s="1"/>
  <c r="K80"/>
  <c r="J80"/>
  <c r="F80"/>
  <c r="H86" s="1"/>
  <c r="E80"/>
  <c r="B78" s="1"/>
  <c r="D80"/>
  <c r="N77"/>
  <c r="M77"/>
  <c r="K77"/>
  <c r="J77" s="1"/>
  <c r="D77"/>
  <c r="M76"/>
  <c r="N76" s="1"/>
  <c r="K76"/>
  <c r="J76"/>
  <c r="D76"/>
  <c r="M75"/>
  <c r="N75" s="1"/>
  <c r="K75"/>
  <c r="J75"/>
  <c r="D75"/>
  <c r="N74"/>
  <c r="M74"/>
  <c r="K74"/>
  <c r="J74" s="1"/>
  <c r="D74"/>
  <c r="N73"/>
  <c r="M73"/>
  <c r="K73"/>
  <c r="J73" s="1"/>
  <c r="D73"/>
  <c r="N72"/>
  <c r="M72"/>
  <c r="K72"/>
  <c r="J72" s="1"/>
  <c r="D72"/>
  <c r="N71"/>
  <c r="M71"/>
  <c r="K71"/>
  <c r="J71" s="1"/>
  <c r="D71"/>
  <c r="B71"/>
  <c r="N70"/>
  <c r="M70"/>
  <c r="K70"/>
  <c r="J70" s="1"/>
  <c r="H70"/>
  <c r="D70"/>
  <c r="M69"/>
  <c r="N69" s="1"/>
  <c r="K69"/>
  <c r="J69"/>
  <c r="F69"/>
  <c r="H75" s="1"/>
  <c r="E69"/>
  <c r="B67" s="1"/>
  <c r="D69"/>
  <c r="N66"/>
  <c r="M66"/>
  <c r="K66"/>
  <c r="J66" s="1"/>
  <c r="D66"/>
  <c r="N65"/>
  <c r="M65"/>
  <c r="K65"/>
  <c r="J65" s="1"/>
  <c r="D65"/>
  <c r="N64"/>
  <c r="M64"/>
  <c r="K64"/>
  <c r="J64" s="1"/>
  <c r="D64"/>
  <c r="N63"/>
  <c r="M63"/>
  <c r="K63"/>
  <c r="J63" s="1"/>
  <c r="D63"/>
  <c r="M62"/>
  <c r="N62" s="1"/>
  <c r="K62"/>
  <c r="J62"/>
  <c r="D62"/>
  <c r="M61"/>
  <c r="N61" s="1"/>
  <c r="K61"/>
  <c r="J61"/>
  <c r="D61"/>
  <c r="N60"/>
  <c r="M60"/>
  <c r="K60"/>
  <c r="J60" s="1"/>
  <c r="D60"/>
  <c r="B60"/>
  <c r="N59"/>
  <c r="M59"/>
  <c r="K59"/>
  <c r="J59" s="1"/>
  <c r="D59"/>
  <c r="N58"/>
  <c r="M58"/>
  <c r="K58"/>
  <c r="J58" s="1"/>
  <c r="F58"/>
  <c r="H63" s="1"/>
  <c r="D58"/>
  <c r="E58" s="1"/>
  <c r="B56" s="1"/>
  <c r="M55"/>
  <c r="N55" s="1"/>
  <c r="K55"/>
  <c r="J55"/>
  <c r="D55"/>
  <c r="M54"/>
  <c r="N54" s="1"/>
  <c r="K54"/>
  <c r="J54"/>
  <c r="D54"/>
  <c r="M53"/>
  <c r="N53" s="1"/>
  <c r="K53"/>
  <c r="J53"/>
  <c r="D53"/>
  <c r="M52"/>
  <c r="N52" s="1"/>
  <c r="K52"/>
  <c r="J52"/>
  <c r="D52"/>
  <c r="N51"/>
  <c r="M51"/>
  <c r="K51"/>
  <c r="J51" s="1"/>
  <c r="D51"/>
  <c r="N50"/>
  <c r="M50"/>
  <c r="K50"/>
  <c r="J50" s="1"/>
  <c r="D50"/>
  <c r="M49"/>
  <c r="N49" s="1"/>
  <c r="K49"/>
  <c r="J49"/>
  <c r="D49"/>
  <c r="B49"/>
  <c r="M48"/>
  <c r="N48" s="1"/>
  <c r="K48"/>
  <c r="J48"/>
  <c r="D48"/>
  <c r="M47"/>
  <c r="N47" s="1"/>
  <c r="K47"/>
  <c r="J47"/>
  <c r="F47"/>
  <c r="H52" s="1"/>
  <c r="E47"/>
  <c r="B45" s="1"/>
  <c r="D47"/>
  <c r="H39"/>
  <c r="H38"/>
  <c r="H37"/>
  <c r="H36"/>
  <c r="H35"/>
  <c r="H34"/>
  <c r="H33"/>
  <c r="C24"/>
  <c r="J20"/>
  <c r="I20"/>
  <c r="G20"/>
  <c r="M19"/>
  <c r="I19"/>
  <c r="C18"/>
  <c r="F15"/>
  <c r="E15"/>
  <c r="D15"/>
  <c r="C15"/>
  <c r="C12" s="1"/>
  <c r="Y12"/>
  <c r="AJ10"/>
  <c r="AH10"/>
  <c r="AF10"/>
  <c r="AD10"/>
  <c r="AB10"/>
  <c r="Z10"/>
  <c r="Y10"/>
  <c r="C10"/>
  <c r="C11" s="1"/>
  <c r="AJ9"/>
  <c r="AJ12" s="1"/>
  <c r="AI9"/>
  <c r="AI12" s="1"/>
  <c r="AH9"/>
  <c r="AH12" s="1"/>
  <c r="AG9"/>
  <c r="AG12" s="1"/>
  <c r="AF9"/>
  <c r="AF12" s="1"/>
  <c r="AE9"/>
  <c r="AE12" s="1"/>
  <c r="AD9"/>
  <c r="AD12" s="1"/>
  <c r="AC9"/>
  <c r="AC12" s="1"/>
  <c r="AB9"/>
  <c r="AB12" s="1"/>
  <c r="AA9"/>
  <c r="AA12" s="1"/>
  <c r="Z9"/>
  <c r="Z12" s="1"/>
  <c r="C9"/>
  <c r="A7"/>
  <c r="D5"/>
  <c r="I2"/>
  <c r="H14" i="48" s="1"/>
  <c r="G2" i="46"/>
  <c r="H113" s="1"/>
  <c r="M1"/>
  <c r="D1"/>
  <c r="B122" i="40"/>
  <c r="B120"/>
  <c r="H41" s="1"/>
  <c r="B118"/>
  <c r="E117"/>
  <c r="F117" s="1"/>
  <c r="G117" s="1"/>
  <c r="H117" s="1"/>
  <c r="I117" s="1"/>
  <c r="J117" s="1"/>
  <c r="K117" s="1"/>
  <c r="L117" s="1"/>
  <c r="M117" s="1"/>
  <c r="D117"/>
  <c r="E115"/>
  <c r="F115" s="1"/>
  <c r="G115" s="1"/>
  <c r="H115" s="1"/>
  <c r="I115" s="1"/>
  <c r="J115" s="1"/>
  <c r="K115" s="1"/>
  <c r="L115" s="1"/>
  <c r="M115" s="1"/>
  <c r="D115"/>
  <c r="E113"/>
  <c r="F113" s="1"/>
  <c r="G113" s="1"/>
  <c r="H113" s="1"/>
  <c r="I113" s="1"/>
  <c r="J113" s="1"/>
  <c r="K113" s="1"/>
  <c r="L113" s="1"/>
  <c r="M113" s="1"/>
  <c r="D113"/>
  <c r="M109"/>
  <c r="L109"/>
  <c r="K109"/>
  <c r="J109"/>
  <c r="I109"/>
  <c r="H109"/>
  <c r="G109"/>
  <c r="F109"/>
  <c r="E109"/>
  <c r="D109"/>
  <c r="C109"/>
  <c r="B107"/>
  <c r="B105"/>
  <c r="J34" s="1"/>
  <c r="B103"/>
  <c r="E102"/>
  <c r="F102" s="1"/>
  <c r="G102" s="1"/>
  <c r="H102" s="1"/>
  <c r="I102" s="1"/>
  <c r="J102" s="1"/>
  <c r="K102" s="1"/>
  <c r="L102" s="1"/>
  <c r="M102" s="1"/>
  <c r="D102"/>
  <c r="E100"/>
  <c r="F100" s="1"/>
  <c r="G100" s="1"/>
  <c r="H100" s="1"/>
  <c r="I100" s="1"/>
  <c r="J100" s="1"/>
  <c r="K100" s="1"/>
  <c r="L100" s="1"/>
  <c r="M100" s="1"/>
  <c r="D100"/>
  <c r="E98"/>
  <c r="F98" s="1"/>
  <c r="G98" s="1"/>
  <c r="H98" s="1"/>
  <c r="I98" s="1"/>
  <c r="J98" s="1"/>
  <c r="K98" s="1"/>
  <c r="L98" s="1"/>
  <c r="M98" s="1"/>
  <c r="D98"/>
  <c r="B97"/>
  <c r="H29" s="1"/>
  <c r="D96"/>
  <c r="E96" s="1"/>
  <c r="F96" s="1"/>
  <c r="G96" s="1"/>
  <c r="D94"/>
  <c r="E94" s="1"/>
  <c r="F94" s="1"/>
  <c r="G94" s="1"/>
  <c r="D92"/>
  <c r="E92" s="1"/>
  <c r="F92" s="1"/>
  <c r="G92" s="1"/>
  <c r="D90"/>
  <c r="E90" s="1"/>
  <c r="F90" s="1"/>
  <c r="G90" s="1"/>
  <c r="D88"/>
  <c r="E88" s="1"/>
  <c r="F88" s="1"/>
  <c r="G88" s="1"/>
  <c r="D86"/>
  <c r="E86" s="1"/>
  <c r="F86" s="1"/>
  <c r="G86" s="1"/>
  <c r="B83"/>
  <c r="B81"/>
  <c r="B79"/>
  <c r="E78"/>
  <c r="F78" s="1"/>
  <c r="G78" s="1"/>
  <c r="H78" s="1"/>
  <c r="I78" s="1"/>
  <c r="J78" s="1"/>
  <c r="K78" s="1"/>
  <c r="L78" s="1"/>
  <c r="M78" s="1"/>
  <c r="D78"/>
  <c r="M76"/>
  <c r="L76"/>
  <c r="K76"/>
  <c r="J76"/>
  <c r="I76"/>
  <c r="H76"/>
  <c r="G76"/>
  <c r="F76"/>
  <c r="E76"/>
  <c r="D76"/>
  <c r="C76"/>
  <c r="H62"/>
  <c r="I62" s="1"/>
  <c r="C62" s="1"/>
  <c r="H61"/>
  <c r="I61" s="1"/>
  <c r="C61" s="1"/>
  <c r="H60"/>
  <c r="I60" s="1"/>
  <c r="C60" s="1"/>
  <c r="H59"/>
  <c r="I59" s="1"/>
  <c r="C59" s="1"/>
  <c r="H58"/>
  <c r="I58" s="1"/>
  <c r="C58" s="1"/>
  <c r="H57"/>
  <c r="I57" s="1"/>
  <c r="C57" s="1"/>
  <c r="H56"/>
  <c r="I56" s="1"/>
  <c r="C56" s="1"/>
  <c r="I55"/>
  <c r="C55" s="1"/>
  <c r="H55"/>
  <c r="H54"/>
  <c r="I54" s="1"/>
  <c r="C54" s="1"/>
  <c r="I50"/>
  <c r="J50" s="1"/>
  <c r="G50"/>
  <c r="H50" s="1"/>
  <c r="E50"/>
  <c r="F50" s="1"/>
  <c r="P45"/>
  <c r="P44"/>
  <c r="V43"/>
  <c r="T43"/>
  <c r="R43"/>
  <c r="P43"/>
  <c r="Q42"/>
  <c r="Z42" s="1"/>
  <c r="J42"/>
  <c r="AC42" s="1"/>
  <c r="H42"/>
  <c r="AB42" s="1"/>
  <c r="F42"/>
  <c r="AA42" s="1"/>
  <c r="Q41"/>
  <c r="Z41" s="1"/>
  <c r="J41"/>
  <c r="AC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H34"/>
  <c r="AB34" s="1"/>
  <c r="Q33"/>
  <c r="Z33" s="1"/>
  <c r="J33"/>
  <c r="AC33" s="1"/>
  <c r="H33"/>
  <c r="AB33" s="1"/>
  <c r="F33"/>
  <c r="AA33" s="1"/>
  <c r="Q32"/>
  <c r="Z32" s="1"/>
  <c r="C32"/>
  <c r="J32" s="1"/>
  <c r="Q30"/>
  <c r="Z30" s="1"/>
  <c r="J30"/>
  <c r="AC30" s="1"/>
  <c r="H30"/>
  <c r="AB30" s="1"/>
  <c r="F30"/>
  <c r="AA30" s="1"/>
  <c r="C30"/>
  <c r="Q29"/>
  <c r="Z29" s="1"/>
  <c r="J29"/>
  <c r="AC29" s="1"/>
  <c r="F29"/>
  <c r="AA29" s="1"/>
  <c r="Q27"/>
  <c r="Z27" s="1"/>
  <c r="J27"/>
  <c r="AC27" s="1"/>
  <c r="H27"/>
  <c r="AB27" s="1"/>
  <c r="F27"/>
  <c r="AA27" s="1"/>
  <c r="Q25"/>
  <c r="Z25" s="1"/>
  <c r="J25"/>
  <c r="AC25" s="1"/>
  <c r="H25"/>
  <c r="AB25" s="1"/>
  <c r="F25"/>
  <c r="AA25" s="1"/>
  <c r="Q23"/>
  <c r="Z23" s="1"/>
  <c r="J23"/>
  <c r="AC23" s="1"/>
  <c r="H23"/>
  <c r="AB23" s="1"/>
  <c r="F23"/>
  <c r="AA23" s="1"/>
  <c r="Q21"/>
  <c r="Z21" s="1"/>
  <c r="J21"/>
  <c r="AC21" s="1"/>
  <c r="H21"/>
  <c r="AB21" s="1"/>
  <c r="F21"/>
  <c r="AA21" s="1"/>
  <c r="C21"/>
  <c r="Q19"/>
  <c r="Z19" s="1"/>
  <c r="J19"/>
  <c r="AC19" s="1"/>
  <c r="H19"/>
  <c r="AB19" s="1"/>
  <c r="F19"/>
  <c r="AA19" s="1"/>
  <c r="Q17"/>
  <c r="Z17" s="1"/>
  <c r="J17"/>
  <c r="AC17" s="1"/>
  <c r="H17"/>
  <c r="AB17" s="1"/>
  <c r="F17"/>
  <c r="AA17" s="1"/>
  <c r="Q16"/>
  <c r="Z16" s="1"/>
  <c r="J16"/>
  <c r="AC16" s="1"/>
  <c r="H16"/>
  <c r="AB16" s="1"/>
  <c r="F16"/>
  <c r="AA16" s="1"/>
  <c r="Q15"/>
  <c r="Z15" s="1"/>
  <c r="J15"/>
  <c r="AC15" s="1"/>
  <c r="H15"/>
  <c r="AB15" s="1"/>
  <c r="F15"/>
  <c r="AA15" s="1"/>
  <c r="Q14"/>
  <c r="Z14" s="1"/>
  <c r="J14"/>
  <c r="AC14" s="1"/>
  <c r="H14"/>
  <c r="AB14" s="1"/>
  <c r="F14"/>
  <c r="AA14" s="1"/>
  <c r="Q13"/>
  <c r="Z13" s="1"/>
  <c r="J13"/>
  <c r="AC13" s="1"/>
  <c r="H13"/>
  <c r="AB13" s="1"/>
  <c r="F13"/>
  <c r="AA13" s="1"/>
  <c r="Q12"/>
  <c r="Z12" s="1"/>
  <c r="Q11"/>
  <c r="Z11" s="1"/>
  <c r="J11"/>
  <c r="AC11" s="1"/>
  <c r="H11"/>
  <c r="AB11" s="1"/>
  <c r="F11"/>
  <c r="AA11" s="1"/>
  <c r="U10"/>
  <c r="J10"/>
  <c r="AC10" s="1"/>
  <c r="H10"/>
  <c r="AB10" s="1"/>
  <c r="F10"/>
  <c r="AA10" s="1"/>
  <c r="B133" i="39"/>
  <c r="B131"/>
  <c r="H46" s="1"/>
  <c r="AB46" s="1"/>
  <c r="B129"/>
  <c r="D128"/>
  <c r="E128" s="1"/>
  <c r="F128" s="1"/>
  <c r="G128" s="1"/>
  <c r="H128" s="1"/>
  <c r="I128" s="1"/>
  <c r="J128" s="1"/>
  <c r="K128" s="1"/>
  <c r="L128" s="1"/>
  <c r="M128" s="1"/>
  <c r="D126"/>
  <c r="E126" s="1"/>
  <c r="F126" s="1"/>
  <c r="G126" s="1"/>
  <c r="H126" s="1"/>
  <c r="I126" s="1"/>
  <c r="J126" s="1"/>
  <c r="K126" s="1"/>
  <c r="L126" s="1"/>
  <c r="M126" s="1"/>
  <c r="D124"/>
  <c r="E124" s="1"/>
  <c r="F124" s="1"/>
  <c r="G124" s="1"/>
  <c r="H124" s="1"/>
  <c r="I124" s="1"/>
  <c r="J124" s="1"/>
  <c r="K124" s="1"/>
  <c r="L124" s="1"/>
  <c r="M124" s="1"/>
  <c r="D122"/>
  <c r="E122" s="1"/>
  <c r="F122" s="1"/>
  <c r="G122" s="1"/>
  <c r="H122" s="1"/>
  <c r="I122" s="1"/>
  <c r="J122" s="1"/>
  <c r="K122" s="1"/>
  <c r="L122" s="1"/>
  <c r="M122" s="1"/>
  <c r="M118"/>
  <c r="L118"/>
  <c r="K118"/>
  <c r="J118"/>
  <c r="I118"/>
  <c r="H118"/>
  <c r="G118"/>
  <c r="F118"/>
  <c r="E118"/>
  <c r="D118"/>
  <c r="C118"/>
  <c r="B116"/>
  <c r="B114"/>
  <c r="H38" s="1"/>
  <c r="AB38" s="1"/>
  <c r="B112"/>
  <c r="D111"/>
  <c r="E111" s="1"/>
  <c r="F111" s="1"/>
  <c r="G111" s="1"/>
  <c r="H111" s="1"/>
  <c r="I111" s="1"/>
  <c r="J111" s="1"/>
  <c r="K111" s="1"/>
  <c r="L111" s="1"/>
  <c r="M111" s="1"/>
  <c r="D109"/>
  <c r="E109" s="1"/>
  <c r="F109" s="1"/>
  <c r="G109" s="1"/>
  <c r="H109" s="1"/>
  <c r="I109" s="1"/>
  <c r="J109" s="1"/>
  <c r="K109" s="1"/>
  <c r="L109" s="1"/>
  <c r="M109" s="1"/>
  <c r="D107"/>
  <c r="E107" s="1"/>
  <c r="B106"/>
  <c r="D105"/>
  <c r="E105" s="1"/>
  <c r="F105" s="1"/>
  <c r="G105" s="1"/>
  <c r="D103"/>
  <c r="E103" s="1"/>
  <c r="F103" s="1"/>
  <c r="D101"/>
  <c r="E101" s="1"/>
  <c r="F101" s="1"/>
  <c r="G101" s="1"/>
  <c r="D99"/>
  <c r="E99" s="1"/>
  <c r="F99" s="1"/>
  <c r="G99" s="1"/>
  <c r="D97"/>
  <c r="E97" s="1"/>
  <c r="D95"/>
  <c r="E95" s="1"/>
  <c r="F95" s="1"/>
  <c r="G95" s="1"/>
  <c r="D93"/>
  <c r="E93" s="1"/>
  <c r="F93" s="1"/>
  <c r="D91"/>
  <c r="E91" s="1"/>
  <c r="F91" s="1"/>
  <c r="B88"/>
  <c r="B86"/>
  <c r="H15" s="1"/>
  <c r="AB15" s="1"/>
  <c r="B84"/>
  <c r="D83"/>
  <c r="E83" s="1"/>
  <c r="F83" s="1"/>
  <c r="G83" s="1"/>
  <c r="H83" s="1"/>
  <c r="I83" s="1"/>
  <c r="J83" s="1"/>
  <c r="K83" s="1"/>
  <c r="L83" s="1"/>
  <c r="M83" s="1"/>
  <c r="M81"/>
  <c r="L81"/>
  <c r="K81"/>
  <c r="J81"/>
  <c r="I81"/>
  <c r="H81"/>
  <c r="G81"/>
  <c r="F81"/>
  <c r="E81"/>
  <c r="D81"/>
  <c r="C81"/>
  <c r="I67"/>
  <c r="H67"/>
  <c r="C67"/>
  <c r="H66"/>
  <c r="I66" s="1"/>
  <c r="C66" s="1"/>
  <c r="I65"/>
  <c r="H65"/>
  <c r="C65"/>
  <c r="H64"/>
  <c r="I64" s="1"/>
  <c r="C64" s="1"/>
  <c r="I63"/>
  <c r="H63"/>
  <c r="C63"/>
  <c r="H62"/>
  <c r="I62" s="1"/>
  <c r="C62" s="1"/>
  <c r="H61"/>
  <c r="I61" s="1"/>
  <c r="C61" s="1"/>
  <c r="H60"/>
  <c r="I60" s="1"/>
  <c r="C60" s="1"/>
  <c r="H59"/>
  <c r="I59" s="1"/>
  <c r="C59" s="1"/>
  <c r="I55"/>
  <c r="J55" s="1"/>
  <c r="G55"/>
  <c r="H55" s="1"/>
  <c r="E55"/>
  <c r="F55" s="1"/>
  <c r="P50"/>
  <c r="P49"/>
  <c r="V48"/>
  <c r="T48"/>
  <c r="R48"/>
  <c r="P48"/>
  <c r="Q47"/>
  <c r="Z47" s="1"/>
  <c r="J47"/>
  <c r="AC47" s="1"/>
  <c r="H47"/>
  <c r="AB47" s="1"/>
  <c r="F47"/>
  <c r="AA47" s="1"/>
  <c r="Q46"/>
  <c r="Z46" s="1"/>
  <c r="J46"/>
  <c r="AC46" s="1"/>
  <c r="F46"/>
  <c r="AA46" s="1"/>
  <c r="Q45"/>
  <c r="Z45" s="1"/>
  <c r="J45"/>
  <c r="AC45" s="1"/>
  <c r="H45"/>
  <c r="AB45" s="1"/>
  <c r="F45"/>
  <c r="AA45" s="1"/>
  <c r="Q44"/>
  <c r="Z44" s="1"/>
  <c r="H44"/>
  <c r="AB44" s="1"/>
  <c r="Z43"/>
  <c r="Q43"/>
  <c r="J43"/>
  <c r="AC43" s="1"/>
  <c r="H43"/>
  <c r="AB43" s="1"/>
  <c r="F43"/>
  <c r="AA43" s="1"/>
  <c r="Q42"/>
  <c r="Z42" s="1"/>
  <c r="J42"/>
  <c r="AC42" s="1"/>
  <c r="H42"/>
  <c r="AB42" s="1"/>
  <c r="F42"/>
  <c r="AA42" s="1"/>
  <c r="Q41"/>
  <c r="Z41" s="1"/>
  <c r="J41"/>
  <c r="AC41" s="1"/>
  <c r="H41"/>
  <c r="AB41" s="1"/>
  <c r="F41"/>
  <c r="AA41" s="1"/>
  <c r="Z40"/>
  <c r="Q40"/>
  <c r="J40"/>
  <c r="AC40" s="1"/>
  <c r="H40"/>
  <c r="AB40" s="1"/>
  <c r="F40"/>
  <c r="AA40" s="1"/>
  <c r="Q39"/>
  <c r="Z39" s="1"/>
  <c r="J39"/>
  <c r="AC39" s="1"/>
  <c r="H39"/>
  <c r="AB39" s="1"/>
  <c r="F39"/>
  <c r="AA39" s="1"/>
  <c r="Q38"/>
  <c r="Z38" s="1"/>
  <c r="J38"/>
  <c r="AC38" s="1"/>
  <c r="F38"/>
  <c r="AA38" s="1"/>
  <c r="Q37"/>
  <c r="Z37" s="1"/>
  <c r="J37"/>
  <c r="AC37" s="1"/>
  <c r="H37"/>
  <c r="AB37" s="1"/>
  <c r="F37"/>
  <c r="AA37" s="1"/>
  <c r="Q36"/>
  <c r="Z36" s="1"/>
  <c r="J36"/>
  <c r="AC36" s="1"/>
  <c r="H36"/>
  <c r="AB36" s="1"/>
  <c r="F36"/>
  <c r="AA36" s="1"/>
  <c r="Q34"/>
  <c r="Z34" s="1"/>
  <c r="J34"/>
  <c r="AC34" s="1"/>
  <c r="H34"/>
  <c r="AB34" s="1"/>
  <c r="F34"/>
  <c r="AA34" s="1"/>
  <c r="Q33"/>
  <c r="Z33" s="1"/>
  <c r="H33"/>
  <c r="AB33" s="1"/>
  <c r="Q31"/>
  <c r="Z31" s="1"/>
  <c r="H31"/>
  <c r="AB31" s="1"/>
  <c r="C31"/>
  <c r="Q29"/>
  <c r="Z29" s="1"/>
  <c r="J29"/>
  <c r="AC29" s="1"/>
  <c r="H29"/>
  <c r="AB29" s="1"/>
  <c r="Z27"/>
  <c r="Q27"/>
  <c r="J27"/>
  <c r="AC27" s="1"/>
  <c r="H27"/>
  <c r="AB27" s="1"/>
  <c r="F27"/>
  <c r="AA27" s="1"/>
  <c r="Z25"/>
  <c r="Q25"/>
  <c r="J25"/>
  <c r="AC25" s="1"/>
  <c r="H25"/>
  <c r="AB25" s="1"/>
  <c r="F25"/>
  <c r="AA25" s="1"/>
  <c r="C25"/>
  <c r="Z23"/>
  <c r="Q23"/>
  <c r="C23"/>
  <c r="Q21"/>
  <c r="Z21" s="1"/>
  <c r="J21"/>
  <c r="AC21" s="1"/>
  <c r="H21"/>
  <c r="AB21" s="1"/>
  <c r="F21"/>
  <c r="AA21" s="1"/>
  <c r="Z19"/>
  <c r="Q19"/>
  <c r="J19"/>
  <c r="AC19" s="1"/>
  <c r="H19"/>
  <c r="AB19" s="1"/>
  <c r="Q17"/>
  <c r="Z17" s="1"/>
  <c r="J17"/>
  <c r="AC17" s="1"/>
  <c r="Q16"/>
  <c r="Z16" s="1"/>
  <c r="J16"/>
  <c r="AC16" s="1"/>
  <c r="H16"/>
  <c r="AB16" s="1"/>
  <c r="F16"/>
  <c r="AA16" s="1"/>
  <c r="Q15"/>
  <c r="Z15" s="1"/>
  <c r="J15"/>
  <c r="AC15" s="1"/>
  <c r="F15"/>
  <c r="AA15" s="1"/>
  <c r="Q14"/>
  <c r="Z14" s="1"/>
  <c r="J14"/>
  <c r="AC14" s="1"/>
  <c r="H14"/>
  <c r="AB14" s="1"/>
  <c r="F14"/>
  <c r="AA14" s="1"/>
  <c r="Q13"/>
  <c r="Z13" s="1"/>
  <c r="H13"/>
  <c r="AB13" s="1"/>
  <c r="Z12"/>
  <c r="Q12"/>
  <c r="Z11"/>
  <c r="Q11"/>
  <c r="J11"/>
  <c r="AC11" s="1"/>
  <c r="H11"/>
  <c r="AB11" s="1"/>
  <c r="F11"/>
  <c r="AA11" s="1"/>
  <c r="J10"/>
  <c r="W10" s="1"/>
  <c r="H10"/>
  <c r="AB10" s="1"/>
  <c r="F10"/>
  <c r="S10" s="1"/>
  <c r="F20" i="43"/>
  <c r="C20" s="1"/>
  <c r="F19"/>
  <c r="F17"/>
  <c r="E16"/>
  <c r="F15"/>
  <c r="F14"/>
  <c r="K9"/>
  <c r="J9"/>
  <c r="I9"/>
  <c r="H9"/>
  <c r="G9"/>
  <c r="F9"/>
  <c r="E9"/>
  <c r="D9"/>
  <c r="C9"/>
  <c r="C6"/>
  <c r="F25" i="12"/>
  <c r="F24"/>
  <c r="F23"/>
  <c r="E22"/>
  <c r="E21"/>
  <c r="E19"/>
  <c r="F17"/>
  <c r="E16"/>
  <c r="F15"/>
  <c r="F14"/>
  <c r="K9"/>
  <c r="J9"/>
  <c r="I9"/>
  <c r="H9"/>
  <c r="G9"/>
  <c r="F9"/>
  <c r="E9"/>
  <c r="D9"/>
  <c r="C112" i="9"/>
  <c r="E108"/>
  <c r="D107"/>
  <c r="C107" s="1"/>
  <c r="C105" s="1"/>
  <c r="H95"/>
  <c r="D95"/>
  <c r="C95" s="1"/>
  <c r="C94"/>
  <c r="F77"/>
  <c r="E77"/>
  <c r="P75"/>
  <c r="O75"/>
  <c r="L75"/>
  <c r="K75"/>
  <c r="O74"/>
  <c r="F74"/>
  <c r="P74" s="1"/>
  <c r="O73"/>
  <c r="I73"/>
  <c r="F73"/>
  <c r="P73" s="1"/>
  <c r="O72"/>
  <c r="E66"/>
  <c r="K47"/>
  <c r="A46"/>
  <c r="A45"/>
  <c r="C45" s="1"/>
  <c r="K44"/>
  <c r="C44"/>
  <c r="A44"/>
  <c r="K43"/>
  <c r="C43"/>
  <c r="K39"/>
  <c r="K29"/>
  <c r="K30" s="1"/>
  <c r="C25"/>
  <c r="C24"/>
  <c r="D17"/>
  <c r="C17"/>
  <c r="M4"/>
  <c r="L4"/>
  <c r="F23" i="66"/>
  <c r="E23"/>
  <c r="F22"/>
  <c r="E22"/>
  <c r="F21"/>
  <c r="E21"/>
  <c r="F20"/>
  <c r="E20"/>
  <c r="F19"/>
  <c r="E19"/>
  <c r="F18"/>
  <c r="E18"/>
  <c r="F17"/>
  <c r="E17"/>
  <c r="F16"/>
  <c r="E16"/>
  <c r="C24" i="20"/>
  <c r="B72" i="46" s="1"/>
  <c r="C22" i="20"/>
  <c r="B74" i="46" s="1"/>
  <c r="C21" i="20"/>
  <c r="B73" i="46" s="1"/>
  <c r="G20" i="20"/>
  <c r="C27" i="40" s="1"/>
  <c r="C20" i="20"/>
  <c r="B66" i="46" s="1"/>
  <c r="G19" i="20"/>
  <c r="B84" i="46" s="1"/>
  <c r="G18" i="20"/>
  <c r="B87" i="46" s="1"/>
  <c r="C18" i="20"/>
  <c r="B70" i="46" s="1"/>
  <c r="C17" i="20"/>
  <c r="B58" i="46" s="1"/>
  <c r="G16" i="20"/>
  <c r="C19" i="40" s="1"/>
  <c r="C16" i="20"/>
  <c r="C19" i="39" s="1"/>
  <c r="G15" i="20"/>
  <c r="B80" i="46" s="1"/>
  <c r="C15" i="20"/>
  <c r="C17" i="39" s="1"/>
  <c r="B52" i="1"/>
  <c r="M20" i="15" s="1"/>
  <c r="B43" i="1"/>
  <c r="D111" i="9" s="1"/>
  <c r="B31" i="1"/>
  <c r="E10" i="11" s="1"/>
  <c r="B24" i="1"/>
  <c r="B23"/>
  <c r="B22"/>
  <c r="C2" i="65" s="1"/>
  <c r="AG13" i="1"/>
  <c r="AE13"/>
  <c r="F13"/>
  <c r="AP13" s="1"/>
  <c r="D13"/>
  <c r="A13"/>
  <c r="AG12"/>
  <c r="AE12"/>
  <c r="F12"/>
  <c r="AP12" s="1"/>
  <c r="D12"/>
  <c r="A12"/>
  <c r="K12" s="1"/>
  <c r="M12" s="1"/>
  <c r="AG11"/>
  <c r="AE11"/>
  <c r="F11"/>
  <c r="AP11" s="1"/>
  <c r="D11"/>
  <c r="A11"/>
  <c r="AG10"/>
  <c r="AE10"/>
  <c r="F10"/>
  <c r="AP10" s="1"/>
  <c r="D10"/>
  <c r="A10"/>
  <c r="K10" s="1"/>
  <c r="M10" s="1"/>
  <c r="AG9"/>
  <c r="AE9"/>
  <c r="F9"/>
  <c r="AP9" s="1"/>
  <c r="D9"/>
  <c r="A9"/>
  <c r="AG8"/>
  <c r="AE8"/>
  <c r="F8"/>
  <c r="AP8" s="1"/>
  <c r="D8"/>
  <c r="A8"/>
  <c r="K8" s="1"/>
  <c r="M8" s="1"/>
  <c r="AG7"/>
  <c r="AE7"/>
  <c r="F7"/>
  <c r="AP7" s="1"/>
  <c r="D7"/>
  <c r="A7"/>
  <c r="AG6"/>
  <c r="D6"/>
  <c r="A6"/>
  <c r="T4"/>
  <c r="E32" i="6"/>
  <c r="O27"/>
  <c r="N27"/>
  <c r="G27"/>
  <c r="P26"/>
  <c r="L26"/>
  <c r="E26"/>
  <c r="P25"/>
  <c r="L25"/>
  <c r="E25"/>
  <c r="P24"/>
  <c r="L24"/>
  <c r="E24"/>
  <c r="P23"/>
  <c r="L23"/>
  <c r="E23"/>
  <c r="P22"/>
  <c r="L22"/>
  <c r="E22"/>
  <c r="P21"/>
  <c r="L21"/>
  <c r="E21"/>
  <c r="P20"/>
  <c r="L20"/>
  <c r="E20"/>
  <c r="P19"/>
  <c r="P27" s="1"/>
  <c r="L19"/>
  <c r="E19"/>
  <c r="C9" i="12" s="1"/>
  <c r="BT572" i="3"/>
  <c r="BS572"/>
  <c r="BR572"/>
  <c r="BQ572"/>
  <c r="BP572"/>
  <c r="BO572"/>
  <c r="BN572"/>
  <c r="BM572"/>
  <c r="BL572" s="1"/>
  <c r="BK572"/>
  <c r="BJ572"/>
  <c r="BI572"/>
  <c r="BH572"/>
  <c r="BG572"/>
  <c r="BF572"/>
  <c r="BE572"/>
  <c r="BD572"/>
  <c r="BC572"/>
  <c r="BB572"/>
  <c r="BA572"/>
  <c r="AZ572" s="1"/>
  <c r="AX572"/>
  <c r="AW572"/>
  <c r="AV572"/>
  <c r="AC572"/>
  <c r="H572"/>
  <c r="G572" s="1"/>
  <c r="BT571"/>
  <c r="BS571"/>
  <c r="BR571"/>
  <c r="BQ571"/>
  <c r="BP571"/>
  <c r="BO571"/>
  <c r="BN571"/>
  <c r="BM571"/>
  <c r="BL571"/>
  <c r="BK571"/>
  <c r="BJ571"/>
  <c r="BI571"/>
  <c r="BH571"/>
  <c r="BG571"/>
  <c r="BF571"/>
  <c r="BE571"/>
  <c r="BD571"/>
  <c r="BC571"/>
  <c r="BB571"/>
  <c r="BA571" s="1"/>
  <c r="AZ571" s="1"/>
  <c r="AX571"/>
  <c r="AW571"/>
  <c r="AV571"/>
  <c r="AC571"/>
  <c r="H571"/>
  <c r="G571"/>
  <c r="BT570"/>
  <c r="BS570"/>
  <c r="BR570"/>
  <c r="BQ570"/>
  <c r="BP570"/>
  <c r="BO570"/>
  <c r="BN570"/>
  <c r="BM570"/>
  <c r="BL570" s="1"/>
  <c r="BK570"/>
  <c r="BJ570"/>
  <c r="BI570"/>
  <c r="BH570"/>
  <c r="BG570"/>
  <c r="BF570"/>
  <c r="BE570"/>
  <c r="BD570"/>
  <c r="BC570"/>
  <c r="BB570"/>
  <c r="BA570"/>
  <c r="AX570"/>
  <c r="AW570"/>
  <c r="AV570"/>
  <c r="AC570"/>
  <c r="H570"/>
  <c r="G570" s="1"/>
  <c r="BT569"/>
  <c r="BS569"/>
  <c r="BR569"/>
  <c r="BQ569"/>
  <c r="BP569"/>
  <c r="BO569"/>
  <c r="BN569"/>
  <c r="BM569"/>
  <c r="BL569"/>
  <c r="BK569"/>
  <c r="BJ569"/>
  <c r="BI569"/>
  <c r="BH569"/>
  <c r="BG569"/>
  <c r="BF569"/>
  <c r="BE569"/>
  <c r="BD569"/>
  <c r="BC569"/>
  <c r="BB569"/>
  <c r="BA569" s="1"/>
  <c r="AZ569" s="1"/>
  <c r="AX569"/>
  <c r="AW569"/>
  <c r="AV569"/>
  <c r="AC569"/>
  <c r="H569"/>
  <c r="G569"/>
  <c r="BT568"/>
  <c r="BS568"/>
  <c r="BR568"/>
  <c r="BQ568"/>
  <c r="BP568"/>
  <c r="BO568"/>
  <c r="BN568"/>
  <c r="BM568"/>
  <c r="BL568" s="1"/>
  <c r="BK568"/>
  <c r="BJ568"/>
  <c r="BI568"/>
  <c r="BH568"/>
  <c r="BG568"/>
  <c r="BF568"/>
  <c r="BE568"/>
  <c r="BD568"/>
  <c r="BC568"/>
  <c r="BB568"/>
  <c r="BA568"/>
  <c r="AZ568" s="1"/>
  <c r="AX568"/>
  <c r="AW568"/>
  <c r="AV568"/>
  <c r="AC568"/>
  <c r="H568"/>
  <c r="G568" s="1"/>
  <c r="BT567"/>
  <c r="BS567"/>
  <c r="BR567"/>
  <c r="BQ567"/>
  <c r="BP567"/>
  <c r="BO567"/>
  <c r="BN567"/>
  <c r="BM567"/>
  <c r="BL567"/>
  <c r="BK567"/>
  <c r="BJ567"/>
  <c r="BI567"/>
  <c r="BH567"/>
  <c r="BG567"/>
  <c r="BF567"/>
  <c r="BE567"/>
  <c r="BD567"/>
  <c r="BC567"/>
  <c r="BB567"/>
  <c r="BA567" s="1"/>
  <c r="AZ567" s="1"/>
  <c r="AX567"/>
  <c r="AW567"/>
  <c r="AV567"/>
  <c r="AC567"/>
  <c r="H567"/>
  <c r="G567"/>
  <c r="BT566"/>
  <c r="BS566"/>
  <c r="BR566"/>
  <c r="BQ566"/>
  <c r="BP566"/>
  <c r="BO566"/>
  <c r="BN566"/>
  <c r="BM566"/>
  <c r="BL566" s="1"/>
  <c r="BK566"/>
  <c r="BJ566"/>
  <c r="BI566"/>
  <c r="BH566"/>
  <c r="BG566"/>
  <c r="BF566"/>
  <c r="BE566"/>
  <c r="BD566"/>
  <c r="BC566"/>
  <c r="BB566"/>
  <c r="BA566"/>
  <c r="AX566"/>
  <c r="AW566"/>
  <c r="AV566"/>
  <c r="AC566"/>
  <c r="H566"/>
  <c r="G566" s="1"/>
  <c r="BT565"/>
  <c r="BS565"/>
  <c r="BR565"/>
  <c r="BQ565"/>
  <c r="BP565"/>
  <c r="BO565"/>
  <c r="BN565"/>
  <c r="BM565"/>
  <c r="BL565"/>
  <c r="BK565"/>
  <c r="BJ565"/>
  <c r="BI565"/>
  <c r="BH565"/>
  <c r="BG565"/>
  <c r="BF565"/>
  <c r="BE565"/>
  <c r="BD565"/>
  <c r="BC565"/>
  <c r="BB565"/>
  <c r="BA565" s="1"/>
  <c r="AZ565" s="1"/>
  <c r="AX565"/>
  <c r="AW565"/>
  <c r="AV565"/>
  <c r="AC565"/>
  <c r="H565"/>
  <c r="G565"/>
  <c r="BT564"/>
  <c r="BS564"/>
  <c r="BR564"/>
  <c r="BQ564"/>
  <c r="BP564"/>
  <c r="BO564"/>
  <c r="BN564"/>
  <c r="BM564"/>
  <c r="BL564" s="1"/>
  <c r="BK564"/>
  <c r="BJ564"/>
  <c r="BI564"/>
  <c r="BH564"/>
  <c r="BG564"/>
  <c r="BF564"/>
  <c r="BE564"/>
  <c r="BD564"/>
  <c r="BC564"/>
  <c r="BB564"/>
  <c r="BA564"/>
  <c r="AZ564" s="1"/>
  <c r="AX564"/>
  <c r="AW564"/>
  <c r="AV564"/>
  <c r="AC564"/>
  <c r="H564"/>
  <c r="G564" s="1"/>
  <c r="BT563"/>
  <c r="BS563"/>
  <c r="BR563"/>
  <c r="BQ563"/>
  <c r="BP563"/>
  <c r="BO563"/>
  <c r="BN563"/>
  <c r="BM563"/>
  <c r="BL563"/>
  <c r="BK563"/>
  <c r="BJ563"/>
  <c r="BI563"/>
  <c r="BH563"/>
  <c r="BG563"/>
  <c r="BF563"/>
  <c r="BE563"/>
  <c r="BD563"/>
  <c r="BC563"/>
  <c r="BB563"/>
  <c r="BA563" s="1"/>
  <c r="AZ563" s="1"/>
  <c r="AX563"/>
  <c r="AW563"/>
  <c r="AV563"/>
  <c r="AC563"/>
  <c r="H563"/>
  <c r="G563"/>
  <c r="BT562"/>
  <c r="BS562"/>
  <c r="BR562"/>
  <c r="BQ562"/>
  <c r="BP562"/>
  <c r="BO562"/>
  <c r="BN562"/>
  <c r="BM562"/>
  <c r="BL562" s="1"/>
  <c r="BK562"/>
  <c r="BJ562"/>
  <c r="BI562"/>
  <c r="BH562"/>
  <c r="BG562"/>
  <c r="BF562"/>
  <c r="BE562"/>
  <c r="BD562"/>
  <c r="BC562"/>
  <c r="BB562"/>
  <c r="BA562"/>
  <c r="AX562"/>
  <c r="AW562"/>
  <c r="AV562"/>
  <c r="AC562"/>
  <c r="H562"/>
  <c r="G562" s="1"/>
  <c r="BT561"/>
  <c r="BS561"/>
  <c r="BR561"/>
  <c r="BQ561"/>
  <c r="BP561"/>
  <c r="BO561"/>
  <c r="BN561"/>
  <c r="BM561"/>
  <c r="BL561"/>
  <c r="BK561"/>
  <c r="BJ561"/>
  <c r="BI561"/>
  <c r="BH561"/>
  <c r="BG561"/>
  <c r="BF561"/>
  <c r="BE561"/>
  <c r="BD561"/>
  <c r="BC561"/>
  <c r="BB561"/>
  <c r="BA561" s="1"/>
  <c r="AZ561" s="1"/>
  <c r="AX561"/>
  <c r="AW561"/>
  <c r="AV561"/>
  <c r="AC561"/>
  <c r="H561"/>
  <c r="G561"/>
  <c r="BT560"/>
  <c r="BS560"/>
  <c r="BR560"/>
  <c r="BQ560"/>
  <c r="BP560"/>
  <c r="BO560"/>
  <c r="BN560"/>
  <c r="BM560"/>
  <c r="BL560" s="1"/>
  <c r="BK560"/>
  <c r="BJ560"/>
  <c r="BI560"/>
  <c r="BH560"/>
  <c r="BG560"/>
  <c r="BF560"/>
  <c r="BE560"/>
  <c r="BD560"/>
  <c r="BC560"/>
  <c r="BB560"/>
  <c r="BA560"/>
  <c r="AZ560" s="1"/>
  <c r="AX560"/>
  <c r="AW560"/>
  <c r="AV560"/>
  <c r="AC560"/>
  <c r="H560"/>
  <c r="G560" s="1"/>
  <c r="BT559"/>
  <c r="BS559"/>
  <c r="BR559"/>
  <c r="BQ559"/>
  <c r="BP559"/>
  <c r="BO559"/>
  <c r="BN559"/>
  <c r="BM559"/>
  <c r="BL559"/>
  <c r="BK559"/>
  <c r="BJ559"/>
  <c r="BI559"/>
  <c r="BH559"/>
  <c r="BG559"/>
  <c r="BF559"/>
  <c r="BE559"/>
  <c r="BD559"/>
  <c r="BC559"/>
  <c r="BB559"/>
  <c r="BA559" s="1"/>
  <c r="AZ559" s="1"/>
  <c r="AX559"/>
  <c r="AW559"/>
  <c r="AV559"/>
  <c r="AC559"/>
  <c r="H559"/>
  <c r="G559"/>
  <c r="BT558"/>
  <c r="BS558"/>
  <c r="BR558"/>
  <c r="BQ558"/>
  <c r="BP558"/>
  <c r="BO558"/>
  <c r="BN558"/>
  <c r="BM558"/>
  <c r="BL558" s="1"/>
  <c r="BK558"/>
  <c r="BJ558"/>
  <c r="BI558"/>
  <c r="BH558"/>
  <c r="BG558"/>
  <c r="BF558"/>
  <c r="BE558"/>
  <c r="BD558"/>
  <c r="BC558"/>
  <c r="BB558"/>
  <c r="BA558"/>
  <c r="AX558"/>
  <c r="AW558"/>
  <c r="AV558"/>
  <c r="AC558"/>
  <c r="H558"/>
  <c r="G558" s="1"/>
  <c r="BT557"/>
  <c r="BS557"/>
  <c r="BR557"/>
  <c r="BQ557"/>
  <c r="BP557"/>
  <c r="BO557"/>
  <c r="BN557"/>
  <c r="BM557"/>
  <c r="BL557"/>
  <c r="BK557"/>
  <c r="BJ557"/>
  <c r="BI557"/>
  <c r="BH557"/>
  <c r="BG557"/>
  <c r="BF557"/>
  <c r="BE557"/>
  <c r="BD557"/>
  <c r="BC557"/>
  <c r="BB557"/>
  <c r="BA557" s="1"/>
  <c r="AZ557" s="1"/>
  <c r="AX557"/>
  <c r="AW557"/>
  <c r="AV557"/>
  <c r="AC557"/>
  <c r="H557"/>
  <c r="G557"/>
  <c r="BT556"/>
  <c r="BS556"/>
  <c r="BR556"/>
  <c r="BQ556"/>
  <c r="BP556"/>
  <c r="BO556"/>
  <c r="BN556"/>
  <c r="BM556"/>
  <c r="BL556" s="1"/>
  <c r="BK556"/>
  <c r="BJ556"/>
  <c r="BI556"/>
  <c r="BH556"/>
  <c r="BG556"/>
  <c r="BF556"/>
  <c r="BE556"/>
  <c r="BD556"/>
  <c r="BC556"/>
  <c r="BB556"/>
  <c r="BA556"/>
  <c r="AZ556" s="1"/>
  <c r="AX556"/>
  <c r="AW556"/>
  <c r="AV556"/>
  <c r="AC556"/>
  <c r="H556"/>
  <c r="G556" s="1"/>
  <c r="BT555"/>
  <c r="BS555"/>
  <c r="BR555"/>
  <c r="BQ555"/>
  <c r="BP555"/>
  <c r="BO555"/>
  <c r="BN555"/>
  <c r="BM555"/>
  <c r="BL555"/>
  <c r="BK555"/>
  <c r="BJ555"/>
  <c r="BI555"/>
  <c r="BH555"/>
  <c r="BG555"/>
  <c r="BF555"/>
  <c r="BE555"/>
  <c r="BD555"/>
  <c r="BC555"/>
  <c r="BB555"/>
  <c r="BA555" s="1"/>
  <c r="AZ555" s="1"/>
  <c r="AX555"/>
  <c r="AW555"/>
  <c r="AV555"/>
  <c r="AC555"/>
  <c r="H555"/>
  <c r="G555"/>
  <c r="BT554"/>
  <c r="BS554"/>
  <c r="BR554"/>
  <c r="BQ554"/>
  <c r="BP554"/>
  <c r="BO554"/>
  <c r="BN554"/>
  <c r="BM554"/>
  <c r="BL554" s="1"/>
  <c r="BK554"/>
  <c r="BJ554"/>
  <c r="BI554"/>
  <c r="BH554"/>
  <c r="BG554"/>
  <c r="BF554"/>
  <c r="BE554"/>
  <c r="BD554"/>
  <c r="BC554"/>
  <c r="BB554"/>
  <c r="BA554"/>
  <c r="AX554"/>
  <c r="AW554"/>
  <c r="AV554"/>
  <c r="AC554"/>
  <c r="H554"/>
  <c r="G554" s="1"/>
  <c r="BT553"/>
  <c r="BS553"/>
  <c r="BR553"/>
  <c r="BQ553"/>
  <c r="BP553"/>
  <c r="BO553"/>
  <c r="BN553"/>
  <c r="BM553"/>
  <c r="BL553"/>
  <c r="BK553"/>
  <c r="BJ553"/>
  <c r="BI553"/>
  <c r="BH553"/>
  <c r="BG553"/>
  <c r="BF553"/>
  <c r="BE553"/>
  <c r="BD553"/>
  <c r="BC553"/>
  <c r="BB553"/>
  <c r="BA553" s="1"/>
  <c r="AZ553" s="1"/>
  <c r="AX553"/>
  <c r="AW553"/>
  <c r="AV553"/>
  <c r="AC553"/>
  <c r="H553"/>
  <c r="G553"/>
  <c r="BT552"/>
  <c r="BS552"/>
  <c r="BR552"/>
  <c r="BQ552"/>
  <c r="BP552"/>
  <c r="BO552"/>
  <c r="BN552"/>
  <c r="BM552"/>
  <c r="BL552" s="1"/>
  <c r="BK552"/>
  <c r="BJ552"/>
  <c r="BI552"/>
  <c r="BH552"/>
  <c r="BG552"/>
  <c r="BF552"/>
  <c r="BE552"/>
  <c r="BD552"/>
  <c r="BC552"/>
  <c r="BB552"/>
  <c r="BA552"/>
  <c r="AZ552" s="1"/>
  <c r="AX552"/>
  <c r="AW552"/>
  <c r="AV552"/>
  <c r="AC552"/>
  <c r="H552"/>
  <c r="G552" s="1"/>
  <c r="BT551"/>
  <c r="BS551"/>
  <c r="BR551"/>
  <c r="BQ551"/>
  <c r="BP551"/>
  <c r="BO551"/>
  <c r="BN551"/>
  <c r="BM551"/>
  <c r="BL551"/>
  <c r="BK551"/>
  <c r="BJ551"/>
  <c r="BI551"/>
  <c r="BH551"/>
  <c r="BG551"/>
  <c r="BF551"/>
  <c r="BE551"/>
  <c r="BD551"/>
  <c r="BC551"/>
  <c r="BB551"/>
  <c r="BA551" s="1"/>
  <c r="AZ551" s="1"/>
  <c r="AX551"/>
  <c r="AW551"/>
  <c r="AV551"/>
  <c r="AC551"/>
  <c r="H551"/>
  <c r="G551"/>
  <c r="BT550"/>
  <c r="BS550"/>
  <c r="BR550"/>
  <c r="BQ550"/>
  <c r="BP550"/>
  <c r="BO550"/>
  <c r="BN550"/>
  <c r="BM550"/>
  <c r="BL550" s="1"/>
  <c r="BK550"/>
  <c r="BJ550"/>
  <c r="BI550"/>
  <c r="BH550"/>
  <c r="BG550"/>
  <c r="BF550"/>
  <c r="BE550"/>
  <c r="BD550"/>
  <c r="BC550"/>
  <c r="BB550"/>
  <c r="BA550"/>
  <c r="AX550"/>
  <c r="AW550"/>
  <c r="AV550"/>
  <c r="AC550"/>
  <c r="H550"/>
  <c r="G550" s="1"/>
  <c r="BT549"/>
  <c r="BS549"/>
  <c r="BR549"/>
  <c r="BQ549"/>
  <c r="BP549"/>
  <c r="BO549"/>
  <c r="BN549"/>
  <c r="BM549"/>
  <c r="BL549"/>
  <c r="BK549"/>
  <c r="BJ549"/>
  <c r="BI549"/>
  <c r="BH549"/>
  <c r="BG549"/>
  <c r="BF549"/>
  <c r="BE549"/>
  <c r="BD549"/>
  <c r="BC549"/>
  <c r="BB549"/>
  <c r="BA549" s="1"/>
  <c r="AZ549" s="1"/>
  <c r="AX549"/>
  <c r="AW549"/>
  <c r="AV549"/>
  <c r="AC549"/>
  <c r="H549"/>
  <c r="G549"/>
  <c r="BT548"/>
  <c r="BS548"/>
  <c r="BR548"/>
  <c r="BQ548"/>
  <c r="BP548"/>
  <c r="BO548"/>
  <c r="BN548"/>
  <c r="BM548"/>
  <c r="BL548" s="1"/>
  <c r="BK548"/>
  <c r="BJ548"/>
  <c r="BI548"/>
  <c r="BH548"/>
  <c r="BG548"/>
  <c r="BF548"/>
  <c r="BE548"/>
  <c r="BD548"/>
  <c r="BC548"/>
  <c r="BB548"/>
  <c r="BA548"/>
  <c r="AZ548" s="1"/>
  <c r="AX548"/>
  <c r="AW548"/>
  <c r="AV548"/>
  <c r="AC548"/>
  <c r="H548"/>
  <c r="G548" s="1"/>
  <c r="BT547"/>
  <c r="BS547"/>
  <c r="BR547"/>
  <c r="BQ547"/>
  <c r="BP547"/>
  <c r="BO547"/>
  <c r="BN547"/>
  <c r="BM547"/>
  <c r="BL547"/>
  <c r="BK547"/>
  <c r="BJ547"/>
  <c r="BI547"/>
  <c r="BH547"/>
  <c r="BG547"/>
  <c r="BF547"/>
  <c r="BE547"/>
  <c r="BD547"/>
  <c r="BC547"/>
  <c r="BB547"/>
  <c r="BA547" s="1"/>
  <c r="AZ547" s="1"/>
  <c r="AX547"/>
  <c r="AW547"/>
  <c r="AV547"/>
  <c r="AC547"/>
  <c r="H547"/>
  <c r="G547"/>
  <c r="BT546"/>
  <c r="BS546"/>
  <c r="BR546"/>
  <c r="BQ546"/>
  <c r="BP546"/>
  <c r="BO546"/>
  <c r="BN546"/>
  <c r="BM546"/>
  <c r="BL546" s="1"/>
  <c r="BK546"/>
  <c r="BJ546"/>
  <c r="BI546"/>
  <c r="BH546"/>
  <c r="BG546"/>
  <c r="BF546"/>
  <c r="BE546"/>
  <c r="BD546"/>
  <c r="BC546"/>
  <c r="BB546"/>
  <c r="BA546"/>
  <c r="AX546"/>
  <c r="AW546"/>
  <c r="AV546"/>
  <c r="AC546"/>
  <c r="H546"/>
  <c r="G546" s="1"/>
  <c r="BT545"/>
  <c r="BS545"/>
  <c r="BR545"/>
  <c r="BQ545"/>
  <c r="BP545"/>
  <c r="BO545"/>
  <c r="BN545"/>
  <c r="BM545"/>
  <c r="BL545"/>
  <c r="BK545"/>
  <c r="BJ545"/>
  <c r="BI545"/>
  <c r="BH545"/>
  <c r="BG545"/>
  <c r="BF545"/>
  <c r="BE545"/>
  <c r="BD545"/>
  <c r="BC545"/>
  <c r="BB545"/>
  <c r="BA545" s="1"/>
  <c r="AZ545" s="1"/>
  <c r="AX545"/>
  <c r="AW545"/>
  <c r="AV545"/>
  <c r="AC545"/>
  <c r="H545"/>
  <c r="G545"/>
  <c r="BT544"/>
  <c r="BS544"/>
  <c r="BR544"/>
  <c r="BQ544"/>
  <c r="BP544"/>
  <c r="BO544"/>
  <c r="BN544"/>
  <c r="BM544"/>
  <c r="BL544" s="1"/>
  <c r="BK544"/>
  <c r="BJ544"/>
  <c r="BI544"/>
  <c r="BH544"/>
  <c r="BG544"/>
  <c r="BF544"/>
  <c r="BE544"/>
  <c r="BD544"/>
  <c r="BC544"/>
  <c r="BB544"/>
  <c r="BA544"/>
  <c r="AZ544" s="1"/>
  <c r="AX544"/>
  <c r="AW544"/>
  <c r="AV544"/>
  <c r="AC544"/>
  <c r="H544"/>
  <c r="G544" s="1"/>
  <c r="BT543"/>
  <c r="BS543"/>
  <c r="BR543"/>
  <c r="BQ543"/>
  <c r="BP543"/>
  <c r="BO543"/>
  <c r="BN543"/>
  <c r="BM543"/>
  <c r="BL543"/>
  <c r="BK543"/>
  <c r="BJ543"/>
  <c r="BI543"/>
  <c r="BH543"/>
  <c r="BG543"/>
  <c r="BF543"/>
  <c r="BE543"/>
  <c r="BD543"/>
  <c r="BC543"/>
  <c r="BB543"/>
  <c r="BA543" s="1"/>
  <c r="AZ543" s="1"/>
  <c r="AX543"/>
  <c r="AW543"/>
  <c r="AV543"/>
  <c r="AC543"/>
  <c r="H543"/>
  <c r="G543"/>
  <c r="BT542"/>
  <c r="BS542"/>
  <c r="BR542"/>
  <c r="BQ542"/>
  <c r="BP542"/>
  <c r="BO542"/>
  <c r="BN542"/>
  <c r="BM542"/>
  <c r="BL542" s="1"/>
  <c r="BK542"/>
  <c r="BJ542"/>
  <c r="BI542"/>
  <c r="BH542"/>
  <c r="BG542"/>
  <c r="BF542"/>
  <c r="BE542"/>
  <c r="BD542"/>
  <c r="BC542"/>
  <c r="BB542"/>
  <c r="BA542"/>
  <c r="AX542"/>
  <c r="AW542"/>
  <c r="AV542"/>
  <c r="AC542"/>
  <c r="H542"/>
  <c r="G542" s="1"/>
  <c r="BT541"/>
  <c r="BS541"/>
  <c r="BR541"/>
  <c r="BQ541"/>
  <c r="BP541"/>
  <c r="BO541"/>
  <c r="BN541"/>
  <c r="BM541"/>
  <c r="BL541"/>
  <c r="BK541"/>
  <c r="BJ541"/>
  <c r="BI541"/>
  <c r="BH541"/>
  <c r="BG541"/>
  <c r="BF541"/>
  <c r="BE541"/>
  <c r="BD541"/>
  <c r="BC541"/>
  <c r="BB541"/>
  <c r="BA541" s="1"/>
  <c r="AZ541" s="1"/>
  <c r="AX541"/>
  <c r="AW541"/>
  <c r="AV541"/>
  <c r="AC541"/>
  <c r="H541"/>
  <c r="G541"/>
  <c r="BT540"/>
  <c r="BS540"/>
  <c r="BR540"/>
  <c r="BQ540"/>
  <c r="BP540"/>
  <c r="BO540"/>
  <c r="BN540"/>
  <c r="BM540"/>
  <c r="BL540" s="1"/>
  <c r="BK540"/>
  <c r="BJ540"/>
  <c r="BI540"/>
  <c r="BH540"/>
  <c r="BG540"/>
  <c r="BF540"/>
  <c r="BE540"/>
  <c r="BD540"/>
  <c r="BC540"/>
  <c r="BB540"/>
  <c r="BA540"/>
  <c r="AZ540" s="1"/>
  <c r="AX540"/>
  <c r="AW540"/>
  <c r="AV540"/>
  <c r="AC540"/>
  <c r="H540"/>
  <c r="G540" s="1"/>
  <c r="BT539"/>
  <c r="BS539"/>
  <c r="BR539"/>
  <c r="BQ539"/>
  <c r="BP539"/>
  <c r="BO539"/>
  <c r="BN539"/>
  <c r="BM539"/>
  <c r="BL539"/>
  <c r="BK539"/>
  <c r="BJ539"/>
  <c r="BI539"/>
  <c r="BH539"/>
  <c r="BG539"/>
  <c r="BF539"/>
  <c r="BE539"/>
  <c r="BD539"/>
  <c r="BC539"/>
  <c r="BB539"/>
  <c r="BA539" s="1"/>
  <c r="AZ539" s="1"/>
  <c r="AX539"/>
  <c r="AW539"/>
  <c r="AV539"/>
  <c r="AC539"/>
  <c r="H539"/>
  <c r="G539"/>
  <c r="BT538"/>
  <c r="BS538"/>
  <c r="BR538"/>
  <c r="BQ538"/>
  <c r="BP538"/>
  <c r="BO538"/>
  <c r="BN538"/>
  <c r="BM538"/>
  <c r="BL538" s="1"/>
  <c r="BK538"/>
  <c r="BJ538"/>
  <c r="BI538"/>
  <c r="BH538"/>
  <c r="BG538"/>
  <c r="BF538"/>
  <c r="BE538"/>
  <c r="BD538"/>
  <c r="BC538"/>
  <c r="BB538"/>
  <c r="BA538"/>
  <c r="AX538"/>
  <c r="AW538"/>
  <c r="AV538"/>
  <c r="AC538"/>
  <c r="H538"/>
  <c r="G538" s="1"/>
  <c r="BT537"/>
  <c r="BS537"/>
  <c r="BR537"/>
  <c r="BQ537"/>
  <c r="BP537"/>
  <c r="BO537"/>
  <c r="BN537"/>
  <c r="BM537"/>
  <c r="BL537"/>
  <c r="BK537"/>
  <c r="BJ537"/>
  <c r="BI537"/>
  <c r="BH537"/>
  <c r="BG537"/>
  <c r="BF537"/>
  <c r="BE537"/>
  <c r="BD537"/>
  <c r="BC537"/>
  <c r="BB537"/>
  <c r="BA537" s="1"/>
  <c r="AZ537" s="1"/>
  <c r="AX537"/>
  <c r="AW537"/>
  <c r="AV537"/>
  <c r="AC537"/>
  <c r="H537"/>
  <c r="G537"/>
  <c r="BT536"/>
  <c r="BS536"/>
  <c r="BR536"/>
  <c r="BQ536"/>
  <c r="BP536"/>
  <c r="BO536"/>
  <c r="BN536"/>
  <c r="BM536"/>
  <c r="BL536" s="1"/>
  <c r="BK536"/>
  <c r="BJ536"/>
  <c r="BI536"/>
  <c r="BH536"/>
  <c r="BG536"/>
  <c r="BF536"/>
  <c r="BE536"/>
  <c r="BD536"/>
  <c r="BC536"/>
  <c r="BB536"/>
  <c r="BA536"/>
  <c r="AZ536" s="1"/>
  <c r="AX536"/>
  <c r="AW536"/>
  <c r="AV536"/>
  <c r="AC536"/>
  <c r="H536"/>
  <c r="G536" s="1"/>
  <c r="BT535"/>
  <c r="BS535"/>
  <c r="BR535"/>
  <c r="BQ535"/>
  <c r="BP535"/>
  <c r="BO535"/>
  <c r="BN535"/>
  <c r="BM535"/>
  <c r="BL535"/>
  <c r="BK535"/>
  <c r="BJ535"/>
  <c r="BI535"/>
  <c r="BH535"/>
  <c r="BG535"/>
  <c r="BF535"/>
  <c r="BE535"/>
  <c r="BD535"/>
  <c r="BC535"/>
  <c r="BB535"/>
  <c r="BA535" s="1"/>
  <c r="AZ535" s="1"/>
  <c r="AX535"/>
  <c r="AW535"/>
  <c r="AV535"/>
  <c r="AC535"/>
  <c r="H535"/>
  <c r="G535"/>
  <c r="BT534"/>
  <c r="BS534"/>
  <c r="BR534"/>
  <c r="BQ534"/>
  <c r="BP534"/>
  <c r="BO534"/>
  <c r="BN534"/>
  <c r="BM534"/>
  <c r="BL534" s="1"/>
  <c r="BK534"/>
  <c r="BJ534"/>
  <c r="BI534"/>
  <c r="BH534"/>
  <c r="BG534"/>
  <c r="BF534"/>
  <c r="BE534"/>
  <c r="BD534"/>
  <c r="BC534"/>
  <c r="BB534"/>
  <c r="BA534"/>
  <c r="AX534"/>
  <c r="AW534"/>
  <c r="AV534"/>
  <c r="AC534"/>
  <c r="H534"/>
  <c r="G534" s="1"/>
  <c r="BT533"/>
  <c r="BS533"/>
  <c r="BR533"/>
  <c r="BQ533"/>
  <c r="BP533"/>
  <c r="BO533"/>
  <c r="BN533"/>
  <c r="BM533"/>
  <c r="BL533"/>
  <c r="BK533"/>
  <c r="BJ533"/>
  <c r="BI533"/>
  <c r="BH533"/>
  <c r="BG533"/>
  <c r="BF533"/>
  <c r="BE533"/>
  <c r="BD533"/>
  <c r="BC533"/>
  <c r="BB533"/>
  <c r="BA533" s="1"/>
  <c r="AZ533" s="1"/>
  <c r="AX533"/>
  <c r="AW533"/>
  <c r="AV533"/>
  <c r="AC533"/>
  <c r="H533"/>
  <c r="G533"/>
  <c r="BT532"/>
  <c r="BS532"/>
  <c r="BR532"/>
  <c r="BQ532"/>
  <c r="BP532"/>
  <c r="BO532"/>
  <c r="BN532"/>
  <c r="BM532"/>
  <c r="BL532" s="1"/>
  <c r="BK532"/>
  <c r="BJ532"/>
  <c r="BI532"/>
  <c r="BH532"/>
  <c r="BG532"/>
  <c r="BF532"/>
  <c r="BE532"/>
  <c r="BD532"/>
  <c r="BC532"/>
  <c r="BB532"/>
  <c r="BA532"/>
  <c r="AZ532" s="1"/>
  <c r="AX532"/>
  <c r="AW532"/>
  <c r="AV532"/>
  <c r="AC532"/>
  <c r="H532"/>
  <c r="G532" s="1"/>
  <c r="BT531"/>
  <c r="BS531"/>
  <c r="BR531"/>
  <c r="BQ531"/>
  <c r="BP531"/>
  <c r="BO531"/>
  <c r="BN531"/>
  <c r="BM531"/>
  <c r="BL531"/>
  <c r="BK531"/>
  <c r="BJ531"/>
  <c r="BI531"/>
  <c r="BH531"/>
  <c r="BG531"/>
  <c r="BF531"/>
  <c r="BE531"/>
  <c r="BD531"/>
  <c r="BC531"/>
  <c r="BB531"/>
  <c r="BA531" s="1"/>
  <c r="AZ531" s="1"/>
  <c r="AX531"/>
  <c r="AW531"/>
  <c r="AV531"/>
  <c r="AC531"/>
  <c r="H531"/>
  <c r="G531"/>
  <c r="BT530"/>
  <c r="BS530"/>
  <c r="BR530"/>
  <c r="BQ530"/>
  <c r="BP530"/>
  <c r="BO530"/>
  <c r="BN530"/>
  <c r="BM530"/>
  <c r="BL530" s="1"/>
  <c r="BK530"/>
  <c r="BJ530"/>
  <c r="BI530"/>
  <c r="BH530"/>
  <c r="BG530"/>
  <c r="BF530"/>
  <c r="BE530"/>
  <c r="BD530"/>
  <c r="BC530"/>
  <c r="BB530"/>
  <c r="BA530"/>
  <c r="AX530"/>
  <c r="AW530"/>
  <c r="AV530"/>
  <c r="AC530"/>
  <c r="H530"/>
  <c r="G530" s="1"/>
  <c r="BT529"/>
  <c r="BS529"/>
  <c r="BR529"/>
  <c r="BQ529"/>
  <c r="BP529"/>
  <c r="BO529"/>
  <c r="BN529"/>
  <c r="BM529"/>
  <c r="BL529"/>
  <c r="BK529"/>
  <c r="BJ529"/>
  <c r="BI529"/>
  <c r="BH529"/>
  <c r="BG529"/>
  <c r="BF529"/>
  <c r="BE529"/>
  <c r="BD529"/>
  <c r="BC529"/>
  <c r="BB529"/>
  <c r="BA529" s="1"/>
  <c r="AZ529" s="1"/>
  <c r="AX529"/>
  <c r="AW529"/>
  <c r="AV529"/>
  <c r="AC529"/>
  <c r="H529"/>
  <c r="G529"/>
  <c r="BT528"/>
  <c r="BS528"/>
  <c r="BR528"/>
  <c r="BQ528"/>
  <c r="BP528"/>
  <c r="BO528"/>
  <c r="BN528"/>
  <c r="BM528"/>
  <c r="BL528" s="1"/>
  <c r="BK528"/>
  <c r="BJ528"/>
  <c r="BI528"/>
  <c r="BH528"/>
  <c r="BG528"/>
  <c r="BF528"/>
  <c r="BE528"/>
  <c r="BD528"/>
  <c r="BC528"/>
  <c r="BB528"/>
  <c r="BA528"/>
  <c r="AZ528" s="1"/>
  <c r="AX528"/>
  <c r="AW528"/>
  <c r="AV528"/>
  <c r="AC528"/>
  <c r="H528"/>
  <c r="G528" s="1"/>
  <c r="BT527"/>
  <c r="BS527"/>
  <c r="BR527"/>
  <c r="BQ527"/>
  <c r="BP527"/>
  <c r="BO527"/>
  <c r="BN527"/>
  <c r="BM527"/>
  <c r="BL527"/>
  <c r="BK527"/>
  <c r="BJ527"/>
  <c r="BI527"/>
  <c r="BH527"/>
  <c r="BG527"/>
  <c r="BF527"/>
  <c r="BE527"/>
  <c r="BD527"/>
  <c r="BC527"/>
  <c r="BB527"/>
  <c r="BA527" s="1"/>
  <c r="AZ527" s="1"/>
  <c r="AX527"/>
  <c r="AW527"/>
  <c r="AV527"/>
  <c r="AC527"/>
  <c r="H527"/>
  <c r="G527"/>
  <c r="BT526"/>
  <c r="BS526"/>
  <c r="BR526"/>
  <c r="BQ526"/>
  <c r="BP526"/>
  <c r="BO526"/>
  <c r="BN526"/>
  <c r="BM526"/>
  <c r="BL526" s="1"/>
  <c r="BK526"/>
  <c r="BJ526"/>
  <c r="BI526"/>
  <c r="BH526"/>
  <c r="BG526"/>
  <c r="BF526"/>
  <c r="BE526"/>
  <c r="BD526"/>
  <c r="BC526"/>
  <c r="BB526"/>
  <c r="BA526"/>
  <c r="AX526"/>
  <c r="AW526"/>
  <c r="AV526"/>
  <c r="AC526"/>
  <c r="H526"/>
  <c r="G526" s="1"/>
  <c r="BT525"/>
  <c r="BS525"/>
  <c r="BR525"/>
  <c r="BQ525"/>
  <c r="BP525"/>
  <c r="BO525"/>
  <c r="BN525"/>
  <c r="BM525"/>
  <c r="BL525"/>
  <c r="BK525"/>
  <c r="BJ525"/>
  <c r="BI525"/>
  <c r="BH525"/>
  <c r="BG525"/>
  <c r="BF525"/>
  <c r="BE525"/>
  <c r="BD525"/>
  <c r="BC525"/>
  <c r="BB525"/>
  <c r="BA525" s="1"/>
  <c r="AZ525" s="1"/>
  <c r="AX525"/>
  <c r="AW525"/>
  <c r="AV525"/>
  <c r="AC525"/>
  <c r="H525"/>
  <c r="G525"/>
  <c r="BT524"/>
  <c r="BS524"/>
  <c r="BR524"/>
  <c r="BQ524"/>
  <c r="BP524"/>
  <c r="BO524"/>
  <c r="BN524"/>
  <c r="BM524"/>
  <c r="BL524" s="1"/>
  <c r="BK524"/>
  <c r="BJ524"/>
  <c r="BI524"/>
  <c r="BH524"/>
  <c r="BG524"/>
  <c r="BF524"/>
  <c r="BE524"/>
  <c r="BD524"/>
  <c r="BC524"/>
  <c r="BB524"/>
  <c r="BA524"/>
  <c r="AZ524" s="1"/>
  <c r="AX524"/>
  <c r="AW524"/>
  <c r="AV524"/>
  <c r="AC524"/>
  <c r="H524"/>
  <c r="G524" s="1"/>
  <c r="BT523"/>
  <c r="BS523"/>
  <c r="BR523"/>
  <c r="BQ523"/>
  <c r="BP523"/>
  <c r="BO523"/>
  <c r="BN523"/>
  <c r="BM523"/>
  <c r="BL523"/>
  <c r="BK523"/>
  <c r="BJ523"/>
  <c r="BI523"/>
  <c r="BH523"/>
  <c r="BG523"/>
  <c r="BF523"/>
  <c r="BE523"/>
  <c r="BD523"/>
  <c r="BC523"/>
  <c r="BB523"/>
  <c r="BA523" s="1"/>
  <c r="AZ523" s="1"/>
  <c r="AX523"/>
  <c r="AW523"/>
  <c r="AV523"/>
  <c r="AC523"/>
  <c r="H523"/>
  <c r="G523"/>
  <c r="BT522"/>
  <c r="BS522"/>
  <c r="BR522"/>
  <c r="BQ522"/>
  <c r="BP522"/>
  <c r="BO522"/>
  <c r="BN522"/>
  <c r="BM522"/>
  <c r="BL522" s="1"/>
  <c r="BK522"/>
  <c r="BJ522"/>
  <c r="BI522"/>
  <c r="BH522"/>
  <c r="BG522"/>
  <c r="BF522"/>
  <c r="BE522"/>
  <c r="BD522"/>
  <c r="BC522"/>
  <c r="BB522"/>
  <c r="BA522"/>
  <c r="AX522"/>
  <c r="AW522"/>
  <c r="AV522"/>
  <c r="AC522"/>
  <c r="H522"/>
  <c r="G522" s="1"/>
  <c r="BT521"/>
  <c r="BS521"/>
  <c r="BR521"/>
  <c r="BQ521"/>
  <c r="BP521"/>
  <c r="BO521"/>
  <c r="BN521"/>
  <c r="BM521"/>
  <c r="BL521"/>
  <c r="BK521"/>
  <c r="BJ521"/>
  <c r="BI521"/>
  <c r="BH521"/>
  <c r="BG521"/>
  <c r="BF521"/>
  <c r="BE521"/>
  <c r="BD521"/>
  <c r="BC521"/>
  <c r="BB521"/>
  <c r="BA521" s="1"/>
  <c r="AZ521" s="1"/>
  <c r="AX521"/>
  <c r="AW521"/>
  <c r="AV521"/>
  <c r="AC521"/>
  <c r="H521"/>
  <c r="G521"/>
  <c r="BT520"/>
  <c r="BS520"/>
  <c r="BR520"/>
  <c r="BQ520"/>
  <c r="BP520"/>
  <c r="BO520"/>
  <c r="BN520"/>
  <c r="BM520"/>
  <c r="BL520" s="1"/>
  <c r="BK520"/>
  <c r="BJ520"/>
  <c r="BI520"/>
  <c r="BH520"/>
  <c r="BG520"/>
  <c r="BF520"/>
  <c r="BE520"/>
  <c r="BD520"/>
  <c r="BC520"/>
  <c r="BB520"/>
  <c r="BA520"/>
  <c r="AZ520" s="1"/>
  <c r="AX520"/>
  <c r="AW520"/>
  <c r="AV520"/>
  <c r="AC520"/>
  <c r="H520"/>
  <c r="G520" s="1"/>
  <c r="BT519"/>
  <c r="BS519"/>
  <c r="BR519"/>
  <c r="BQ519"/>
  <c r="BP519"/>
  <c r="BO519"/>
  <c r="BN519"/>
  <c r="BM519"/>
  <c r="BL519"/>
  <c r="BK519"/>
  <c r="BJ519"/>
  <c r="BI519"/>
  <c r="BH519"/>
  <c r="BG519"/>
  <c r="BF519"/>
  <c r="BE519"/>
  <c r="BD519"/>
  <c r="BC519"/>
  <c r="BB519"/>
  <c r="BA519" s="1"/>
  <c r="AZ519" s="1"/>
  <c r="AX519"/>
  <c r="AW519"/>
  <c r="AV519"/>
  <c r="AC519"/>
  <c r="H519"/>
  <c r="G519"/>
  <c r="BT518"/>
  <c r="BS518"/>
  <c r="BR518"/>
  <c r="BQ518"/>
  <c r="BP518"/>
  <c r="BO518"/>
  <c r="BN518"/>
  <c r="BM518"/>
  <c r="BL518" s="1"/>
  <c r="BK518"/>
  <c r="BJ518"/>
  <c r="BI518"/>
  <c r="BH518"/>
  <c r="BG518"/>
  <c r="BF518"/>
  <c r="BE518"/>
  <c r="BD518"/>
  <c r="BC518"/>
  <c r="BB518"/>
  <c r="BA518"/>
  <c r="AX518"/>
  <c r="AW518"/>
  <c r="AV518"/>
  <c r="AC518"/>
  <c r="H518"/>
  <c r="G518" s="1"/>
  <c r="BT517"/>
  <c r="BS517"/>
  <c r="BR517"/>
  <c r="BQ517"/>
  <c r="BP517"/>
  <c r="BO517"/>
  <c r="BN517"/>
  <c r="BM517"/>
  <c r="BL517"/>
  <c r="BK517"/>
  <c r="BJ517"/>
  <c r="BI517"/>
  <c r="BH517"/>
  <c r="BG517"/>
  <c r="BF517"/>
  <c r="BE517"/>
  <c r="BD517"/>
  <c r="BC517"/>
  <c r="BB517"/>
  <c r="BA517" s="1"/>
  <c r="AZ517" s="1"/>
  <c r="AX517"/>
  <c r="AW517"/>
  <c r="AV517"/>
  <c r="AC517"/>
  <c r="H517"/>
  <c r="G517"/>
  <c r="BT516"/>
  <c r="BS516"/>
  <c r="BR516"/>
  <c r="BQ516"/>
  <c r="BP516"/>
  <c r="BO516"/>
  <c r="BN516"/>
  <c r="BM516"/>
  <c r="BL516" s="1"/>
  <c r="BK516"/>
  <c r="BJ516"/>
  <c r="BI516"/>
  <c r="BH516"/>
  <c r="BG516"/>
  <c r="BF516"/>
  <c r="BE516"/>
  <c r="BD516"/>
  <c r="BC516"/>
  <c r="BB516"/>
  <c r="BA516"/>
  <c r="AZ516" s="1"/>
  <c r="AX516"/>
  <c r="AW516"/>
  <c r="AV516"/>
  <c r="AC516"/>
  <c r="H516"/>
  <c r="G516" s="1"/>
  <c r="BT515"/>
  <c r="BS515"/>
  <c r="BR515"/>
  <c r="BQ515"/>
  <c r="BP515"/>
  <c r="BO515"/>
  <c r="BN515"/>
  <c r="BM515"/>
  <c r="BL515"/>
  <c r="BK515"/>
  <c r="BJ515"/>
  <c r="BI515"/>
  <c r="BH515"/>
  <c r="BG515"/>
  <c r="BF515"/>
  <c r="BE515"/>
  <c r="BD515"/>
  <c r="BC515"/>
  <c r="BB515"/>
  <c r="BA515" s="1"/>
  <c r="AZ515" s="1"/>
  <c r="AX515"/>
  <c r="AW515"/>
  <c r="AV515"/>
  <c r="AC515"/>
  <c r="H515"/>
  <c r="G515"/>
  <c r="BT514"/>
  <c r="BS514"/>
  <c r="BR514"/>
  <c r="BQ514"/>
  <c r="BP514"/>
  <c r="BO514"/>
  <c r="BN514"/>
  <c r="BM514"/>
  <c r="BL514" s="1"/>
  <c r="BK514"/>
  <c r="BJ514"/>
  <c r="BI514"/>
  <c r="BH514"/>
  <c r="BG514"/>
  <c r="BF514"/>
  <c r="BE514"/>
  <c r="BD514"/>
  <c r="BC514"/>
  <c r="BB514"/>
  <c r="BA514"/>
  <c r="AX514"/>
  <c r="AW514"/>
  <c r="AV514"/>
  <c r="AC514"/>
  <c r="H514"/>
  <c r="G514" s="1"/>
  <c r="BT513"/>
  <c r="BS513"/>
  <c r="BR513"/>
  <c r="BQ513"/>
  <c r="BP513"/>
  <c r="BO513"/>
  <c r="BN513"/>
  <c r="BM513"/>
  <c r="BL513"/>
  <c r="BK513"/>
  <c r="BJ513"/>
  <c r="BI513"/>
  <c r="BH513"/>
  <c r="BG513"/>
  <c r="BF513"/>
  <c r="BE513"/>
  <c r="BD513"/>
  <c r="BC513"/>
  <c r="BB513"/>
  <c r="BA513" s="1"/>
  <c r="AZ513" s="1"/>
  <c r="AX513"/>
  <c r="AW513"/>
  <c r="AV513"/>
  <c r="AC513"/>
  <c r="H513"/>
  <c r="G513"/>
  <c r="BT512"/>
  <c r="BS512"/>
  <c r="BR512"/>
  <c r="BQ512"/>
  <c r="BP512"/>
  <c r="BO512"/>
  <c r="BN512"/>
  <c r="BM512"/>
  <c r="BL512" s="1"/>
  <c r="BK512"/>
  <c r="BJ512"/>
  <c r="BI512"/>
  <c r="BH512"/>
  <c r="BG512"/>
  <c r="BF512"/>
  <c r="BE512"/>
  <c r="BD512"/>
  <c r="BC512"/>
  <c r="BB512"/>
  <c r="BA512"/>
  <c r="AZ512" s="1"/>
  <c r="AX512"/>
  <c r="AW512"/>
  <c r="AV512"/>
  <c r="AC512"/>
  <c r="H512"/>
  <c r="G512" s="1"/>
  <c r="BT511"/>
  <c r="BS511"/>
  <c r="BR511"/>
  <c r="BQ511"/>
  <c r="BP511"/>
  <c r="BO511"/>
  <c r="BN511"/>
  <c r="BM511"/>
  <c r="BL511"/>
  <c r="BK511"/>
  <c r="BJ511"/>
  <c r="BI511"/>
  <c r="BH511"/>
  <c r="BG511"/>
  <c r="BF511"/>
  <c r="BE511"/>
  <c r="BD511"/>
  <c r="BC511"/>
  <c r="BB511"/>
  <c r="BA511" s="1"/>
  <c r="AZ511" s="1"/>
  <c r="AX511"/>
  <c r="AW511"/>
  <c r="AV511"/>
  <c r="AC511"/>
  <c r="H511"/>
  <c r="G511"/>
  <c r="BT510"/>
  <c r="BS510"/>
  <c r="BR510"/>
  <c r="BQ510"/>
  <c r="BP510"/>
  <c r="BO510"/>
  <c r="BN510"/>
  <c r="BM510"/>
  <c r="BL510" s="1"/>
  <c r="BK510"/>
  <c r="BJ510"/>
  <c r="BI510"/>
  <c r="BH510"/>
  <c r="BG510"/>
  <c r="BF510"/>
  <c r="BE510"/>
  <c r="BD510"/>
  <c r="BC510"/>
  <c r="BB510"/>
  <c r="BA510"/>
  <c r="AX510"/>
  <c r="AW510"/>
  <c r="AV510"/>
  <c r="AC510"/>
  <c r="H510"/>
  <c r="G510" s="1"/>
  <c r="BT509"/>
  <c r="BS509"/>
  <c r="BR509"/>
  <c r="BQ509"/>
  <c r="BP509"/>
  <c r="BO509"/>
  <c r="BN509"/>
  <c r="BM509"/>
  <c r="BL509"/>
  <c r="BK509"/>
  <c r="BJ509"/>
  <c r="BI509"/>
  <c r="BH509"/>
  <c r="BG509"/>
  <c r="BF509"/>
  <c r="BE509"/>
  <c r="BD509"/>
  <c r="BC509"/>
  <c r="BB509"/>
  <c r="BA509" s="1"/>
  <c r="AZ509" s="1"/>
  <c r="AX509"/>
  <c r="AW509"/>
  <c r="AV509"/>
  <c r="AC509"/>
  <c r="H509"/>
  <c r="G509"/>
  <c r="BT508"/>
  <c r="BS508"/>
  <c r="BR508"/>
  <c r="BQ508"/>
  <c r="BP508"/>
  <c r="BO508"/>
  <c r="BN508"/>
  <c r="BM508"/>
  <c r="BL508" s="1"/>
  <c r="BK508"/>
  <c r="BJ508"/>
  <c r="BI508"/>
  <c r="BH508"/>
  <c r="BG508"/>
  <c r="BF508"/>
  <c r="BE508"/>
  <c r="BD508"/>
  <c r="BC508"/>
  <c r="BB508"/>
  <c r="BA508"/>
  <c r="AZ508" s="1"/>
  <c r="AX508"/>
  <c r="AW508"/>
  <c r="AV508"/>
  <c r="AC508"/>
  <c r="H508"/>
  <c r="G508" s="1"/>
  <c r="BT507"/>
  <c r="BS507"/>
  <c r="BR507"/>
  <c r="BQ507"/>
  <c r="BP507"/>
  <c r="BO507"/>
  <c r="BN507"/>
  <c r="BM507"/>
  <c r="BL507"/>
  <c r="BK507"/>
  <c r="BJ507"/>
  <c r="BI507"/>
  <c r="BH507"/>
  <c r="BG507"/>
  <c r="BF507"/>
  <c r="BE507"/>
  <c r="BD507"/>
  <c r="BC507"/>
  <c r="BB507"/>
  <c r="BA507" s="1"/>
  <c r="AZ507" s="1"/>
  <c r="AX507"/>
  <c r="AW507"/>
  <c r="AV507"/>
  <c r="AC507"/>
  <c r="H507"/>
  <c r="G507"/>
  <c r="BT506"/>
  <c r="BS506"/>
  <c r="BR506"/>
  <c r="BQ506"/>
  <c r="BP506"/>
  <c r="BO506"/>
  <c r="BN506"/>
  <c r="BM506"/>
  <c r="BL506" s="1"/>
  <c r="BK506"/>
  <c r="BJ506"/>
  <c r="BI506"/>
  <c r="BH506"/>
  <c r="BG506"/>
  <c r="BF506"/>
  <c r="BE506"/>
  <c r="BD506"/>
  <c r="BC506"/>
  <c r="BB506"/>
  <c r="BA506"/>
  <c r="AX506"/>
  <c r="AW506"/>
  <c r="AV506"/>
  <c r="AC506"/>
  <c r="H506"/>
  <c r="G506" s="1"/>
  <c r="BT505"/>
  <c r="BS505"/>
  <c r="BR505"/>
  <c r="BQ505"/>
  <c r="BP505"/>
  <c r="BO505"/>
  <c r="BN505"/>
  <c r="BM505"/>
  <c r="BL505"/>
  <c r="BK505"/>
  <c r="BJ505"/>
  <c r="BI505"/>
  <c r="BH505"/>
  <c r="BG505"/>
  <c r="BF505"/>
  <c r="BE505"/>
  <c r="BD505"/>
  <c r="BC505"/>
  <c r="BB505"/>
  <c r="BA505" s="1"/>
  <c r="AZ505" s="1"/>
  <c r="AX505"/>
  <c r="AW505"/>
  <c r="AV505"/>
  <c r="AC505"/>
  <c r="H505"/>
  <c r="G505"/>
  <c r="BT504"/>
  <c r="BS504"/>
  <c r="BR504"/>
  <c r="BQ504"/>
  <c r="BP504"/>
  <c r="BO504"/>
  <c r="BN504"/>
  <c r="BM504"/>
  <c r="BL504" s="1"/>
  <c r="BK504"/>
  <c r="BJ504"/>
  <c r="BI504"/>
  <c r="BH504"/>
  <c r="BG504"/>
  <c r="BF504"/>
  <c r="BE504"/>
  <c r="BD504"/>
  <c r="BC504"/>
  <c r="BB504"/>
  <c r="BA504"/>
  <c r="AZ504" s="1"/>
  <c r="AX504"/>
  <c r="AW504"/>
  <c r="AV504"/>
  <c r="AC504"/>
  <c r="H504"/>
  <c r="G504" s="1"/>
  <c r="BT503"/>
  <c r="BS503"/>
  <c r="BR503"/>
  <c r="BQ503"/>
  <c r="BP503"/>
  <c r="BO503"/>
  <c r="BN503"/>
  <c r="BM503"/>
  <c r="BL503"/>
  <c r="BK503"/>
  <c r="BJ503"/>
  <c r="BI503"/>
  <c r="BH503"/>
  <c r="BG503"/>
  <c r="BF503"/>
  <c r="BE503"/>
  <c r="BD503"/>
  <c r="BC503"/>
  <c r="BB503"/>
  <c r="BA503" s="1"/>
  <c r="AZ503" s="1"/>
  <c r="AX503"/>
  <c r="AW503"/>
  <c r="AV503"/>
  <c r="AC503"/>
  <c r="H503"/>
  <c r="G503"/>
  <c r="BT502"/>
  <c r="BS502"/>
  <c r="BR502"/>
  <c r="BQ502"/>
  <c r="BP502"/>
  <c r="BO502"/>
  <c r="BN502"/>
  <c r="BM502"/>
  <c r="BL502" s="1"/>
  <c r="BK502"/>
  <c r="BJ502"/>
  <c r="BI502"/>
  <c r="BH502"/>
  <c r="BG502"/>
  <c r="BF502"/>
  <c r="BE502"/>
  <c r="BD502"/>
  <c r="BC502"/>
  <c r="BB502"/>
  <c r="BA502"/>
  <c r="AX502"/>
  <c r="AW502"/>
  <c r="AV502"/>
  <c r="AC502"/>
  <c r="H502"/>
  <c r="G502" s="1"/>
  <c r="BT501"/>
  <c r="BS501"/>
  <c r="BR501"/>
  <c r="BQ501"/>
  <c r="BP501"/>
  <c r="BO501"/>
  <c r="BN501"/>
  <c r="BM501"/>
  <c r="BL501"/>
  <c r="BK501"/>
  <c r="BJ501"/>
  <c r="BI501"/>
  <c r="BH501"/>
  <c r="BG501"/>
  <c r="BF501"/>
  <c r="BE501"/>
  <c r="BD501"/>
  <c r="BC501"/>
  <c r="BB501"/>
  <c r="BA501" s="1"/>
  <c r="AZ501" s="1"/>
  <c r="AX501"/>
  <c r="AW501"/>
  <c r="AV501"/>
  <c r="AC501"/>
  <c r="H501"/>
  <c r="G501"/>
  <c r="BT500"/>
  <c r="BS500"/>
  <c r="BR500"/>
  <c r="BQ500"/>
  <c r="BP500"/>
  <c r="BO500"/>
  <c r="BN500"/>
  <c r="BM500"/>
  <c r="BL500" s="1"/>
  <c r="BK500"/>
  <c r="BJ500"/>
  <c r="BI500"/>
  <c r="BH500"/>
  <c r="BG500"/>
  <c r="BF500"/>
  <c r="BE500"/>
  <c r="BD500"/>
  <c r="BC500"/>
  <c r="BB500"/>
  <c r="BA500"/>
  <c r="AZ500" s="1"/>
  <c r="AX500"/>
  <c r="AW500"/>
  <c r="AV500"/>
  <c r="AC500"/>
  <c r="H500"/>
  <c r="G500" s="1"/>
  <c r="BT499"/>
  <c r="BS499"/>
  <c r="BR499"/>
  <c r="BQ499"/>
  <c r="BP499"/>
  <c r="BO499"/>
  <c r="BN499"/>
  <c r="BM499"/>
  <c r="BL499"/>
  <c r="BK499"/>
  <c r="BJ499"/>
  <c r="BI499"/>
  <c r="BH499"/>
  <c r="BG499"/>
  <c r="BF499"/>
  <c r="BE499"/>
  <c r="BD499"/>
  <c r="BC499"/>
  <c r="BB499"/>
  <c r="BA499" s="1"/>
  <c r="AZ499" s="1"/>
  <c r="AX499"/>
  <c r="AW499"/>
  <c r="AV499"/>
  <c r="AC499"/>
  <c r="H499"/>
  <c r="G499"/>
  <c r="BT498"/>
  <c r="BS498"/>
  <c r="BR498"/>
  <c r="BQ498"/>
  <c r="BP498"/>
  <c r="BO498"/>
  <c r="BN498"/>
  <c r="BM498"/>
  <c r="BL498" s="1"/>
  <c r="BK498"/>
  <c r="BJ498"/>
  <c r="BI498"/>
  <c r="BH498"/>
  <c r="BG498"/>
  <c r="BF498"/>
  <c r="BE498"/>
  <c r="BD498"/>
  <c r="BC498"/>
  <c r="BB498"/>
  <c r="BA498"/>
  <c r="AX498"/>
  <c r="AW498"/>
  <c r="AV498"/>
  <c r="AC498"/>
  <c r="H498"/>
  <c r="G498" s="1"/>
  <c r="BT497"/>
  <c r="BS497"/>
  <c r="BR497"/>
  <c r="BQ497"/>
  <c r="BP497"/>
  <c r="BO497"/>
  <c r="BN497"/>
  <c r="BM497"/>
  <c r="BL497"/>
  <c r="BK497"/>
  <c r="BJ497"/>
  <c r="BI497"/>
  <c r="BH497"/>
  <c r="BG497"/>
  <c r="BF497"/>
  <c r="BE497"/>
  <c r="BD497"/>
  <c r="BC497"/>
  <c r="BB497"/>
  <c r="BA497" s="1"/>
  <c r="AZ497" s="1"/>
  <c r="AX497"/>
  <c r="AW497"/>
  <c r="AV497"/>
  <c r="AC497"/>
  <c r="H497"/>
  <c r="G497"/>
  <c r="BT496"/>
  <c r="BS496"/>
  <c r="BR496"/>
  <c r="BQ496"/>
  <c r="BP496"/>
  <c r="BO496"/>
  <c r="BN496"/>
  <c r="BM496"/>
  <c r="BL496" s="1"/>
  <c r="BK496"/>
  <c r="BJ496"/>
  <c r="BI496"/>
  <c r="BH496"/>
  <c r="BG496"/>
  <c r="BF496"/>
  <c r="BE496"/>
  <c r="BD496"/>
  <c r="BC496"/>
  <c r="BB496"/>
  <c r="BA496"/>
  <c r="AZ496" s="1"/>
  <c r="AX496"/>
  <c r="AW496"/>
  <c r="AV496"/>
  <c r="AC496"/>
  <c r="H496"/>
  <c r="G496" s="1"/>
  <c r="BT495"/>
  <c r="BS495"/>
  <c r="BR495"/>
  <c r="BQ495"/>
  <c r="BP495"/>
  <c r="BO495"/>
  <c r="BN495"/>
  <c r="BM495"/>
  <c r="BL495"/>
  <c r="BK495"/>
  <c r="BJ495"/>
  <c r="BI495"/>
  <c r="BH495"/>
  <c r="BG495"/>
  <c r="BF495"/>
  <c r="BE495"/>
  <c r="BD495"/>
  <c r="BC495"/>
  <c r="BB495"/>
  <c r="BA495" s="1"/>
  <c r="AZ495" s="1"/>
  <c r="AX495"/>
  <c r="AW495"/>
  <c r="AV495"/>
  <c r="AC495"/>
  <c r="H495"/>
  <c r="G495"/>
  <c r="BT494"/>
  <c r="BS494"/>
  <c r="BR494"/>
  <c r="BQ494"/>
  <c r="BP494"/>
  <c r="BO494"/>
  <c r="BN494"/>
  <c r="BM494"/>
  <c r="BL494" s="1"/>
  <c r="BK494"/>
  <c r="BJ494"/>
  <c r="BI494"/>
  <c r="BH494"/>
  <c r="BG494"/>
  <c r="BF494"/>
  <c r="BE494"/>
  <c r="BD494"/>
  <c r="BC494"/>
  <c r="BB494"/>
  <c r="BA494"/>
  <c r="AX494"/>
  <c r="AW494"/>
  <c r="AV494"/>
  <c r="AC494"/>
  <c r="H494"/>
  <c r="G494" s="1"/>
  <c r="BT493"/>
  <c r="BS493"/>
  <c r="BR493"/>
  <c r="BQ493"/>
  <c r="BP493"/>
  <c r="BO493"/>
  <c r="BN493"/>
  <c r="BM493"/>
  <c r="BL493"/>
  <c r="BK493"/>
  <c r="BJ493"/>
  <c r="BI493"/>
  <c r="BH493"/>
  <c r="BG493"/>
  <c r="BF493"/>
  <c r="BE493"/>
  <c r="BD493"/>
  <c r="BC493"/>
  <c r="BB493"/>
  <c r="BA493" s="1"/>
  <c r="AZ493" s="1"/>
  <c r="AX493"/>
  <c r="AW493"/>
  <c r="AV493"/>
  <c r="AC493"/>
  <c r="H493"/>
  <c r="G49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Z491" s="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c r="BT488"/>
  <c r="BS488"/>
  <c r="BR488"/>
  <c r="BQ488"/>
  <c r="BP488"/>
  <c r="BO488"/>
  <c r="BN488"/>
  <c r="BM488"/>
  <c r="BL488" s="1"/>
  <c r="BK488"/>
  <c r="BJ488"/>
  <c r="BI488"/>
  <c r="BH488"/>
  <c r="BG488"/>
  <c r="BF488"/>
  <c r="BE488"/>
  <c r="BD488"/>
  <c r="BC488"/>
  <c r="BB488"/>
  <c r="BA488"/>
  <c r="AZ488" s="1"/>
  <c r="AX488"/>
  <c r="AW488"/>
  <c r="AV488"/>
  <c r="AC488"/>
  <c r="H488"/>
  <c r="G488" s="1"/>
  <c r="BT487"/>
  <c r="BS487"/>
  <c r="BR487"/>
  <c r="BQ487"/>
  <c r="BP487"/>
  <c r="BO487"/>
  <c r="BN487"/>
  <c r="BM487"/>
  <c r="BL487"/>
  <c r="BK487"/>
  <c r="BJ487"/>
  <c r="BI487"/>
  <c r="BH487"/>
  <c r="BG487"/>
  <c r="BF487"/>
  <c r="BE487"/>
  <c r="BD487"/>
  <c r="BC487"/>
  <c r="BB487"/>
  <c r="BA487" s="1"/>
  <c r="AZ487" s="1"/>
  <c r="AX487"/>
  <c r="AW487"/>
  <c r="AV487"/>
  <c r="AC487"/>
  <c r="H487"/>
  <c r="G487"/>
  <c r="BT486"/>
  <c r="BS486"/>
  <c r="BR486"/>
  <c r="BQ486"/>
  <c r="BP486"/>
  <c r="BO486"/>
  <c r="BN486"/>
  <c r="BM486"/>
  <c r="BL486" s="1"/>
  <c r="BK486"/>
  <c r="BJ486"/>
  <c r="BI486"/>
  <c r="BH486"/>
  <c r="BG486"/>
  <c r="BF486"/>
  <c r="BE486"/>
  <c r="BD486"/>
  <c r="BC486"/>
  <c r="BB486"/>
  <c r="BA486"/>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c r="BT484"/>
  <c r="BS484"/>
  <c r="BR484"/>
  <c r="BQ484"/>
  <c r="BP484"/>
  <c r="BO484"/>
  <c r="BN484"/>
  <c r="BM484"/>
  <c r="BL484" s="1"/>
  <c r="BK484"/>
  <c r="BJ484"/>
  <c r="BI484"/>
  <c r="BH484"/>
  <c r="BG484"/>
  <c r="BF484"/>
  <c r="BE484"/>
  <c r="BD484"/>
  <c r="BC484"/>
  <c r="BB484"/>
  <c r="BA484"/>
  <c r="AZ484" s="1"/>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G483"/>
  <c r="BT482"/>
  <c r="BS482"/>
  <c r="BR482"/>
  <c r="BQ482"/>
  <c r="BP482"/>
  <c r="BO482"/>
  <c r="BN482"/>
  <c r="BM482"/>
  <c r="BL482" s="1"/>
  <c r="BK482"/>
  <c r="BJ482"/>
  <c r="BI482"/>
  <c r="BH482"/>
  <c r="BG482"/>
  <c r="BF482"/>
  <c r="BE482"/>
  <c r="BD482"/>
  <c r="BC482"/>
  <c r="BB482"/>
  <c r="BA482"/>
  <c r="AX482"/>
  <c r="AW482"/>
  <c r="AV482"/>
  <c r="AC482"/>
  <c r="H482"/>
  <c r="G482" s="1"/>
  <c r="BT481"/>
  <c r="BS481"/>
  <c r="BR481"/>
  <c r="BQ481"/>
  <c r="BP481"/>
  <c r="BO481"/>
  <c r="BN481"/>
  <c r="BM481"/>
  <c r="BL481"/>
  <c r="BK481"/>
  <c r="BJ481"/>
  <c r="BI481"/>
  <c r="BH481"/>
  <c r="BG481"/>
  <c r="BF481"/>
  <c r="BE481"/>
  <c r="BD481"/>
  <c r="BC481"/>
  <c r="BB481"/>
  <c r="BA481" s="1"/>
  <c r="AZ481" s="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c r="BT478"/>
  <c r="BS478"/>
  <c r="BR478"/>
  <c r="BQ478"/>
  <c r="BP478"/>
  <c r="BO478"/>
  <c r="BN478"/>
  <c r="BM478"/>
  <c r="BL478" s="1"/>
  <c r="BK478"/>
  <c r="BJ478"/>
  <c r="BI478"/>
  <c r="BH478"/>
  <c r="BG478"/>
  <c r="BF478"/>
  <c r="BE478"/>
  <c r="BD478"/>
  <c r="BC478"/>
  <c r="BB478"/>
  <c r="BA478"/>
  <c r="AX478"/>
  <c r="AW478"/>
  <c r="AV478"/>
  <c r="AC478"/>
  <c r="H478"/>
  <c r="G478" s="1"/>
  <c r="BT477"/>
  <c r="BS477"/>
  <c r="BR477"/>
  <c r="BQ477"/>
  <c r="BP477"/>
  <c r="BO477"/>
  <c r="BN477"/>
  <c r="BM477"/>
  <c r="BL477"/>
  <c r="BK477"/>
  <c r="BJ477"/>
  <c r="BI477"/>
  <c r="BH477"/>
  <c r="BG477"/>
  <c r="BF477"/>
  <c r="BE477"/>
  <c r="BD477"/>
  <c r="BC477"/>
  <c r="BB477"/>
  <c r="BA477" s="1"/>
  <c r="AZ477" s="1"/>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Z469" s="1"/>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Z459" s="1"/>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Z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s="1"/>
  <c r="BT449"/>
  <c r="BS449"/>
  <c r="BR449"/>
  <c r="BQ449"/>
  <c r="BP449"/>
  <c r="BO449"/>
  <c r="BN449"/>
  <c r="BM449"/>
  <c r="BL449"/>
  <c r="BK449"/>
  <c r="BJ449"/>
  <c r="BI449"/>
  <c r="BH449"/>
  <c r="BG449"/>
  <c r="BF449"/>
  <c r="BE449"/>
  <c r="BD449"/>
  <c r="BC449"/>
  <c r="BB449"/>
  <c r="BA449" s="1"/>
  <c r="AZ449" s="1"/>
  <c r="AX449"/>
  <c r="AW449"/>
  <c r="AV449"/>
  <c r="AC449"/>
  <c r="H449"/>
  <c r="G449"/>
  <c r="BT448"/>
  <c r="BS448"/>
  <c r="BR448"/>
  <c r="BQ448"/>
  <c r="BP448"/>
  <c r="BO448"/>
  <c r="BN448"/>
  <c r="BM448"/>
  <c r="BL448" s="1"/>
  <c r="BK448"/>
  <c r="BJ448"/>
  <c r="BI448"/>
  <c r="BH448"/>
  <c r="BG448"/>
  <c r="BF448"/>
  <c r="BE448"/>
  <c r="BD448"/>
  <c r="BC448"/>
  <c r="BB448"/>
  <c r="BA448"/>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Z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s="1"/>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Z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s="1"/>
  <c r="BT433"/>
  <c r="BS433"/>
  <c r="BR433"/>
  <c r="BQ433"/>
  <c r="BP433"/>
  <c r="BO433"/>
  <c r="BN433"/>
  <c r="BM433"/>
  <c r="BL433"/>
  <c r="BK433"/>
  <c r="BJ433"/>
  <c r="BI433"/>
  <c r="BH433"/>
  <c r="BG433"/>
  <c r="BF433"/>
  <c r="BE433"/>
  <c r="BD433"/>
  <c r="BC433"/>
  <c r="BB433"/>
  <c r="BA433" s="1"/>
  <c r="AZ433" s="1"/>
  <c r="AX433"/>
  <c r="AW433"/>
  <c r="AV433"/>
  <c r="AC433"/>
  <c r="H433"/>
  <c r="G433"/>
  <c r="BT432"/>
  <c r="BS432"/>
  <c r="BR432"/>
  <c r="BQ432"/>
  <c r="BP432"/>
  <c r="BO432"/>
  <c r="BN432"/>
  <c r="BM432"/>
  <c r="BL432" s="1"/>
  <c r="BK432"/>
  <c r="BJ432"/>
  <c r="BI432"/>
  <c r="BH432"/>
  <c r="BG432"/>
  <c r="BF432"/>
  <c r="BE432"/>
  <c r="BD432"/>
  <c r="BC432"/>
  <c r="BB432"/>
  <c r="BA432"/>
  <c r="AZ432" s="1"/>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Z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Z415" s="1"/>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Z412" s="1"/>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Z408" s="1"/>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Z403" s="1"/>
  <c r="AX403"/>
  <c r="AW403"/>
  <c r="AV403"/>
  <c r="AC403"/>
  <c r="H403"/>
  <c r="G403"/>
  <c r="BT402"/>
  <c r="BS402"/>
  <c r="BR402"/>
  <c r="BQ402"/>
  <c r="BP402"/>
  <c r="BO402"/>
  <c r="BN402"/>
  <c r="BM402"/>
  <c r="BL402" s="1"/>
  <c r="BK402"/>
  <c r="BJ402"/>
  <c r="BI402"/>
  <c r="BH402"/>
  <c r="BG402"/>
  <c r="BF402"/>
  <c r="BE402"/>
  <c r="BD402"/>
  <c r="BC402"/>
  <c r="BB402"/>
  <c r="BA402"/>
  <c r="AX402"/>
  <c r="AW402"/>
  <c r="AV402"/>
  <c r="AC402"/>
  <c r="H402"/>
  <c r="G402" s="1"/>
  <c r="BT401"/>
  <c r="BS401"/>
  <c r="BR401"/>
  <c r="BQ401"/>
  <c r="BP401"/>
  <c r="BO401"/>
  <c r="BN401"/>
  <c r="BM401"/>
  <c r="BL401"/>
  <c r="BK401"/>
  <c r="BJ401"/>
  <c r="BI401"/>
  <c r="BH401"/>
  <c r="BG401"/>
  <c r="BF401"/>
  <c r="BE401"/>
  <c r="BD401"/>
  <c r="BC401"/>
  <c r="BB401"/>
  <c r="BA401" s="1"/>
  <c r="AZ401" s="1"/>
  <c r="AX401"/>
  <c r="AW401"/>
  <c r="AV401"/>
  <c r="AC401"/>
  <c r="H401"/>
  <c r="G401"/>
  <c r="BT400"/>
  <c r="BS400"/>
  <c r="BR400"/>
  <c r="BQ400"/>
  <c r="BP400"/>
  <c r="BO400"/>
  <c r="BN400"/>
  <c r="BM400"/>
  <c r="BL400" s="1"/>
  <c r="BK400"/>
  <c r="BJ400"/>
  <c r="BI400"/>
  <c r="BH400"/>
  <c r="BG400"/>
  <c r="BF400"/>
  <c r="BE400"/>
  <c r="BD400"/>
  <c r="BC400"/>
  <c r="BB400"/>
  <c r="BA400"/>
  <c r="AZ400" s="1"/>
  <c r="AX400"/>
  <c r="AW400"/>
  <c r="AV400"/>
  <c r="AC400"/>
  <c r="H400"/>
  <c r="G400" s="1"/>
  <c r="BT399"/>
  <c r="BS399"/>
  <c r="BR399"/>
  <c r="BQ399"/>
  <c r="BP399"/>
  <c r="BO399"/>
  <c r="BN399"/>
  <c r="BM399"/>
  <c r="BL399"/>
  <c r="BK399"/>
  <c r="BJ399"/>
  <c r="BI399"/>
  <c r="BH399"/>
  <c r="BG399"/>
  <c r="BF399"/>
  <c r="BE399"/>
  <c r="BD399"/>
  <c r="BC399"/>
  <c r="BB399"/>
  <c r="BA399" s="1"/>
  <c r="AZ399" s="1"/>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Z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s="1"/>
  <c r="BT391"/>
  <c r="BS391"/>
  <c r="BR391"/>
  <c r="BQ391"/>
  <c r="BP391"/>
  <c r="BO391"/>
  <c r="BN391"/>
  <c r="BM391"/>
  <c r="BL391"/>
  <c r="BK391"/>
  <c r="BJ391"/>
  <c r="BI391"/>
  <c r="BH391"/>
  <c r="BG391"/>
  <c r="BF391"/>
  <c r="BE391"/>
  <c r="BD391"/>
  <c r="BC391"/>
  <c r="BB391"/>
  <c r="BA391" s="1"/>
  <c r="AZ391" s="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BT388"/>
  <c r="BS388"/>
  <c r="BR388"/>
  <c r="BQ388"/>
  <c r="BP388"/>
  <c r="BO388"/>
  <c r="BN388"/>
  <c r="BM388"/>
  <c r="BL388" s="1"/>
  <c r="BK388"/>
  <c r="BJ388"/>
  <c r="BI388"/>
  <c r="BH388"/>
  <c r="BG388"/>
  <c r="BF388"/>
  <c r="BE388"/>
  <c r="BD388"/>
  <c r="BC388"/>
  <c r="BB388"/>
  <c r="BA388"/>
  <c r="AZ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Z385" s="1"/>
  <c r="AX385"/>
  <c r="AW385"/>
  <c r="AV385"/>
  <c r="AC385"/>
  <c r="H385"/>
  <c r="G385"/>
  <c r="BT384"/>
  <c r="BS384"/>
  <c r="BR384"/>
  <c r="BQ384"/>
  <c r="BP384"/>
  <c r="BO384"/>
  <c r="BN384"/>
  <c r="BM384"/>
  <c r="BL384" s="1"/>
  <c r="BK384"/>
  <c r="BJ384"/>
  <c r="BI384"/>
  <c r="BH384"/>
  <c r="BG384"/>
  <c r="BF384"/>
  <c r="BE384"/>
  <c r="BD384"/>
  <c r="BC384"/>
  <c r="BB384"/>
  <c r="BA384"/>
  <c r="AZ384" s="1"/>
  <c r="AX384"/>
  <c r="AW384"/>
  <c r="AV384"/>
  <c r="AC384"/>
  <c r="H384"/>
  <c r="G384" s="1"/>
  <c r="BT383"/>
  <c r="BS383"/>
  <c r="BR383"/>
  <c r="BQ383"/>
  <c r="BP383"/>
  <c r="BO383"/>
  <c r="BN383"/>
  <c r="BM383"/>
  <c r="BL383"/>
  <c r="BK383"/>
  <c r="BJ383"/>
  <c r="BI383"/>
  <c r="BH383"/>
  <c r="BG383"/>
  <c r="BF383"/>
  <c r="BE383"/>
  <c r="BD383"/>
  <c r="BC383"/>
  <c r="BB383"/>
  <c r="BA383" s="1"/>
  <c r="AZ383" s="1"/>
  <c r="AX383"/>
  <c r="AW383"/>
  <c r="AV383"/>
  <c r="AC383"/>
  <c r="H383"/>
  <c r="G383"/>
  <c r="BT382"/>
  <c r="BS382"/>
  <c r="BR382"/>
  <c r="BQ382"/>
  <c r="BP382"/>
  <c r="BO382"/>
  <c r="BN382"/>
  <c r="BM382"/>
  <c r="BL382" s="1"/>
  <c r="BK382"/>
  <c r="BJ382"/>
  <c r="BI382"/>
  <c r="BH382"/>
  <c r="BG382"/>
  <c r="BF382"/>
  <c r="BE382"/>
  <c r="BD382"/>
  <c r="BC382"/>
  <c r="BB382"/>
  <c r="BA382"/>
  <c r="AX382"/>
  <c r="AW382"/>
  <c r="AV382"/>
  <c r="AC382"/>
  <c r="H382"/>
  <c r="G382" s="1"/>
  <c r="BT381"/>
  <c r="BS381"/>
  <c r="BR381"/>
  <c r="BQ381"/>
  <c r="BP381"/>
  <c r="BO381"/>
  <c r="BN381"/>
  <c r="BM381"/>
  <c r="BL381"/>
  <c r="BK381"/>
  <c r="BJ381"/>
  <c r="BI381"/>
  <c r="BH381"/>
  <c r="BG381"/>
  <c r="BF381"/>
  <c r="BE381"/>
  <c r="BD381"/>
  <c r="BC381"/>
  <c r="BB381"/>
  <c r="BA381" s="1"/>
  <c r="AZ381" s="1"/>
  <c r="AX381"/>
  <c r="AW381"/>
  <c r="AV381"/>
  <c r="AC381"/>
  <c r="H381"/>
  <c r="G381"/>
  <c r="BT380"/>
  <c r="BS380"/>
  <c r="BR380"/>
  <c r="BQ380"/>
  <c r="BP380"/>
  <c r="BO380"/>
  <c r="BN380"/>
  <c r="BM380"/>
  <c r="BL380" s="1"/>
  <c r="BK380"/>
  <c r="BJ380"/>
  <c r="BI380"/>
  <c r="BH380"/>
  <c r="BG380"/>
  <c r="BF380"/>
  <c r="BE380"/>
  <c r="BD380"/>
  <c r="BC380"/>
  <c r="BB380"/>
  <c r="BA380"/>
  <c r="AZ380" s="1"/>
  <c r="AX380"/>
  <c r="AW380"/>
  <c r="AV380"/>
  <c r="AC380"/>
  <c r="H380"/>
  <c r="G380" s="1"/>
  <c r="BT379"/>
  <c r="BS379"/>
  <c r="BR379"/>
  <c r="BQ379"/>
  <c r="BP379"/>
  <c r="BO379"/>
  <c r="BN379"/>
  <c r="BM379"/>
  <c r="BL379"/>
  <c r="BK379"/>
  <c r="BJ379"/>
  <c r="BI379"/>
  <c r="BH379"/>
  <c r="BG379"/>
  <c r="BF379"/>
  <c r="BE379"/>
  <c r="BD379"/>
  <c r="BC379"/>
  <c r="BB379"/>
  <c r="BA379" s="1"/>
  <c r="AZ379" s="1"/>
  <c r="AX379"/>
  <c r="AW379"/>
  <c r="AV379"/>
  <c r="AC379"/>
  <c r="H379"/>
  <c r="G379"/>
  <c r="BT378"/>
  <c r="BS378"/>
  <c r="BR378"/>
  <c r="BQ378"/>
  <c r="BP378"/>
  <c r="BO378"/>
  <c r="BN378"/>
  <c r="BM378"/>
  <c r="BL378" s="1"/>
  <c r="BK378"/>
  <c r="BJ378"/>
  <c r="BI378"/>
  <c r="BH378"/>
  <c r="BG378"/>
  <c r="BF378"/>
  <c r="BE378"/>
  <c r="BD378"/>
  <c r="BC378"/>
  <c r="BB378"/>
  <c r="BA378"/>
  <c r="AX378"/>
  <c r="AW378"/>
  <c r="AV378"/>
  <c r="AC378"/>
  <c r="H378"/>
  <c r="G378" s="1"/>
  <c r="BT377"/>
  <c r="BS377"/>
  <c r="BR377"/>
  <c r="BQ377"/>
  <c r="BP377"/>
  <c r="BO377"/>
  <c r="BN377"/>
  <c r="BM377"/>
  <c r="BL377"/>
  <c r="BK377"/>
  <c r="BJ377"/>
  <c r="BI377"/>
  <c r="BH377"/>
  <c r="BG377"/>
  <c r="BF377"/>
  <c r="BE377"/>
  <c r="BD377"/>
  <c r="BC377"/>
  <c r="BB377"/>
  <c r="BA377" s="1"/>
  <c r="AZ377" s="1"/>
  <c r="AX377"/>
  <c r="AW377"/>
  <c r="AV377"/>
  <c r="AC377"/>
  <c r="H377"/>
  <c r="G377"/>
  <c r="BT376"/>
  <c r="BS376"/>
  <c r="BR376"/>
  <c r="BQ376"/>
  <c r="BP376"/>
  <c r="BO376"/>
  <c r="BN376"/>
  <c r="BM376"/>
  <c r="BL376" s="1"/>
  <c r="BK376"/>
  <c r="BJ376"/>
  <c r="BI376"/>
  <c r="BH376"/>
  <c r="BG376"/>
  <c r="BF376"/>
  <c r="BE376"/>
  <c r="BD376"/>
  <c r="BC376"/>
  <c r="BB376"/>
  <c r="BA376"/>
  <c r="AZ376" s="1"/>
  <c r="AX376"/>
  <c r="AW376"/>
  <c r="AV376"/>
  <c r="AC376"/>
  <c r="H376"/>
  <c r="G376" s="1"/>
  <c r="BT375"/>
  <c r="BS375"/>
  <c r="BR375"/>
  <c r="BQ375"/>
  <c r="BP375"/>
  <c r="BO375"/>
  <c r="BN375"/>
  <c r="BM375"/>
  <c r="BL375"/>
  <c r="BK375"/>
  <c r="BJ375"/>
  <c r="BI375"/>
  <c r="BH375"/>
  <c r="BG375"/>
  <c r="BF375"/>
  <c r="BE375"/>
  <c r="BD375"/>
  <c r="BC375"/>
  <c r="BB375"/>
  <c r="BA375" s="1"/>
  <c r="AZ375" s="1"/>
  <c r="AX375"/>
  <c r="AW375"/>
  <c r="AV375"/>
  <c r="AC375"/>
  <c r="H375"/>
  <c r="G375"/>
  <c r="BT374"/>
  <c r="BS374"/>
  <c r="BR374"/>
  <c r="BQ374"/>
  <c r="BP374"/>
  <c r="BO374"/>
  <c r="BN374"/>
  <c r="BM374"/>
  <c r="BL374" s="1"/>
  <c r="BK374"/>
  <c r="BJ374"/>
  <c r="BI374"/>
  <c r="BH374"/>
  <c r="BG374"/>
  <c r="BF374"/>
  <c r="BE374"/>
  <c r="BD374"/>
  <c r="BC374"/>
  <c r="BB374"/>
  <c r="BA374"/>
  <c r="AX374"/>
  <c r="AW374"/>
  <c r="AV374"/>
  <c r="AC374"/>
  <c r="H374"/>
  <c r="G374" s="1"/>
  <c r="BT373"/>
  <c r="BS373"/>
  <c r="BR373"/>
  <c r="BQ373"/>
  <c r="BP373"/>
  <c r="BO373"/>
  <c r="BN373"/>
  <c r="BM373"/>
  <c r="BL373"/>
  <c r="BK373"/>
  <c r="BJ373"/>
  <c r="BI373"/>
  <c r="BH373"/>
  <c r="BG373"/>
  <c r="BF373"/>
  <c r="BE373"/>
  <c r="BD373"/>
  <c r="BC373"/>
  <c r="BB373"/>
  <c r="BA373" s="1"/>
  <c r="AZ373" s="1"/>
  <c r="AX373"/>
  <c r="AW373"/>
  <c r="AV373"/>
  <c r="AC373"/>
  <c r="H373"/>
  <c r="G373"/>
  <c r="BT372"/>
  <c r="BS372"/>
  <c r="BR372"/>
  <c r="BQ372"/>
  <c r="BP372"/>
  <c r="BO372"/>
  <c r="BN372"/>
  <c r="BM372"/>
  <c r="BL372" s="1"/>
  <c r="BK372"/>
  <c r="BJ372"/>
  <c r="BI372"/>
  <c r="BH372"/>
  <c r="BG372"/>
  <c r="BF372"/>
  <c r="BE372"/>
  <c r="BD372"/>
  <c r="BC372"/>
  <c r="BB372"/>
  <c r="BA372"/>
  <c r="AZ372" s="1"/>
  <c r="AX372"/>
  <c r="AW372"/>
  <c r="AV372"/>
  <c r="AC372"/>
  <c r="H372"/>
  <c r="G372" s="1"/>
  <c r="BT371"/>
  <c r="BS371"/>
  <c r="BR371"/>
  <c r="BQ371"/>
  <c r="BP371"/>
  <c r="BO371"/>
  <c r="BN371"/>
  <c r="BM371"/>
  <c r="BL371"/>
  <c r="BK371"/>
  <c r="BJ371"/>
  <c r="BI371"/>
  <c r="BH371"/>
  <c r="BG371"/>
  <c r="BF371"/>
  <c r="BE371"/>
  <c r="BD371"/>
  <c r="BC371"/>
  <c r="BB371"/>
  <c r="BA371" s="1"/>
  <c r="AZ371" s="1"/>
  <c r="AX371"/>
  <c r="AW371"/>
  <c r="AV371"/>
  <c r="AC371"/>
  <c r="H371"/>
  <c r="G371"/>
  <c r="BT370"/>
  <c r="BS370"/>
  <c r="BR370"/>
  <c r="BQ370"/>
  <c r="BP370"/>
  <c r="BO370"/>
  <c r="BN370"/>
  <c r="BM370"/>
  <c r="BL370" s="1"/>
  <c r="BK370"/>
  <c r="BJ370"/>
  <c r="BI370"/>
  <c r="BH370"/>
  <c r="BG370"/>
  <c r="BF370"/>
  <c r="BE370"/>
  <c r="BD370"/>
  <c r="BC370"/>
  <c r="BB370"/>
  <c r="BA370"/>
  <c r="AX370"/>
  <c r="AW370"/>
  <c r="AV370"/>
  <c r="AC370"/>
  <c r="H370"/>
  <c r="G370" s="1"/>
  <c r="BT369"/>
  <c r="BS369"/>
  <c r="BR369"/>
  <c r="BQ369"/>
  <c r="BP369"/>
  <c r="BO369"/>
  <c r="BN369"/>
  <c r="BM369"/>
  <c r="BL369"/>
  <c r="BK369"/>
  <c r="BJ369"/>
  <c r="BI369"/>
  <c r="BH369"/>
  <c r="BG369"/>
  <c r="BF369"/>
  <c r="BE369"/>
  <c r="BD369"/>
  <c r="BC369"/>
  <c r="BB369"/>
  <c r="BA369" s="1"/>
  <c r="AZ369" s="1"/>
  <c r="AX369"/>
  <c r="AW369"/>
  <c r="AV369"/>
  <c r="AC369"/>
  <c r="H369"/>
  <c r="G369"/>
  <c r="BT368"/>
  <c r="BS368"/>
  <c r="BR368"/>
  <c r="BQ368"/>
  <c r="BP368"/>
  <c r="BO368"/>
  <c r="BN368"/>
  <c r="BM368"/>
  <c r="BL368" s="1"/>
  <c r="BK368"/>
  <c r="BJ368"/>
  <c r="BI368"/>
  <c r="BH368"/>
  <c r="BG368"/>
  <c r="BF368"/>
  <c r="BE368"/>
  <c r="BD368"/>
  <c r="BC368"/>
  <c r="BB368"/>
  <c r="BA368"/>
  <c r="AZ368" s="1"/>
  <c r="AX368"/>
  <c r="AW368"/>
  <c r="AV368"/>
  <c r="AC368"/>
  <c r="H368"/>
  <c r="G368" s="1"/>
  <c r="BT367"/>
  <c r="BS367"/>
  <c r="BR367"/>
  <c r="BQ367"/>
  <c r="BP367"/>
  <c r="BO367"/>
  <c r="BN367"/>
  <c r="BM367"/>
  <c r="BL367"/>
  <c r="BK367"/>
  <c r="BJ367"/>
  <c r="BI367"/>
  <c r="BH367"/>
  <c r="BG367"/>
  <c r="BF367"/>
  <c r="BE367"/>
  <c r="BD367"/>
  <c r="BC367"/>
  <c r="BB367"/>
  <c r="BA367" s="1"/>
  <c r="AZ367" s="1"/>
  <c r="AX367"/>
  <c r="AW367"/>
  <c r="AV367"/>
  <c r="AC367"/>
  <c r="H367"/>
  <c r="G367"/>
  <c r="BT366"/>
  <c r="BS366"/>
  <c r="BR366"/>
  <c r="BQ366"/>
  <c r="BP366"/>
  <c r="BO366"/>
  <c r="BN366"/>
  <c r="BM366"/>
  <c r="BL366" s="1"/>
  <c r="BK366"/>
  <c r="BJ366"/>
  <c r="BI366"/>
  <c r="BH366"/>
  <c r="BG366"/>
  <c r="BF366"/>
  <c r="BE366"/>
  <c r="BD366"/>
  <c r="BC366"/>
  <c r="BB366"/>
  <c r="BA366"/>
  <c r="AX366"/>
  <c r="AW366"/>
  <c r="AV366"/>
  <c r="AC366"/>
  <c r="H366"/>
  <c r="G366" s="1"/>
  <c r="BT365"/>
  <c r="BS365"/>
  <c r="BR365"/>
  <c r="BQ365"/>
  <c r="BP365"/>
  <c r="BO365"/>
  <c r="BN365"/>
  <c r="BM365"/>
  <c r="BL365"/>
  <c r="BK365"/>
  <c r="BJ365"/>
  <c r="BI365"/>
  <c r="BH365"/>
  <c r="BG365"/>
  <c r="BF365"/>
  <c r="BE365"/>
  <c r="BD365"/>
  <c r="BC365"/>
  <c r="BB365"/>
  <c r="BA365" s="1"/>
  <c r="AZ365" s="1"/>
  <c r="AX365"/>
  <c r="AW365"/>
  <c r="AV365"/>
  <c r="AC365"/>
  <c r="H365"/>
  <c r="G365"/>
  <c r="BT364"/>
  <c r="BS364"/>
  <c r="BR364"/>
  <c r="BQ364"/>
  <c r="BP364"/>
  <c r="BO364"/>
  <c r="BN364"/>
  <c r="BM364"/>
  <c r="BL364" s="1"/>
  <c r="BK364"/>
  <c r="BJ364"/>
  <c r="BI364"/>
  <c r="BH364"/>
  <c r="BG364"/>
  <c r="BF364"/>
  <c r="BE364"/>
  <c r="BD364"/>
  <c r="BC364"/>
  <c r="BB364"/>
  <c r="BA364"/>
  <c r="AZ364" s="1"/>
  <c r="AX364"/>
  <c r="AW364"/>
  <c r="AV364"/>
  <c r="AC364"/>
  <c r="H364"/>
  <c r="G364" s="1"/>
  <c r="BT363"/>
  <c r="BS363"/>
  <c r="BR363"/>
  <c r="BQ363"/>
  <c r="BP363"/>
  <c r="BO363"/>
  <c r="BN363"/>
  <c r="BM363"/>
  <c r="BL363"/>
  <c r="BK363"/>
  <c r="BJ363"/>
  <c r="BI363"/>
  <c r="BH363"/>
  <c r="BG363"/>
  <c r="BF363"/>
  <c r="BE363"/>
  <c r="BD363"/>
  <c r="BC363"/>
  <c r="BB363"/>
  <c r="BA363" s="1"/>
  <c r="AZ363" s="1"/>
  <c r="AX363"/>
  <c r="AW363"/>
  <c r="AV363"/>
  <c r="AC363"/>
  <c r="H363"/>
  <c r="G363"/>
  <c r="BT362"/>
  <c r="BS362"/>
  <c r="BR362"/>
  <c r="BQ362"/>
  <c r="BP362"/>
  <c r="BO362"/>
  <c r="BN362"/>
  <c r="BM362"/>
  <c r="BL362" s="1"/>
  <c r="BK362"/>
  <c r="BJ362"/>
  <c r="BI362"/>
  <c r="BH362"/>
  <c r="BG362"/>
  <c r="BF362"/>
  <c r="BE362"/>
  <c r="BD362"/>
  <c r="BC362"/>
  <c r="BB362"/>
  <c r="BA362"/>
  <c r="AX362"/>
  <c r="AW362"/>
  <c r="AV362"/>
  <c r="AC362"/>
  <c r="H362"/>
  <c r="G362" s="1"/>
  <c r="BT361"/>
  <c r="BS361"/>
  <c r="BR361"/>
  <c r="BQ361"/>
  <c r="BP361"/>
  <c r="BO361"/>
  <c r="BN361"/>
  <c r="BM361"/>
  <c r="BL361"/>
  <c r="BK361"/>
  <c r="BJ361"/>
  <c r="BI361"/>
  <c r="BH361"/>
  <c r="BG361"/>
  <c r="BF361"/>
  <c r="BE361"/>
  <c r="BD361"/>
  <c r="BC361"/>
  <c r="BB361"/>
  <c r="BA361" s="1"/>
  <c r="AZ361" s="1"/>
  <c r="AX361"/>
  <c r="AW361"/>
  <c r="AV361"/>
  <c r="AC361"/>
  <c r="H361"/>
  <c r="G361"/>
  <c r="BT360"/>
  <c r="BS360"/>
  <c r="BR360"/>
  <c r="BQ360"/>
  <c r="BP360"/>
  <c r="BO360"/>
  <c r="BN360"/>
  <c r="BM360"/>
  <c r="BL360" s="1"/>
  <c r="BK360"/>
  <c r="BJ360"/>
  <c r="BI360"/>
  <c r="BH360"/>
  <c r="BG360"/>
  <c r="BF360"/>
  <c r="BE360"/>
  <c r="BD360"/>
  <c r="BC360"/>
  <c r="BB360"/>
  <c r="BA360"/>
  <c r="AZ360" s="1"/>
  <c r="AX360"/>
  <c r="AW360"/>
  <c r="AV360"/>
  <c r="AC360"/>
  <c r="H360"/>
  <c r="G360" s="1"/>
  <c r="BT359"/>
  <c r="BS359"/>
  <c r="BR359"/>
  <c r="BQ359"/>
  <c r="BP359"/>
  <c r="BO359"/>
  <c r="BN359"/>
  <c r="BM359"/>
  <c r="BL359"/>
  <c r="BK359"/>
  <c r="BJ359"/>
  <c r="BI359"/>
  <c r="BH359"/>
  <c r="BG359"/>
  <c r="BF359"/>
  <c r="BE359"/>
  <c r="BD359"/>
  <c r="BC359"/>
  <c r="BB359"/>
  <c r="BA359" s="1"/>
  <c r="AZ359" s="1"/>
  <c r="AX359"/>
  <c r="AW359"/>
  <c r="AV359"/>
  <c r="AC359"/>
  <c r="H359"/>
  <c r="G359"/>
  <c r="BT358"/>
  <c r="BS358"/>
  <c r="BR358"/>
  <c r="BQ358"/>
  <c r="BP358"/>
  <c r="BO358"/>
  <c r="BN358"/>
  <c r="BM358"/>
  <c r="BL358" s="1"/>
  <c r="BK358"/>
  <c r="BJ358"/>
  <c r="BI358"/>
  <c r="BH358"/>
  <c r="BG358"/>
  <c r="BF358"/>
  <c r="BE358"/>
  <c r="BD358"/>
  <c r="BC358"/>
  <c r="BB358"/>
  <c r="BA358"/>
  <c r="AX358"/>
  <c r="AW358"/>
  <c r="AV358"/>
  <c r="AC358"/>
  <c r="H358"/>
  <c r="G358" s="1"/>
  <c r="BT357"/>
  <c r="BS357"/>
  <c r="BR357"/>
  <c r="BQ357"/>
  <c r="BP357"/>
  <c r="BO357"/>
  <c r="BN357"/>
  <c r="BM357"/>
  <c r="BL357"/>
  <c r="BK357"/>
  <c r="BJ357"/>
  <c r="BI357"/>
  <c r="BH357"/>
  <c r="BG357"/>
  <c r="BF357"/>
  <c r="BE357"/>
  <c r="BD357"/>
  <c r="BC357"/>
  <c r="BB357"/>
  <c r="BA357" s="1"/>
  <c r="AZ357" s="1"/>
  <c r="AX357"/>
  <c r="AW357"/>
  <c r="AV357"/>
  <c r="AC357"/>
  <c r="H357"/>
  <c r="G357"/>
  <c r="BT356"/>
  <c r="BS356"/>
  <c r="BR356"/>
  <c r="BQ356"/>
  <c r="BP356"/>
  <c r="BO356"/>
  <c r="BN356"/>
  <c r="BM356"/>
  <c r="BL356" s="1"/>
  <c r="BK356"/>
  <c r="BJ356"/>
  <c r="BI356"/>
  <c r="BH356"/>
  <c r="BG356"/>
  <c r="BF356"/>
  <c r="BE356"/>
  <c r="BD356"/>
  <c r="BC356"/>
  <c r="BB356"/>
  <c r="BA356"/>
  <c r="AZ356" s="1"/>
  <c r="AX356"/>
  <c r="AW356"/>
  <c r="AV356"/>
  <c r="AC356"/>
  <c r="H356"/>
  <c r="G356" s="1"/>
  <c r="BT355"/>
  <c r="BS355"/>
  <c r="BR355"/>
  <c r="BQ355"/>
  <c r="BP355"/>
  <c r="BO355"/>
  <c r="BN355"/>
  <c r="BM355"/>
  <c r="BL355"/>
  <c r="BK355"/>
  <c r="BJ355"/>
  <c r="BI355"/>
  <c r="BH355"/>
  <c r="BG355"/>
  <c r="BF355"/>
  <c r="BE355"/>
  <c r="BD355"/>
  <c r="BC355"/>
  <c r="BB355"/>
  <c r="BA355" s="1"/>
  <c r="AZ355" s="1"/>
  <c r="AX355"/>
  <c r="AW355"/>
  <c r="AV355"/>
  <c r="AC355"/>
  <c r="H355"/>
  <c r="G355"/>
  <c r="BT354"/>
  <c r="BS354"/>
  <c r="BR354"/>
  <c r="BQ354"/>
  <c r="BP354"/>
  <c r="BO354"/>
  <c r="BN354"/>
  <c r="BM354"/>
  <c r="BL354" s="1"/>
  <c r="BK354"/>
  <c r="BJ354"/>
  <c r="BI354"/>
  <c r="BH354"/>
  <c r="BG354"/>
  <c r="BF354"/>
  <c r="BE354"/>
  <c r="BD354"/>
  <c r="BC354"/>
  <c r="BB354"/>
  <c r="BA354"/>
  <c r="AX354"/>
  <c r="AW354"/>
  <c r="AV354"/>
  <c r="AC354"/>
  <c r="H354"/>
  <c r="G354" s="1"/>
  <c r="BT353"/>
  <c r="BS353"/>
  <c r="BR353"/>
  <c r="BQ353"/>
  <c r="BP353"/>
  <c r="BO353"/>
  <c r="BN353"/>
  <c r="BM353"/>
  <c r="BL353"/>
  <c r="BK353"/>
  <c r="BJ353"/>
  <c r="BI353"/>
  <c r="BH353"/>
  <c r="BG353"/>
  <c r="BF353"/>
  <c r="BE353"/>
  <c r="BD353"/>
  <c r="BC353"/>
  <c r="BB353"/>
  <c r="BA353" s="1"/>
  <c r="AZ353" s="1"/>
  <c r="AX353"/>
  <c r="AW353"/>
  <c r="AV353"/>
  <c r="AC353"/>
  <c r="H353"/>
  <c r="G353"/>
  <c r="BT352"/>
  <c r="BS352"/>
  <c r="BR352"/>
  <c r="BQ352"/>
  <c r="BP352"/>
  <c r="BO352"/>
  <c r="BN352"/>
  <c r="BM352"/>
  <c r="BL352" s="1"/>
  <c r="BK352"/>
  <c r="BJ352"/>
  <c r="BI352"/>
  <c r="BH352"/>
  <c r="BG352"/>
  <c r="BF352"/>
  <c r="BE352"/>
  <c r="BD352"/>
  <c r="BC352"/>
  <c r="BB352"/>
  <c r="BA352"/>
  <c r="AZ352" s="1"/>
  <c r="AX352"/>
  <c r="AW352"/>
  <c r="AV352"/>
  <c r="AC352"/>
  <c r="H352"/>
  <c r="G352" s="1"/>
  <c r="BT351"/>
  <c r="BS351"/>
  <c r="BR351"/>
  <c r="BQ351"/>
  <c r="BP351"/>
  <c r="BO351"/>
  <c r="BN351"/>
  <c r="BM351"/>
  <c r="BL351"/>
  <c r="BK351"/>
  <c r="BJ351"/>
  <c r="BI351"/>
  <c r="BH351"/>
  <c r="BG351"/>
  <c r="BF351"/>
  <c r="BE351"/>
  <c r="BD351"/>
  <c r="BC351"/>
  <c r="BB351"/>
  <c r="BA351" s="1"/>
  <c r="AZ351" s="1"/>
  <c r="AX351"/>
  <c r="AW351"/>
  <c r="AV351"/>
  <c r="AC351"/>
  <c r="H351"/>
  <c r="G351"/>
  <c r="BT350"/>
  <c r="BS350"/>
  <c r="BR350"/>
  <c r="BQ350"/>
  <c r="BP350"/>
  <c r="BO350"/>
  <c r="BN350"/>
  <c r="BM350"/>
  <c r="BL350" s="1"/>
  <c r="BK350"/>
  <c r="BJ350"/>
  <c r="BI350"/>
  <c r="BH350"/>
  <c r="BG350"/>
  <c r="BF350"/>
  <c r="BE350"/>
  <c r="BD350"/>
  <c r="BC350"/>
  <c r="BB350"/>
  <c r="BA350"/>
  <c r="AX350"/>
  <c r="AW350"/>
  <c r="AV350"/>
  <c r="AC350"/>
  <c r="H350"/>
  <c r="G350" s="1"/>
  <c r="BT349"/>
  <c r="BS349"/>
  <c r="BR349"/>
  <c r="BQ349"/>
  <c r="BP349"/>
  <c r="BO349"/>
  <c r="BN349"/>
  <c r="BM349"/>
  <c r="BL349"/>
  <c r="BK349"/>
  <c r="BJ349"/>
  <c r="BI349"/>
  <c r="BH349"/>
  <c r="BG349"/>
  <c r="BF349"/>
  <c r="BE349"/>
  <c r="BD349"/>
  <c r="BC349"/>
  <c r="BB349"/>
  <c r="BA349" s="1"/>
  <c r="AZ349" s="1"/>
  <c r="AX349"/>
  <c r="AW349"/>
  <c r="AV349"/>
  <c r="AC349"/>
  <c r="H349"/>
  <c r="G349"/>
  <c r="BT348"/>
  <c r="BS348"/>
  <c r="BR348"/>
  <c r="BQ348"/>
  <c r="BP348"/>
  <c r="BO348"/>
  <c r="BN348"/>
  <c r="BM348"/>
  <c r="BL348" s="1"/>
  <c r="BK348"/>
  <c r="BJ348"/>
  <c r="BI348"/>
  <c r="BH348"/>
  <c r="BG348"/>
  <c r="BF348"/>
  <c r="BE348"/>
  <c r="BD348"/>
  <c r="BC348"/>
  <c r="BB348"/>
  <c r="BA348"/>
  <c r="AZ348" s="1"/>
  <c r="AX348"/>
  <c r="AW348"/>
  <c r="AV348"/>
  <c r="AC348"/>
  <c r="H348"/>
  <c r="G348" s="1"/>
  <c r="BT347"/>
  <c r="BS347"/>
  <c r="BR347"/>
  <c r="BQ347"/>
  <c r="BP347"/>
  <c r="BO347"/>
  <c r="BN347"/>
  <c r="BM347"/>
  <c r="BL347"/>
  <c r="BK347"/>
  <c r="BJ347"/>
  <c r="BI347"/>
  <c r="BH347"/>
  <c r="BG347"/>
  <c r="BF347"/>
  <c r="BE347"/>
  <c r="BD347"/>
  <c r="BC347"/>
  <c r="BB347"/>
  <c r="BA347" s="1"/>
  <c r="AZ347" s="1"/>
  <c r="AX347"/>
  <c r="AW347"/>
  <c r="AV347"/>
  <c r="AC347"/>
  <c r="H347"/>
  <c r="G347"/>
  <c r="BT346"/>
  <c r="BS346"/>
  <c r="BR346"/>
  <c r="BQ346"/>
  <c r="BP346"/>
  <c r="BO346"/>
  <c r="BN346"/>
  <c r="BM346"/>
  <c r="BL346" s="1"/>
  <c r="BK346"/>
  <c r="BJ346"/>
  <c r="BI346"/>
  <c r="BH346"/>
  <c r="BG346"/>
  <c r="BF346"/>
  <c r="BE346"/>
  <c r="BD346"/>
  <c r="BC346"/>
  <c r="BB346"/>
  <c r="BA346"/>
  <c r="AX346"/>
  <c r="AW346"/>
  <c r="AV346"/>
  <c r="AC346"/>
  <c r="H346"/>
  <c r="G346" s="1"/>
  <c r="BT345"/>
  <c r="BS345"/>
  <c r="BR345"/>
  <c r="BQ345"/>
  <c r="BP345"/>
  <c r="BO345"/>
  <c r="BN345"/>
  <c r="BM345"/>
  <c r="BL345"/>
  <c r="BK345"/>
  <c r="BJ345"/>
  <c r="BI345"/>
  <c r="BH345"/>
  <c r="BG345"/>
  <c r="BF345"/>
  <c r="BE345"/>
  <c r="BD345"/>
  <c r="BC345"/>
  <c r="BB345"/>
  <c r="BA345" s="1"/>
  <c r="AZ345" s="1"/>
  <c r="AX345"/>
  <c r="AW345"/>
  <c r="AV345"/>
  <c r="AC345"/>
  <c r="H345"/>
  <c r="G345"/>
  <c r="BT344"/>
  <c r="BS344"/>
  <c r="BR344"/>
  <c r="BQ344"/>
  <c r="BP344"/>
  <c r="BO344"/>
  <c r="BN344"/>
  <c r="BM344"/>
  <c r="BL344" s="1"/>
  <c r="BK344"/>
  <c r="BJ344"/>
  <c r="BI344"/>
  <c r="BH344"/>
  <c r="BG344"/>
  <c r="BF344"/>
  <c r="BE344"/>
  <c r="BD344"/>
  <c r="BC344"/>
  <c r="BB344"/>
  <c r="BA344"/>
  <c r="AZ344" s="1"/>
  <c r="AX344"/>
  <c r="AW344"/>
  <c r="AV344"/>
  <c r="AC344"/>
  <c r="H344"/>
  <c r="G344" s="1"/>
  <c r="BT343"/>
  <c r="BS343"/>
  <c r="BR343"/>
  <c r="BQ343"/>
  <c r="BP343"/>
  <c r="BO343"/>
  <c r="BN343"/>
  <c r="BM343"/>
  <c r="BL343"/>
  <c r="BK343"/>
  <c r="BJ343"/>
  <c r="BI343"/>
  <c r="BH343"/>
  <c r="BG343"/>
  <c r="BF343"/>
  <c r="BE343"/>
  <c r="BD343"/>
  <c r="BC343"/>
  <c r="BB343"/>
  <c r="BA343" s="1"/>
  <c r="AZ343" s="1"/>
  <c r="AX343"/>
  <c r="AW343"/>
  <c r="AV343"/>
  <c r="AC343"/>
  <c r="H343"/>
  <c r="G343"/>
  <c r="BT342"/>
  <c r="BS342"/>
  <c r="BR342"/>
  <c r="BQ342"/>
  <c r="BP342"/>
  <c r="BO342"/>
  <c r="BN342"/>
  <c r="BM342"/>
  <c r="BL342" s="1"/>
  <c r="BK342"/>
  <c r="BJ342"/>
  <c r="BI342"/>
  <c r="BH342"/>
  <c r="BG342"/>
  <c r="BF342"/>
  <c r="BE342"/>
  <c r="BD342"/>
  <c r="BC342"/>
  <c r="BB342"/>
  <c r="BA342"/>
  <c r="AX342"/>
  <c r="AW342"/>
  <c r="AV342"/>
  <c r="AC342"/>
  <c r="H342"/>
  <c r="G342" s="1"/>
  <c r="BT341"/>
  <c r="BS341"/>
  <c r="BR341"/>
  <c r="BQ341"/>
  <c r="BP341"/>
  <c r="BO341"/>
  <c r="BN341"/>
  <c r="BM341"/>
  <c r="BL341"/>
  <c r="BK341"/>
  <c r="BJ341"/>
  <c r="BI341"/>
  <c r="BH341"/>
  <c r="BG341"/>
  <c r="BF341"/>
  <c r="BE341"/>
  <c r="BD341"/>
  <c r="BC341"/>
  <c r="BB341"/>
  <c r="BA341" s="1"/>
  <c r="AZ341" s="1"/>
  <c r="AX341"/>
  <c r="AW341"/>
  <c r="AV341"/>
  <c r="AC341"/>
  <c r="H341"/>
  <c r="G341"/>
  <c r="BT340"/>
  <c r="BS340"/>
  <c r="BR340"/>
  <c r="BQ340"/>
  <c r="BP340"/>
  <c r="BO340"/>
  <c r="BN340"/>
  <c r="BM340"/>
  <c r="BL340" s="1"/>
  <c r="BK340"/>
  <c r="BJ340"/>
  <c r="BI340"/>
  <c r="BH340"/>
  <c r="BG340"/>
  <c r="BF340"/>
  <c r="BE340"/>
  <c r="BD340"/>
  <c r="BC340"/>
  <c r="BB340"/>
  <c r="BA340"/>
  <c r="AZ340" s="1"/>
  <c r="AX340"/>
  <c r="AW340"/>
  <c r="AV340"/>
  <c r="AC340"/>
  <c r="H340"/>
  <c r="G340" s="1"/>
  <c r="BT339"/>
  <c r="BS339"/>
  <c r="BR339"/>
  <c r="BQ339"/>
  <c r="BP339"/>
  <c r="BO339"/>
  <c r="BN339"/>
  <c r="BM339"/>
  <c r="BL339"/>
  <c r="BK339"/>
  <c r="BJ339"/>
  <c r="BI339"/>
  <c r="BH339"/>
  <c r="BG339"/>
  <c r="BF339"/>
  <c r="BE339"/>
  <c r="BD339"/>
  <c r="BC339"/>
  <c r="BB339"/>
  <c r="BA339" s="1"/>
  <c r="AZ339" s="1"/>
  <c r="AX339"/>
  <c r="AW339"/>
  <c r="AV339"/>
  <c r="AC339"/>
  <c r="H339"/>
  <c r="G339"/>
  <c r="BT338"/>
  <c r="BS338"/>
  <c r="BR338"/>
  <c r="BQ338"/>
  <c r="BP338"/>
  <c r="BO338"/>
  <c r="BN338"/>
  <c r="BM338"/>
  <c r="BL338" s="1"/>
  <c r="BK338"/>
  <c r="BJ338"/>
  <c r="BI338"/>
  <c r="BH338"/>
  <c r="BG338"/>
  <c r="BF338"/>
  <c r="BE338"/>
  <c r="BD338"/>
  <c r="BC338"/>
  <c r="BB338"/>
  <c r="BA338"/>
  <c r="AX338"/>
  <c r="AW338"/>
  <c r="AV338"/>
  <c r="AC338"/>
  <c r="H338"/>
  <c r="G338" s="1"/>
  <c r="BT337"/>
  <c r="BS337"/>
  <c r="BR337"/>
  <c r="BQ337"/>
  <c r="BP337"/>
  <c r="BO337"/>
  <c r="BN337"/>
  <c r="BM337"/>
  <c r="BL337"/>
  <c r="BK337"/>
  <c r="BJ337"/>
  <c r="BI337"/>
  <c r="BH337"/>
  <c r="BG337"/>
  <c r="BF337"/>
  <c r="BE337"/>
  <c r="BD337"/>
  <c r="BC337"/>
  <c r="BB337"/>
  <c r="BA337" s="1"/>
  <c r="AZ337" s="1"/>
  <c r="AX337"/>
  <c r="AW337"/>
  <c r="AV337"/>
  <c r="AC337"/>
  <c r="H337"/>
  <c r="G337"/>
  <c r="BT336"/>
  <c r="BS336"/>
  <c r="BR336"/>
  <c r="BQ336"/>
  <c r="BP336"/>
  <c r="BO336"/>
  <c r="BN336"/>
  <c r="BM336"/>
  <c r="BL336" s="1"/>
  <c r="BK336"/>
  <c r="BJ336"/>
  <c r="BI336"/>
  <c r="BH336"/>
  <c r="BG336"/>
  <c r="BF336"/>
  <c r="BE336"/>
  <c r="BD336"/>
  <c r="BC336"/>
  <c r="BB336"/>
  <c r="BA336"/>
  <c r="AZ336" s="1"/>
  <c r="AX336"/>
  <c r="AW336"/>
  <c r="AV336"/>
  <c r="AC336"/>
  <c r="H336"/>
  <c r="G336" s="1"/>
  <c r="BT335"/>
  <c r="BS335"/>
  <c r="BR335"/>
  <c r="BQ335"/>
  <c r="BP335"/>
  <c r="BO335"/>
  <c r="BN335"/>
  <c r="BM335"/>
  <c r="BL335"/>
  <c r="BK335"/>
  <c r="BJ335"/>
  <c r="BI335"/>
  <c r="BH335"/>
  <c r="BG335"/>
  <c r="BF335"/>
  <c r="BE335"/>
  <c r="BD335"/>
  <c r="BC335"/>
  <c r="BB335"/>
  <c r="BA335" s="1"/>
  <c r="AZ335" s="1"/>
  <c r="AX335"/>
  <c r="AW335"/>
  <c r="AV335"/>
  <c r="AC335"/>
  <c r="H335"/>
  <c r="G335"/>
  <c r="BT334"/>
  <c r="BS334"/>
  <c r="BR334"/>
  <c r="BQ334"/>
  <c r="BP334"/>
  <c r="BO334"/>
  <c r="BN334"/>
  <c r="BM334"/>
  <c r="BL334" s="1"/>
  <c r="BK334"/>
  <c r="BJ334"/>
  <c r="BI334"/>
  <c r="BH334"/>
  <c r="BG334"/>
  <c r="BF334"/>
  <c r="BE334"/>
  <c r="BD334"/>
  <c r="BC334"/>
  <c r="BB334"/>
  <c r="BA334"/>
  <c r="AX334"/>
  <c r="AW334"/>
  <c r="AV334"/>
  <c r="AC334"/>
  <c r="H334"/>
  <c r="G334" s="1"/>
  <c r="BT333"/>
  <c r="BS333"/>
  <c r="BR333"/>
  <c r="BQ333"/>
  <c r="BP333"/>
  <c r="BO333"/>
  <c r="BN333"/>
  <c r="BM333"/>
  <c r="BL333"/>
  <c r="BK333"/>
  <c r="BJ333"/>
  <c r="BI333"/>
  <c r="BH333"/>
  <c r="BG333"/>
  <c r="BF333"/>
  <c r="BE333"/>
  <c r="BD333"/>
  <c r="BC333"/>
  <c r="BB333"/>
  <c r="BA333" s="1"/>
  <c r="AZ333" s="1"/>
  <c r="AX333"/>
  <c r="AW333"/>
  <c r="AV333"/>
  <c r="AC333"/>
  <c r="H333"/>
  <c r="G333"/>
  <c r="BT332"/>
  <c r="BS332"/>
  <c r="BR332"/>
  <c r="BQ332"/>
  <c r="BP332"/>
  <c r="BO332"/>
  <c r="BN332"/>
  <c r="BM332"/>
  <c r="BL332" s="1"/>
  <c r="BK332"/>
  <c r="BJ332"/>
  <c r="BI332"/>
  <c r="BH332"/>
  <c r="BG332"/>
  <c r="BF332"/>
  <c r="BE332"/>
  <c r="BD332"/>
  <c r="BC332"/>
  <c r="BB332"/>
  <c r="BA332"/>
  <c r="AZ332" s="1"/>
  <c r="AX332"/>
  <c r="AW332"/>
  <c r="AV332"/>
  <c r="AC332"/>
  <c r="H332"/>
  <c r="G332" s="1"/>
  <c r="BT331"/>
  <c r="BS331"/>
  <c r="BR331"/>
  <c r="BQ331"/>
  <c r="BP331"/>
  <c r="BO331"/>
  <c r="BN331"/>
  <c r="BM331"/>
  <c r="BL331"/>
  <c r="BK331"/>
  <c r="BJ331"/>
  <c r="BI331"/>
  <c r="BH331"/>
  <c r="BG331"/>
  <c r="BF331"/>
  <c r="BE331"/>
  <c r="BD331"/>
  <c r="BC331"/>
  <c r="BB331"/>
  <c r="BA331" s="1"/>
  <c r="AZ331" s="1"/>
  <c r="AX331"/>
  <c r="AW331"/>
  <c r="AV331"/>
  <c r="AC331"/>
  <c r="H331"/>
  <c r="G331"/>
  <c r="BT330"/>
  <c r="BS330"/>
  <c r="BR330"/>
  <c r="BQ330"/>
  <c r="BP330"/>
  <c r="BO330"/>
  <c r="BN330"/>
  <c r="BM330"/>
  <c r="BL330" s="1"/>
  <c r="BK330"/>
  <c r="BJ330"/>
  <c r="BI330"/>
  <c r="BH330"/>
  <c r="BG330"/>
  <c r="BF330"/>
  <c r="BE330"/>
  <c r="BD330"/>
  <c r="BC330"/>
  <c r="BB330"/>
  <c r="BA330"/>
  <c r="AX330"/>
  <c r="AW330"/>
  <c r="AV330"/>
  <c r="AC330"/>
  <c r="H330"/>
  <c r="G330" s="1"/>
  <c r="BT329"/>
  <c r="BS329"/>
  <c r="BR329"/>
  <c r="BQ329"/>
  <c r="BP329"/>
  <c r="BO329"/>
  <c r="BN329"/>
  <c r="BM329"/>
  <c r="BL329"/>
  <c r="BK329"/>
  <c r="BJ329"/>
  <c r="BI329"/>
  <c r="BH329"/>
  <c r="BG329"/>
  <c r="BF329"/>
  <c r="BE329"/>
  <c r="BD329"/>
  <c r="BC329"/>
  <c r="BB329"/>
  <c r="BA329" s="1"/>
  <c r="AZ329" s="1"/>
  <c r="AX329"/>
  <c r="AW329"/>
  <c r="AV329"/>
  <c r="AC329"/>
  <c r="H329"/>
  <c r="G329"/>
  <c r="BT328"/>
  <c r="BS328"/>
  <c r="BR328"/>
  <c r="BQ328"/>
  <c r="BP328"/>
  <c r="BO328"/>
  <c r="BN328"/>
  <c r="BM328"/>
  <c r="BL328" s="1"/>
  <c r="BK328"/>
  <c r="BJ328"/>
  <c r="BI328"/>
  <c r="BH328"/>
  <c r="BG328"/>
  <c r="BF328"/>
  <c r="BE328"/>
  <c r="BD328"/>
  <c r="BC328"/>
  <c r="BB328"/>
  <c r="BA328"/>
  <c r="AZ328" s="1"/>
  <c r="AX328"/>
  <c r="AW328"/>
  <c r="AV328"/>
  <c r="AC328"/>
  <c r="H328"/>
  <c r="G328" s="1"/>
  <c r="BT327"/>
  <c r="BS327"/>
  <c r="BR327"/>
  <c r="BQ327"/>
  <c r="BP327"/>
  <c r="BO327"/>
  <c r="BN327"/>
  <c r="BM327"/>
  <c r="BL327"/>
  <c r="BK327"/>
  <c r="BJ327"/>
  <c r="BI327"/>
  <c r="BH327"/>
  <c r="BG327"/>
  <c r="BF327"/>
  <c r="BE327"/>
  <c r="BD327"/>
  <c r="BC327"/>
  <c r="BB327"/>
  <c r="BA327" s="1"/>
  <c r="AZ327" s="1"/>
  <c r="AX327"/>
  <c r="AW327"/>
  <c r="AV327"/>
  <c r="AC327"/>
  <c r="H327"/>
  <c r="G327"/>
  <c r="BT326"/>
  <c r="BS326"/>
  <c r="BR326"/>
  <c r="BQ326"/>
  <c r="BP326"/>
  <c r="BO326"/>
  <c r="BN326"/>
  <c r="BM326"/>
  <c r="BL326" s="1"/>
  <c r="BK326"/>
  <c r="BJ326"/>
  <c r="BI326"/>
  <c r="BH326"/>
  <c r="BG326"/>
  <c r="BF326"/>
  <c r="BE326"/>
  <c r="BD326"/>
  <c r="BC326"/>
  <c r="BB326"/>
  <c r="BA326"/>
  <c r="AX326"/>
  <c r="AW326"/>
  <c r="AV326"/>
  <c r="AC326"/>
  <c r="H326"/>
  <c r="G326" s="1"/>
  <c r="BT325"/>
  <c r="BS325"/>
  <c r="BR325"/>
  <c r="BQ325"/>
  <c r="BP325"/>
  <c r="BO325"/>
  <c r="BN325"/>
  <c r="BM325"/>
  <c r="BL325"/>
  <c r="BK325"/>
  <c r="BJ325"/>
  <c r="BI325"/>
  <c r="BH325"/>
  <c r="BG325"/>
  <c r="BF325"/>
  <c r="BE325"/>
  <c r="BD325"/>
  <c r="BC325"/>
  <c r="BB325"/>
  <c r="BA325" s="1"/>
  <c r="AZ325" s="1"/>
  <c r="AX325"/>
  <c r="AW325"/>
  <c r="AV325"/>
  <c r="AC325"/>
  <c r="H325"/>
  <c r="G325"/>
  <c r="BT324"/>
  <c r="BS324"/>
  <c r="BR324"/>
  <c r="BQ324"/>
  <c r="BP324"/>
  <c r="BO324"/>
  <c r="BN324"/>
  <c r="BM324"/>
  <c r="BL324" s="1"/>
  <c r="BK324"/>
  <c r="BJ324"/>
  <c r="BI324"/>
  <c r="BH324"/>
  <c r="BG324"/>
  <c r="BF324"/>
  <c r="BE324"/>
  <c r="BD324"/>
  <c r="BC324"/>
  <c r="BB324"/>
  <c r="BA324"/>
  <c r="AZ324" s="1"/>
  <c r="AX324"/>
  <c r="AW324"/>
  <c r="AV324"/>
  <c r="AC324"/>
  <c r="H324"/>
  <c r="G324" s="1"/>
  <c r="BT323"/>
  <c r="BS323"/>
  <c r="BR323"/>
  <c r="BQ323"/>
  <c r="BP323"/>
  <c r="BO323"/>
  <c r="BN323"/>
  <c r="BM323"/>
  <c r="BL323"/>
  <c r="BK323"/>
  <c r="BJ323"/>
  <c r="BI323"/>
  <c r="BH323"/>
  <c r="BG323"/>
  <c r="BF323"/>
  <c r="BE323"/>
  <c r="BD323"/>
  <c r="BC323"/>
  <c r="BB323"/>
  <c r="BA323" s="1"/>
  <c r="AZ323" s="1"/>
  <c r="AX323"/>
  <c r="AW323"/>
  <c r="AV323"/>
  <c r="AC323"/>
  <c r="H323"/>
  <c r="G323"/>
  <c r="BT322"/>
  <c r="BS322"/>
  <c r="BR322"/>
  <c r="BQ322"/>
  <c r="BP322"/>
  <c r="BO322"/>
  <c r="BN322"/>
  <c r="BM322"/>
  <c r="BL322" s="1"/>
  <c r="BK322"/>
  <c r="BJ322"/>
  <c r="BI322"/>
  <c r="BH322"/>
  <c r="BG322"/>
  <c r="BF322"/>
  <c r="BE322"/>
  <c r="BD322"/>
  <c r="BC322"/>
  <c r="BB322"/>
  <c r="BA322"/>
  <c r="AX322"/>
  <c r="AW322"/>
  <c r="AV322"/>
  <c r="AC322"/>
  <c r="H322"/>
  <c r="G322" s="1"/>
  <c r="BT321"/>
  <c r="BS321"/>
  <c r="BR321"/>
  <c r="BQ321"/>
  <c r="BP321"/>
  <c r="BO321"/>
  <c r="BN321"/>
  <c r="BM321"/>
  <c r="BL321"/>
  <c r="BK321"/>
  <c r="BJ321"/>
  <c r="BI321"/>
  <c r="BH321"/>
  <c r="BG321"/>
  <c r="BF321"/>
  <c r="BE321"/>
  <c r="BD321"/>
  <c r="BC321"/>
  <c r="BB321"/>
  <c r="BA321" s="1"/>
  <c r="AZ321" s="1"/>
  <c r="AX321"/>
  <c r="AW321"/>
  <c r="AV321"/>
  <c r="AC321"/>
  <c r="H321"/>
  <c r="G321"/>
  <c r="BT320"/>
  <c r="BS320"/>
  <c r="BR320"/>
  <c r="BQ320"/>
  <c r="BP320"/>
  <c r="BO320"/>
  <c r="BN320"/>
  <c r="BM320"/>
  <c r="BL320" s="1"/>
  <c r="BK320"/>
  <c r="BJ320"/>
  <c r="BI320"/>
  <c r="BH320"/>
  <c r="BG320"/>
  <c r="BF320"/>
  <c r="BE320"/>
  <c r="BD320"/>
  <c r="BC320"/>
  <c r="BB320"/>
  <c r="BA320"/>
  <c r="AZ320" s="1"/>
  <c r="AX320"/>
  <c r="AW320"/>
  <c r="AV320"/>
  <c r="AC320"/>
  <c r="H320"/>
  <c r="G320" s="1"/>
  <c r="BT319"/>
  <c r="BS319"/>
  <c r="BR319"/>
  <c r="BQ319"/>
  <c r="BP319"/>
  <c r="BO319"/>
  <c r="BN319"/>
  <c r="BM319"/>
  <c r="BL319"/>
  <c r="BK319"/>
  <c r="BJ319"/>
  <c r="BI319"/>
  <c r="BH319"/>
  <c r="BG319"/>
  <c r="BF319"/>
  <c r="BE319"/>
  <c r="BD319"/>
  <c r="BC319"/>
  <c r="BB319"/>
  <c r="BA319" s="1"/>
  <c r="AZ319" s="1"/>
  <c r="AX319"/>
  <c r="AW319"/>
  <c r="AV319"/>
  <c r="AC319"/>
  <c r="H319"/>
  <c r="G319"/>
  <c r="BT318"/>
  <c r="BS318"/>
  <c r="BR318"/>
  <c r="BQ318"/>
  <c r="BP318"/>
  <c r="BO318"/>
  <c r="BN318"/>
  <c r="BM318"/>
  <c r="BL318" s="1"/>
  <c r="BK318"/>
  <c r="BJ318"/>
  <c r="BI318"/>
  <c r="BH318"/>
  <c r="BG318"/>
  <c r="BF318"/>
  <c r="BE318"/>
  <c r="BD318"/>
  <c r="BC318"/>
  <c r="BB318"/>
  <c r="BA318"/>
  <c r="AX318"/>
  <c r="AW318"/>
  <c r="AV318"/>
  <c r="AC318"/>
  <c r="H318"/>
  <c r="G318" s="1"/>
  <c r="BT317"/>
  <c r="BS317"/>
  <c r="BR317"/>
  <c r="BQ317"/>
  <c r="BP317"/>
  <c r="BO317"/>
  <c r="BN317"/>
  <c r="BM317"/>
  <c r="BL317"/>
  <c r="BK317"/>
  <c r="BJ317"/>
  <c r="BI317"/>
  <c r="BH317"/>
  <c r="BG317"/>
  <c r="BF317"/>
  <c r="BE317"/>
  <c r="BD317"/>
  <c r="BC317"/>
  <c r="BB317"/>
  <c r="BA317" s="1"/>
  <c r="AZ317" s="1"/>
  <c r="AX317"/>
  <c r="AW317"/>
  <c r="AV317"/>
  <c r="AC317"/>
  <c r="H317"/>
  <c r="G317"/>
  <c r="BT316"/>
  <c r="BS316"/>
  <c r="BR316"/>
  <c r="BQ316"/>
  <c r="BP316"/>
  <c r="BO316"/>
  <c r="BN316"/>
  <c r="BM316"/>
  <c r="BL316" s="1"/>
  <c r="BK316"/>
  <c r="BJ316"/>
  <c r="BI316"/>
  <c r="BH316"/>
  <c r="BG316"/>
  <c r="BF316"/>
  <c r="BE316"/>
  <c r="BD316"/>
  <c r="BC316"/>
  <c r="BB316"/>
  <c r="BA316"/>
  <c r="AZ316" s="1"/>
  <c r="AX316"/>
  <c r="AW316"/>
  <c r="AV316"/>
  <c r="AC316"/>
  <c r="H316"/>
  <c r="G316" s="1"/>
  <c r="BT315"/>
  <c r="BS315"/>
  <c r="BR315"/>
  <c r="BQ315"/>
  <c r="BP315"/>
  <c r="BO315"/>
  <c r="BN315"/>
  <c r="BM315"/>
  <c r="BL315"/>
  <c r="BK315"/>
  <c r="BJ315"/>
  <c r="BI315"/>
  <c r="BH315"/>
  <c r="BG315"/>
  <c r="BF315"/>
  <c r="BE315"/>
  <c r="BD315"/>
  <c r="BC315"/>
  <c r="BB315"/>
  <c r="BA315" s="1"/>
  <c r="AZ315" s="1"/>
  <c r="AX315"/>
  <c r="AW315"/>
  <c r="AV315"/>
  <c r="AC315"/>
  <c r="H315"/>
  <c r="G315"/>
  <c r="BT314"/>
  <c r="BS314"/>
  <c r="BR314"/>
  <c r="BQ314"/>
  <c r="BP314"/>
  <c r="BO314"/>
  <c r="BN314"/>
  <c r="BM314"/>
  <c r="BL314" s="1"/>
  <c r="BK314"/>
  <c r="BJ314"/>
  <c r="BI314"/>
  <c r="BH314"/>
  <c r="BG314"/>
  <c r="BF314"/>
  <c r="BE314"/>
  <c r="BD314"/>
  <c r="BC314"/>
  <c r="BB314"/>
  <c r="BA314"/>
  <c r="AX314"/>
  <c r="AW314"/>
  <c r="AV314"/>
  <c r="AC314"/>
  <c r="H314"/>
  <c r="G314" s="1"/>
  <c r="BT313"/>
  <c r="BS313"/>
  <c r="BR313"/>
  <c r="BQ313"/>
  <c r="BP313"/>
  <c r="BO313"/>
  <c r="BN313"/>
  <c r="BM313"/>
  <c r="BL313"/>
  <c r="BK313"/>
  <c r="BJ313"/>
  <c r="BI313"/>
  <c r="BH313"/>
  <c r="BG313"/>
  <c r="BF313"/>
  <c r="BE313"/>
  <c r="BD313"/>
  <c r="BC313"/>
  <c r="BB313"/>
  <c r="BA313" s="1"/>
  <c r="AZ313" s="1"/>
  <c r="AX313"/>
  <c r="AW313"/>
  <c r="AV313"/>
  <c r="AC313"/>
  <c r="H313"/>
  <c r="G313"/>
  <c r="BT312"/>
  <c r="BS312"/>
  <c r="BR312"/>
  <c r="BQ312"/>
  <c r="BP312"/>
  <c r="BO312"/>
  <c r="BN312"/>
  <c r="BM312"/>
  <c r="BL312" s="1"/>
  <c r="BK312"/>
  <c r="BJ312"/>
  <c r="BI312"/>
  <c r="BH312"/>
  <c r="BG312"/>
  <c r="BF312"/>
  <c r="BE312"/>
  <c r="BD312"/>
  <c r="BC312"/>
  <c r="BB312"/>
  <c r="BA312"/>
  <c r="AZ312" s="1"/>
  <c r="AX312"/>
  <c r="AW312"/>
  <c r="AV312"/>
  <c r="AC312"/>
  <c r="H312"/>
  <c r="G312" s="1"/>
  <c r="BT311"/>
  <c r="BS311"/>
  <c r="BR311"/>
  <c r="BQ311"/>
  <c r="BP311"/>
  <c r="BO311"/>
  <c r="BN311"/>
  <c r="BM311"/>
  <c r="BL311"/>
  <c r="BK311"/>
  <c r="BJ311"/>
  <c r="BI311"/>
  <c r="BH311"/>
  <c r="BG311"/>
  <c r="BF311"/>
  <c r="BE311"/>
  <c r="BD311"/>
  <c r="BC311"/>
  <c r="BB311"/>
  <c r="BA311" s="1"/>
  <c r="AZ311" s="1"/>
  <c r="AX311"/>
  <c r="AW311"/>
  <c r="AV311"/>
  <c r="AC311"/>
  <c r="H311"/>
  <c r="G311"/>
  <c r="BT310"/>
  <c r="BS310"/>
  <c r="BR310"/>
  <c r="BQ310"/>
  <c r="BP310"/>
  <c r="BO310"/>
  <c r="BN310"/>
  <c r="BM310"/>
  <c r="BL310" s="1"/>
  <c r="BK310"/>
  <c r="BJ310"/>
  <c r="BI310"/>
  <c r="BH310"/>
  <c r="BG310"/>
  <c r="BF310"/>
  <c r="BE310"/>
  <c r="BD310"/>
  <c r="BC310"/>
  <c r="BB310"/>
  <c r="BA310"/>
  <c r="AX310"/>
  <c r="AW310"/>
  <c r="AV310"/>
  <c r="AC310"/>
  <c r="H310"/>
  <c r="G310" s="1"/>
  <c r="BT309"/>
  <c r="BS309"/>
  <c r="BR309"/>
  <c r="BQ309"/>
  <c r="BP309"/>
  <c r="BO309"/>
  <c r="BN309"/>
  <c r="BM309"/>
  <c r="BL309"/>
  <c r="BK309"/>
  <c r="BJ309"/>
  <c r="BI309"/>
  <c r="BH309"/>
  <c r="BG309"/>
  <c r="BF309"/>
  <c r="BE309"/>
  <c r="BD309"/>
  <c r="BC309"/>
  <c r="BB309"/>
  <c r="BA309" s="1"/>
  <c r="AZ309" s="1"/>
  <c r="AX309"/>
  <c r="AW309"/>
  <c r="AV309"/>
  <c r="AC309"/>
  <c r="H309"/>
  <c r="G309"/>
  <c r="BT308"/>
  <c r="BS308"/>
  <c r="BR308"/>
  <c r="BQ308"/>
  <c r="BP308"/>
  <c r="BO308"/>
  <c r="BN308"/>
  <c r="BM308"/>
  <c r="BL308" s="1"/>
  <c r="BK308"/>
  <c r="BJ308"/>
  <c r="BI308"/>
  <c r="BH308"/>
  <c r="BG308"/>
  <c r="BF308"/>
  <c r="BE308"/>
  <c r="BD308"/>
  <c r="BC308"/>
  <c r="BB308"/>
  <c r="BA308"/>
  <c r="AZ308" s="1"/>
  <c r="AX308"/>
  <c r="AW308"/>
  <c r="AV308"/>
  <c r="AC308"/>
  <c r="H308"/>
  <c r="G308" s="1"/>
  <c r="BT307"/>
  <c r="BS307"/>
  <c r="BR307"/>
  <c r="BQ307"/>
  <c r="BP307"/>
  <c r="BO307"/>
  <c r="BN307"/>
  <c r="BM307"/>
  <c r="BL307"/>
  <c r="BK307"/>
  <c r="BJ307"/>
  <c r="BI307"/>
  <c r="BH307"/>
  <c r="BG307"/>
  <c r="BF307"/>
  <c r="BE307"/>
  <c r="BD307"/>
  <c r="BC307"/>
  <c r="BB307"/>
  <c r="BA307" s="1"/>
  <c r="AZ307" s="1"/>
  <c r="AX307"/>
  <c r="AW307"/>
  <c r="AV307"/>
  <c r="AC307"/>
  <c r="H307"/>
  <c r="G307"/>
  <c r="BT306"/>
  <c r="BS306"/>
  <c r="BR306"/>
  <c r="BQ306"/>
  <c r="BP306"/>
  <c r="BO306"/>
  <c r="BN306"/>
  <c r="BM306"/>
  <c r="BL306" s="1"/>
  <c r="BK306"/>
  <c r="BJ306"/>
  <c r="BI306"/>
  <c r="BH306"/>
  <c r="BG306"/>
  <c r="BF306"/>
  <c r="BE306"/>
  <c r="BD306"/>
  <c r="BC306"/>
  <c r="BB306"/>
  <c r="BA306"/>
  <c r="AX306"/>
  <c r="AW306"/>
  <c r="AV306"/>
  <c r="AC306"/>
  <c r="H306"/>
  <c r="G306" s="1"/>
  <c r="BT305"/>
  <c r="BS305"/>
  <c r="BR305"/>
  <c r="BQ305"/>
  <c r="BP305"/>
  <c r="BO305"/>
  <c r="BN305"/>
  <c r="BM305"/>
  <c r="BL305"/>
  <c r="BK305"/>
  <c r="BJ305"/>
  <c r="BI305"/>
  <c r="BH305"/>
  <c r="BG305"/>
  <c r="BF305"/>
  <c r="BE305"/>
  <c r="BD305"/>
  <c r="BC305"/>
  <c r="BB305"/>
  <c r="BA305" s="1"/>
  <c r="AZ305" s="1"/>
  <c r="AX305"/>
  <c r="AW305"/>
  <c r="AV305"/>
  <c r="AC305"/>
  <c r="H305"/>
  <c r="G305"/>
  <c r="BT304"/>
  <c r="BS304"/>
  <c r="BR304"/>
  <c r="BQ304"/>
  <c r="BP304"/>
  <c r="BO304"/>
  <c r="BN304"/>
  <c r="BM304"/>
  <c r="BL304" s="1"/>
  <c r="BK304"/>
  <c r="BJ304"/>
  <c r="BI304"/>
  <c r="BH304"/>
  <c r="BG304"/>
  <c r="BF304"/>
  <c r="BE304"/>
  <c r="BD304"/>
  <c r="BC304"/>
  <c r="BB304"/>
  <c r="BA304"/>
  <c r="AZ304" s="1"/>
  <c r="AX304"/>
  <c r="AW304"/>
  <c r="AV304"/>
  <c r="AC304"/>
  <c r="H304"/>
  <c r="G304" s="1"/>
  <c r="BT303"/>
  <c r="BS303"/>
  <c r="BR303"/>
  <c r="BQ303"/>
  <c r="BP303"/>
  <c r="BO303"/>
  <c r="BN303"/>
  <c r="BM303"/>
  <c r="BL303"/>
  <c r="BK303"/>
  <c r="BJ303"/>
  <c r="BI303"/>
  <c r="BH303"/>
  <c r="BG303"/>
  <c r="BF303"/>
  <c r="BE303"/>
  <c r="BD303"/>
  <c r="BC303"/>
  <c r="BB303"/>
  <c r="BA303" s="1"/>
  <c r="AZ303" s="1"/>
  <c r="AX303"/>
  <c r="AW303"/>
  <c r="AV303"/>
  <c r="AC303"/>
  <c r="H303"/>
  <c r="G303"/>
  <c r="BT302"/>
  <c r="BS302"/>
  <c r="BR302"/>
  <c r="BQ302"/>
  <c r="BP302"/>
  <c r="BO302"/>
  <c r="BN302"/>
  <c r="BM302"/>
  <c r="BL302" s="1"/>
  <c r="BK302"/>
  <c r="BJ302"/>
  <c r="BI302"/>
  <c r="BH302"/>
  <c r="BG302"/>
  <c r="BF302"/>
  <c r="BE302"/>
  <c r="BD302"/>
  <c r="BC302"/>
  <c r="BB302"/>
  <c r="BA302"/>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Z299" s="1"/>
  <c r="AX299"/>
  <c r="AW299"/>
  <c r="AV299"/>
  <c r="AC299"/>
  <c r="H299"/>
  <c r="G299"/>
  <c r="BT298"/>
  <c r="BS298"/>
  <c r="BR298"/>
  <c r="BQ298"/>
  <c r="BP298"/>
  <c r="BO298"/>
  <c r="BN298"/>
  <c r="BM298"/>
  <c r="BL298" s="1"/>
  <c r="BK298"/>
  <c r="BJ298"/>
  <c r="BI298"/>
  <c r="BH298"/>
  <c r="BG298"/>
  <c r="BF298"/>
  <c r="BE298"/>
  <c r="BD298"/>
  <c r="BC298"/>
  <c r="BB298"/>
  <c r="BA298"/>
  <c r="AX298"/>
  <c r="AW298"/>
  <c r="AV298"/>
  <c r="AC298"/>
  <c r="H298"/>
  <c r="G298" s="1"/>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c r="AZ296" s="1"/>
  <c r="AX296"/>
  <c r="AW296"/>
  <c r="AV296"/>
  <c r="AC296"/>
  <c r="H296"/>
  <c r="G296" s="1"/>
  <c r="BT295"/>
  <c r="BS295"/>
  <c r="BR295"/>
  <c r="BQ295"/>
  <c r="BP295"/>
  <c r="BO295"/>
  <c r="BN295"/>
  <c r="BM295"/>
  <c r="BL295"/>
  <c r="BK295"/>
  <c r="BJ295"/>
  <c r="BI295"/>
  <c r="BH295"/>
  <c r="BG295"/>
  <c r="BF295"/>
  <c r="BE295"/>
  <c r="BD295"/>
  <c r="BC295"/>
  <c r="BB295"/>
  <c r="BA295" s="1"/>
  <c r="AZ295" s="1"/>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Z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Z288" s="1"/>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s="1"/>
  <c r="BT281"/>
  <c r="BS281"/>
  <c r="BR281"/>
  <c r="BQ281"/>
  <c r="BP281"/>
  <c r="BO281"/>
  <c r="BN281"/>
  <c r="BM281"/>
  <c r="BL281"/>
  <c r="BK281"/>
  <c r="BJ281"/>
  <c r="BI281"/>
  <c r="BH281"/>
  <c r="BG281"/>
  <c r="BF281"/>
  <c r="BE281"/>
  <c r="BD281"/>
  <c r="BC281"/>
  <c r="BB281"/>
  <c r="BA281" s="1"/>
  <c r="AZ28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s="1"/>
  <c r="BT279"/>
  <c r="BS279"/>
  <c r="BR279"/>
  <c r="BQ279"/>
  <c r="BP279"/>
  <c r="BO279"/>
  <c r="BN279"/>
  <c r="BM279"/>
  <c r="BL279"/>
  <c r="BK279"/>
  <c r="BJ279"/>
  <c r="BI279"/>
  <c r="BH279"/>
  <c r="BG279"/>
  <c r="BF279"/>
  <c r="BE279"/>
  <c r="BD279"/>
  <c r="BC279"/>
  <c r="BB279"/>
  <c r="BA279" s="1"/>
  <c r="AZ279"/>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s="1"/>
  <c r="BT275"/>
  <c r="BS275"/>
  <c r="BR275"/>
  <c r="BQ275"/>
  <c r="BP275"/>
  <c r="BO275"/>
  <c r="BN275"/>
  <c r="BM275"/>
  <c r="BL275"/>
  <c r="BK275"/>
  <c r="BJ275"/>
  <c r="BI275"/>
  <c r="BH275"/>
  <c r="BG275"/>
  <c r="BF275"/>
  <c r="BE275"/>
  <c r="BD275"/>
  <c r="BC275"/>
  <c r="BB275"/>
  <c r="BA275" s="1"/>
  <c r="AZ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s="1"/>
  <c r="BT273"/>
  <c r="BS273"/>
  <c r="BR273"/>
  <c r="BQ273"/>
  <c r="BP273"/>
  <c r="BO273"/>
  <c r="BN273"/>
  <c r="BM273"/>
  <c r="BL273"/>
  <c r="BK273"/>
  <c r="BJ273"/>
  <c r="BI273"/>
  <c r="BH273"/>
  <c r="BG273"/>
  <c r="BF273"/>
  <c r="BE273"/>
  <c r="BD273"/>
  <c r="BC273"/>
  <c r="BB273"/>
  <c r="BA273" s="1"/>
  <c r="AZ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s="1"/>
  <c r="BT269"/>
  <c r="BS269"/>
  <c r="BR269"/>
  <c r="BQ269"/>
  <c r="BP269"/>
  <c r="BO269"/>
  <c r="BN269"/>
  <c r="BM269"/>
  <c r="BL269"/>
  <c r="BK269"/>
  <c r="BJ269"/>
  <c r="BI269"/>
  <c r="BH269"/>
  <c r="BG269"/>
  <c r="BF269"/>
  <c r="BE269"/>
  <c r="BD269"/>
  <c r="BC269"/>
  <c r="BB269"/>
  <c r="BA269" s="1"/>
  <c r="AZ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N267"/>
  <c r="BM267"/>
  <c r="BL267"/>
  <c r="BK267"/>
  <c r="BJ267"/>
  <c r="BI267"/>
  <c r="BH267"/>
  <c r="BG267"/>
  <c r="BF267"/>
  <c r="BE267"/>
  <c r="BD267"/>
  <c r="BC267"/>
  <c r="BB267"/>
  <c r="BA267" s="1"/>
  <c r="AZ267"/>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Z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Z263"/>
  <c r="AX263"/>
  <c r="AW263"/>
  <c r="AV263"/>
  <c r="AC263"/>
  <c r="H263"/>
  <c r="G263"/>
  <c r="BT262"/>
  <c r="BS262"/>
  <c r="BR262"/>
  <c r="BQ262"/>
  <c r="BP262"/>
  <c r="BO262"/>
  <c r="BN262"/>
  <c r="BM262"/>
  <c r="BL262" s="1"/>
  <c r="BK262"/>
  <c r="BJ262"/>
  <c r="BI262"/>
  <c r="BH262"/>
  <c r="BG262"/>
  <c r="BF262"/>
  <c r="BE262"/>
  <c r="BD262"/>
  <c r="BC262"/>
  <c r="BB262"/>
  <c r="BA262"/>
  <c r="AX262"/>
  <c r="AW262"/>
  <c r="AV262"/>
  <c r="AC262"/>
  <c r="H262"/>
  <c r="G262" s="1"/>
  <c r="BT261"/>
  <c r="BS261"/>
  <c r="BR261"/>
  <c r="BQ261"/>
  <c r="BP261"/>
  <c r="BO261"/>
  <c r="BN261"/>
  <c r="BM261"/>
  <c r="BL261"/>
  <c r="BK261"/>
  <c r="BJ261"/>
  <c r="BI261"/>
  <c r="BH261"/>
  <c r="BG261"/>
  <c r="BF261"/>
  <c r="BE261"/>
  <c r="BD261"/>
  <c r="BC261"/>
  <c r="BB261"/>
  <c r="BA261" s="1"/>
  <c r="AZ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Z259"/>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Z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s="1"/>
  <c r="BT255"/>
  <c r="BS255"/>
  <c r="BR255"/>
  <c r="BQ255"/>
  <c r="BP255"/>
  <c r="BO255"/>
  <c r="BN255"/>
  <c r="BM255"/>
  <c r="BL255"/>
  <c r="BK255"/>
  <c r="BJ255"/>
  <c r="BI255"/>
  <c r="BH255"/>
  <c r="BG255"/>
  <c r="BF255"/>
  <c r="BE255"/>
  <c r="BD255"/>
  <c r="BC255"/>
  <c r="BB255"/>
  <c r="BA255" s="1"/>
  <c r="AZ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Z253"/>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s="1"/>
  <c r="BT251"/>
  <c r="BS251"/>
  <c r="BR251"/>
  <c r="BQ251"/>
  <c r="BP251"/>
  <c r="BO251"/>
  <c r="BN251"/>
  <c r="BM251"/>
  <c r="BL251"/>
  <c r="BK251"/>
  <c r="BJ251"/>
  <c r="BI251"/>
  <c r="BH251"/>
  <c r="BG251"/>
  <c r="BF251"/>
  <c r="BE251"/>
  <c r="BD251"/>
  <c r="BC251"/>
  <c r="BB251"/>
  <c r="BA251" s="1"/>
  <c r="AZ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Z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s="1"/>
  <c r="BT247"/>
  <c r="BS247"/>
  <c r="BR247"/>
  <c r="BQ247"/>
  <c r="BP247"/>
  <c r="BO247"/>
  <c r="BN247"/>
  <c r="BM247"/>
  <c r="BL247"/>
  <c r="BK247"/>
  <c r="BJ247"/>
  <c r="BI247"/>
  <c r="BH247"/>
  <c r="BG247"/>
  <c r="BF247"/>
  <c r="BE247"/>
  <c r="BD247"/>
  <c r="BC247"/>
  <c r="BB247"/>
  <c r="BA247" s="1"/>
  <c r="AZ247"/>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G246" s="1"/>
  <c r="BT245"/>
  <c r="BS245"/>
  <c r="BR245"/>
  <c r="BQ245"/>
  <c r="BP245"/>
  <c r="BO245"/>
  <c r="BN245"/>
  <c r="BM245"/>
  <c r="BL245"/>
  <c r="BK245"/>
  <c r="BJ245"/>
  <c r="BI245"/>
  <c r="BH245"/>
  <c r="BG245"/>
  <c r="BF245"/>
  <c r="BE245"/>
  <c r="BD245"/>
  <c r="BC245"/>
  <c r="BB245"/>
  <c r="BA245" s="1"/>
  <c r="AZ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Z243"/>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Z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s="1"/>
  <c r="BT239"/>
  <c r="BS239"/>
  <c r="BR239"/>
  <c r="BQ239"/>
  <c r="BP239"/>
  <c r="BO239"/>
  <c r="BN239"/>
  <c r="BM239"/>
  <c r="BL239"/>
  <c r="BK239"/>
  <c r="BJ239"/>
  <c r="BI239"/>
  <c r="BH239"/>
  <c r="BG239"/>
  <c r="BF239"/>
  <c r="BE239"/>
  <c r="BD239"/>
  <c r="BC239"/>
  <c r="BB239"/>
  <c r="BA239" s="1"/>
  <c r="AZ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Z237"/>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s="1"/>
  <c r="BT235"/>
  <c r="BS235"/>
  <c r="BR235"/>
  <c r="BQ235"/>
  <c r="BP235"/>
  <c r="BO235"/>
  <c r="BN235"/>
  <c r="BM235"/>
  <c r="BL235"/>
  <c r="BK235"/>
  <c r="BJ235"/>
  <c r="BI235"/>
  <c r="BH235"/>
  <c r="BG235"/>
  <c r="BF235"/>
  <c r="BE235"/>
  <c r="BD235"/>
  <c r="BC235"/>
  <c r="BB235"/>
  <c r="BA235" s="1"/>
  <c r="AZ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Z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s="1"/>
  <c r="BT231"/>
  <c r="BS231"/>
  <c r="BR231"/>
  <c r="BQ231"/>
  <c r="BP231"/>
  <c r="BO231"/>
  <c r="BN231"/>
  <c r="BM231"/>
  <c r="BL231"/>
  <c r="BK231"/>
  <c r="BJ231"/>
  <c r="BI231"/>
  <c r="BH231"/>
  <c r="BG231"/>
  <c r="BF231"/>
  <c r="BE231"/>
  <c r="BD231"/>
  <c r="BC231"/>
  <c r="BB231"/>
  <c r="BA231" s="1"/>
  <c r="AZ23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Z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Z227"/>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Z225"/>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Z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Z221"/>
  <c r="AX221"/>
  <c r="AW221"/>
  <c r="AV221"/>
  <c r="AC221"/>
  <c r="H221"/>
  <c r="G221"/>
  <c r="BT220"/>
  <c r="BS220"/>
  <c r="BR220"/>
  <c r="BQ220"/>
  <c r="BP220"/>
  <c r="BO220"/>
  <c r="BN220"/>
  <c r="BM220"/>
  <c r="BL220" s="1"/>
  <c r="BK220"/>
  <c r="BJ220"/>
  <c r="BI220"/>
  <c r="BH220"/>
  <c r="BG220"/>
  <c r="BF220"/>
  <c r="BE220"/>
  <c r="BD220"/>
  <c r="BC220"/>
  <c r="BB220"/>
  <c r="BA220"/>
  <c r="AX220"/>
  <c r="AW220"/>
  <c r="AV220"/>
  <c r="AC220"/>
  <c r="H220"/>
  <c r="G220" s="1"/>
  <c r="BT219"/>
  <c r="BS219"/>
  <c r="BR219"/>
  <c r="BQ219"/>
  <c r="BP219"/>
  <c r="BO219"/>
  <c r="BN219"/>
  <c r="BM219"/>
  <c r="BL219"/>
  <c r="BK219"/>
  <c r="BJ219"/>
  <c r="BI219"/>
  <c r="BH219"/>
  <c r="BG219"/>
  <c r="BF219"/>
  <c r="BE219"/>
  <c r="BD219"/>
  <c r="BC219"/>
  <c r="BB219"/>
  <c r="BA219" s="1"/>
  <c r="AZ219"/>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Z217"/>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Z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s="1"/>
  <c r="BT213"/>
  <c r="BS213"/>
  <c r="BR213"/>
  <c r="BQ213"/>
  <c r="BP213"/>
  <c r="BO213"/>
  <c r="BN213"/>
  <c r="BM213"/>
  <c r="BL213"/>
  <c r="BK213"/>
  <c r="BJ213"/>
  <c r="BI213"/>
  <c r="BH213"/>
  <c r="BG213"/>
  <c r="BF213"/>
  <c r="BE213"/>
  <c r="BD213"/>
  <c r="BC213"/>
  <c r="BB213"/>
  <c r="BA213" s="1"/>
  <c r="AZ213"/>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G212" s="1"/>
  <c r="BT211"/>
  <c r="BS211"/>
  <c r="BR211"/>
  <c r="BQ211"/>
  <c r="BP211"/>
  <c r="BO211"/>
  <c r="BN211"/>
  <c r="BM211"/>
  <c r="BL211"/>
  <c r="BK211"/>
  <c r="BJ211"/>
  <c r="BI211"/>
  <c r="BH211"/>
  <c r="BG211"/>
  <c r="BF211"/>
  <c r="BE211"/>
  <c r="BD211"/>
  <c r="BC211"/>
  <c r="BB211"/>
  <c r="BA211" s="1"/>
  <c r="AZ21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Z209"/>
  <c r="AX209"/>
  <c r="AW209"/>
  <c r="AV209"/>
  <c r="AC209"/>
  <c r="H209"/>
  <c r="G209"/>
  <c r="BT208"/>
  <c r="BS208"/>
  <c r="BR208"/>
  <c r="BQ208"/>
  <c r="BP208"/>
  <c r="BO208"/>
  <c r="BN208"/>
  <c r="BM208"/>
  <c r="BL208" s="1"/>
  <c r="BK208"/>
  <c r="BJ208"/>
  <c r="BI208"/>
  <c r="BH208"/>
  <c r="BG208"/>
  <c r="BF208"/>
  <c r="BE208"/>
  <c r="BD208"/>
  <c r="BC208"/>
  <c r="BB208"/>
  <c r="BA208"/>
  <c r="AX208"/>
  <c r="AW208"/>
  <c r="AV208"/>
  <c r="AC208"/>
  <c r="H208"/>
  <c r="G208" s="1"/>
  <c r="BT207"/>
  <c r="BS207"/>
  <c r="BR207"/>
  <c r="BQ207"/>
  <c r="BP207"/>
  <c r="BO207"/>
  <c r="BN207"/>
  <c r="BM207"/>
  <c r="BL207"/>
  <c r="BK207"/>
  <c r="BJ207"/>
  <c r="BI207"/>
  <c r="BH207"/>
  <c r="BG207"/>
  <c r="BF207"/>
  <c r="BE207"/>
  <c r="BD207"/>
  <c r="BC207"/>
  <c r="BB207"/>
  <c r="BA207" s="1"/>
  <c r="AZ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Z205"/>
  <c r="AX205"/>
  <c r="AW205"/>
  <c r="AV205"/>
  <c r="AC205"/>
  <c r="H205"/>
  <c r="G205"/>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Z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s="1"/>
  <c r="BT201"/>
  <c r="BS201"/>
  <c r="BR201"/>
  <c r="BQ201"/>
  <c r="BP201"/>
  <c r="BO201"/>
  <c r="BN201"/>
  <c r="BM201"/>
  <c r="BL201"/>
  <c r="BK201"/>
  <c r="BJ201"/>
  <c r="BI201"/>
  <c r="BH201"/>
  <c r="BG201"/>
  <c r="BF201"/>
  <c r="BE201"/>
  <c r="BD201"/>
  <c r="BC201"/>
  <c r="BB201"/>
  <c r="BA201" s="1"/>
  <c r="AZ201"/>
  <c r="AX201"/>
  <c r="AW201"/>
  <c r="AV201"/>
  <c r="AC201"/>
  <c r="H201"/>
  <c r="G201"/>
  <c r="BT200"/>
  <c r="BS200"/>
  <c r="BR200"/>
  <c r="BQ200"/>
  <c r="BP200"/>
  <c r="BO200"/>
  <c r="BN200"/>
  <c r="BM200"/>
  <c r="BL200" s="1"/>
  <c r="BK200"/>
  <c r="BJ200"/>
  <c r="BI200"/>
  <c r="BH200"/>
  <c r="BG200"/>
  <c r="BF200"/>
  <c r="BE200"/>
  <c r="BD200"/>
  <c r="BC200"/>
  <c r="BB200"/>
  <c r="BA200"/>
  <c r="AX200"/>
  <c r="AW200"/>
  <c r="AV200"/>
  <c r="AC200"/>
  <c r="H200"/>
  <c r="G200" s="1"/>
  <c r="BT199"/>
  <c r="BS199"/>
  <c r="BR199"/>
  <c r="BQ199"/>
  <c r="BP199"/>
  <c r="BO199"/>
  <c r="BN199"/>
  <c r="BM199"/>
  <c r="BL199"/>
  <c r="BK199"/>
  <c r="BJ199"/>
  <c r="BI199"/>
  <c r="BH199"/>
  <c r="BG199"/>
  <c r="BF199"/>
  <c r="BE199"/>
  <c r="BD199"/>
  <c r="BC199"/>
  <c r="BB199"/>
  <c r="BA199" s="1"/>
  <c r="AZ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s="1"/>
  <c r="BT197"/>
  <c r="BS197"/>
  <c r="BR197"/>
  <c r="BQ197"/>
  <c r="BP197"/>
  <c r="BO197"/>
  <c r="BN197"/>
  <c r="BM197"/>
  <c r="BL197"/>
  <c r="BK197"/>
  <c r="BJ197"/>
  <c r="BI197"/>
  <c r="BH197"/>
  <c r="BG197"/>
  <c r="BF197"/>
  <c r="BE197"/>
  <c r="BD197"/>
  <c r="BC197"/>
  <c r="BB197"/>
  <c r="BA197" s="1"/>
  <c r="AZ197"/>
  <c r="AX197"/>
  <c r="AW197"/>
  <c r="AV197"/>
  <c r="AC197"/>
  <c r="H197"/>
  <c r="G197"/>
  <c r="BT196"/>
  <c r="BS196"/>
  <c r="BR196"/>
  <c r="BQ196"/>
  <c r="BP196"/>
  <c r="BO196"/>
  <c r="BN196"/>
  <c r="BM196"/>
  <c r="BL196" s="1"/>
  <c r="BK196"/>
  <c r="BJ196"/>
  <c r="BI196"/>
  <c r="BH196"/>
  <c r="BG196"/>
  <c r="BF196"/>
  <c r="BE196"/>
  <c r="BD196"/>
  <c r="BC196"/>
  <c r="BB196"/>
  <c r="BA196"/>
  <c r="AX196"/>
  <c r="AW196"/>
  <c r="AV196"/>
  <c r="AC196"/>
  <c r="H196"/>
  <c r="G196" s="1"/>
  <c r="BT195"/>
  <c r="BS195"/>
  <c r="BR195"/>
  <c r="BQ195"/>
  <c r="BP195"/>
  <c r="BO195"/>
  <c r="BN195"/>
  <c r="BM195"/>
  <c r="BL195"/>
  <c r="BK195"/>
  <c r="BJ195"/>
  <c r="BI195"/>
  <c r="BH195"/>
  <c r="BG195"/>
  <c r="BF195"/>
  <c r="BE195"/>
  <c r="BD195"/>
  <c r="BC195"/>
  <c r="BB195"/>
  <c r="BA195" s="1"/>
  <c r="AZ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s="1"/>
  <c r="BT193"/>
  <c r="BS193"/>
  <c r="BR193"/>
  <c r="BQ193"/>
  <c r="BP193"/>
  <c r="BO193"/>
  <c r="BN193"/>
  <c r="BM193"/>
  <c r="BL193"/>
  <c r="BK193"/>
  <c r="BJ193"/>
  <c r="BI193"/>
  <c r="BH193"/>
  <c r="BG193"/>
  <c r="BF193"/>
  <c r="BE193"/>
  <c r="BD193"/>
  <c r="BC193"/>
  <c r="BB193"/>
  <c r="BA193" s="1"/>
  <c r="AZ193"/>
  <c r="AX193"/>
  <c r="AW193"/>
  <c r="AV193"/>
  <c r="AC193"/>
  <c r="H193"/>
  <c r="G193"/>
  <c r="BT192"/>
  <c r="BS192"/>
  <c r="BR192"/>
  <c r="BQ192"/>
  <c r="BP192"/>
  <c r="BO192"/>
  <c r="BN192"/>
  <c r="BM192"/>
  <c r="BL192" s="1"/>
  <c r="BK192"/>
  <c r="BJ192"/>
  <c r="BI192"/>
  <c r="BH192"/>
  <c r="BG192"/>
  <c r="BF192"/>
  <c r="BE192"/>
  <c r="BD192"/>
  <c r="BC192"/>
  <c r="BB192"/>
  <c r="BA192"/>
  <c r="AX192"/>
  <c r="AW192"/>
  <c r="AV192"/>
  <c r="AC192"/>
  <c r="H192"/>
  <c r="G192" s="1"/>
  <c r="BT191"/>
  <c r="BS191"/>
  <c r="BR191"/>
  <c r="BQ191"/>
  <c r="BP191"/>
  <c r="BO191"/>
  <c r="BN191"/>
  <c r="BM191"/>
  <c r="BL191"/>
  <c r="BK191"/>
  <c r="BJ191"/>
  <c r="BI191"/>
  <c r="BH191"/>
  <c r="BG191"/>
  <c r="BF191"/>
  <c r="BE191"/>
  <c r="BD191"/>
  <c r="BC191"/>
  <c r="BB191"/>
  <c r="BA191" s="1"/>
  <c r="AZ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s="1"/>
  <c r="BT189"/>
  <c r="BS189"/>
  <c r="BR189"/>
  <c r="BQ189"/>
  <c r="BP189"/>
  <c r="BO189"/>
  <c r="BN189"/>
  <c r="BM189"/>
  <c r="BL189"/>
  <c r="BK189"/>
  <c r="BJ189"/>
  <c r="BI189"/>
  <c r="BH189"/>
  <c r="BG189"/>
  <c r="BF189"/>
  <c r="BE189"/>
  <c r="BD189"/>
  <c r="BC189"/>
  <c r="BB189"/>
  <c r="BA189" s="1"/>
  <c r="AZ189"/>
  <c r="AX189"/>
  <c r="AW189"/>
  <c r="AV189"/>
  <c r="AC189"/>
  <c r="H189"/>
  <c r="G189"/>
  <c r="BT188"/>
  <c r="BS188"/>
  <c r="BR188"/>
  <c r="BQ188"/>
  <c r="BP188"/>
  <c r="BO188"/>
  <c r="BN188"/>
  <c r="BM188"/>
  <c r="BL188" s="1"/>
  <c r="BK188"/>
  <c r="BJ188"/>
  <c r="BI188"/>
  <c r="BH188"/>
  <c r="BG188"/>
  <c r="BF188"/>
  <c r="BE188"/>
  <c r="BD188"/>
  <c r="BC188"/>
  <c r="BB188"/>
  <c r="BA188"/>
  <c r="AX188"/>
  <c r="AW188"/>
  <c r="AV188"/>
  <c r="AC188"/>
  <c r="H188"/>
  <c r="G188" s="1"/>
  <c r="BT187"/>
  <c r="BS187"/>
  <c r="BR187"/>
  <c r="BQ187"/>
  <c r="BP187"/>
  <c r="BO187"/>
  <c r="BN187"/>
  <c r="BM187"/>
  <c r="BL187"/>
  <c r="BK187"/>
  <c r="BJ187"/>
  <c r="BI187"/>
  <c r="BH187"/>
  <c r="BG187"/>
  <c r="BF187"/>
  <c r="BE187"/>
  <c r="BD187"/>
  <c r="BC187"/>
  <c r="BB187"/>
  <c r="BA187" s="1"/>
  <c r="AZ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s="1"/>
  <c r="BT185"/>
  <c r="BS185"/>
  <c r="BR185"/>
  <c r="BQ185"/>
  <c r="BP185"/>
  <c r="BO185"/>
  <c r="BN185"/>
  <c r="BM185"/>
  <c r="BL185"/>
  <c r="BK185"/>
  <c r="BJ185"/>
  <c r="BI185"/>
  <c r="BH185"/>
  <c r="BG185"/>
  <c r="BF185"/>
  <c r="BE185"/>
  <c r="BD185"/>
  <c r="BC185"/>
  <c r="BB185"/>
  <c r="BA185" s="1"/>
  <c r="AZ185" s="1"/>
  <c r="AX185"/>
  <c r="AW185"/>
  <c r="AV185"/>
  <c r="AC185"/>
  <c r="H185"/>
  <c r="G185"/>
  <c r="BT184"/>
  <c r="BS184"/>
  <c r="BR184"/>
  <c r="BQ184"/>
  <c r="BP184"/>
  <c r="BO184"/>
  <c r="BN184"/>
  <c r="BM184"/>
  <c r="BL184" s="1"/>
  <c r="BK184"/>
  <c r="BJ184"/>
  <c r="BI184"/>
  <c r="BH184"/>
  <c r="BG184"/>
  <c r="BF184"/>
  <c r="BE184"/>
  <c r="BD184"/>
  <c r="BC184"/>
  <c r="BB184"/>
  <c r="BA184"/>
  <c r="AZ184" s="1"/>
  <c r="AX184"/>
  <c r="AW184"/>
  <c r="AV184"/>
  <c r="AC184"/>
  <c r="H184"/>
  <c r="G184" s="1"/>
  <c r="BT183"/>
  <c r="BS183"/>
  <c r="BR183"/>
  <c r="BQ183"/>
  <c r="BP183"/>
  <c r="BO183"/>
  <c r="BN183"/>
  <c r="BM183"/>
  <c r="BL183"/>
  <c r="BK183"/>
  <c r="BJ183"/>
  <c r="BI183"/>
  <c r="BH183"/>
  <c r="BG183"/>
  <c r="BF183"/>
  <c r="BE183"/>
  <c r="BD183"/>
  <c r="BC183"/>
  <c r="BB183"/>
  <c r="BA183" s="1"/>
  <c r="AZ183" s="1"/>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s="1"/>
  <c r="BT181"/>
  <c r="BS181"/>
  <c r="BR181"/>
  <c r="BQ181"/>
  <c r="BP181"/>
  <c r="BO181"/>
  <c r="BN181"/>
  <c r="BM181"/>
  <c r="BL181"/>
  <c r="BK181"/>
  <c r="BJ181"/>
  <c r="BI181"/>
  <c r="BH181"/>
  <c r="BG181"/>
  <c r="BF181"/>
  <c r="BE181"/>
  <c r="BD181"/>
  <c r="BC181"/>
  <c r="BB181"/>
  <c r="BA181" s="1"/>
  <c r="AZ181" s="1"/>
  <c r="AX181"/>
  <c r="AW181"/>
  <c r="AV181"/>
  <c r="AC181"/>
  <c r="H181"/>
  <c r="G181"/>
  <c r="BT180"/>
  <c r="BS180"/>
  <c r="BR180"/>
  <c r="BQ180"/>
  <c r="BP180"/>
  <c r="BO180"/>
  <c r="BN180"/>
  <c r="BM180"/>
  <c r="BL180" s="1"/>
  <c r="BK180"/>
  <c r="BJ180"/>
  <c r="BI180"/>
  <c r="BH180"/>
  <c r="BG180"/>
  <c r="BF180"/>
  <c r="BE180"/>
  <c r="BD180"/>
  <c r="BC180"/>
  <c r="BB180"/>
  <c r="BA180"/>
  <c r="AZ180" s="1"/>
  <c r="AX180"/>
  <c r="AW180"/>
  <c r="AV180"/>
  <c r="AC180"/>
  <c r="H180"/>
  <c r="G180" s="1"/>
  <c r="BT179"/>
  <c r="BS179"/>
  <c r="BR179"/>
  <c r="BQ179"/>
  <c r="BP179"/>
  <c r="BO179"/>
  <c r="BN179"/>
  <c r="BM179"/>
  <c r="BL179"/>
  <c r="BK179"/>
  <c r="BJ179"/>
  <c r="BI179"/>
  <c r="BH179"/>
  <c r="BG179"/>
  <c r="BF179"/>
  <c r="BE179"/>
  <c r="BD179"/>
  <c r="BC179"/>
  <c r="BB179"/>
  <c r="BA179" s="1"/>
  <c r="AZ179" s="1"/>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s="1"/>
  <c r="BT177"/>
  <c r="BS177"/>
  <c r="BR177"/>
  <c r="BQ177"/>
  <c r="BP177"/>
  <c r="BO177"/>
  <c r="BN177"/>
  <c r="BM177"/>
  <c r="BL177"/>
  <c r="BK177"/>
  <c r="BJ177"/>
  <c r="BI177"/>
  <c r="BH177"/>
  <c r="BG177"/>
  <c r="BF177"/>
  <c r="BE177"/>
  <c r="BD177"/>
  <c r="BC177"/>
  <c r="BB177"/>
  <c r="BA177" s="1"/>
  <c r="AZ177" s="1"/>
  <c r="AX177"/>
  <c r="AW177"/>
  <c r="AV177"/>
  <c r="AC177"/>
  <c r="H177"/>
  <c r="G177"/>
  <c r="BT176"/>
  <c r="BS176"/>
  <c r="BR176"/>
  <c r="BQ176"/>
  <c r="BP176"/>
  <c r="BO176"/>
  <c r="BN176"/>
  <c r="BM176"/>
  <c r="BL176" s="1"/>
  <c r="BK176"/>
  <c r="BJ176"/>
  <c r="BI176"/>
  <c r="BH176"/>
  <c r="BG176"/>
  <c r="BF176"/>
  <c r="BE176"/>
  <c r="BD176"/>
  <c r="BC176"/>
  <c r="BB176"/>
  <c r="BA176"/>
  <c r="AZ176" s="1"/>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s="1"/>
  <c r="BT173"/>
  <c r="BS173"/>
  <c r="BR173"/>
  <c r="BQ173"/>
  <c r="BP173"/>
  <c r="BO173"/>
  <c r="BN173"/>
  <c r="BM173"/>
  <c r="BL173"/>
  <c r="BK173"/>
  <c r="BJ173"/>
  <c r="BI173"/>
  <c r="BH173"/>
  <c r="BG173"/>
  <c r="BF173"/>
  <c r="BE173"/>
  <c r="BD173"/>
  <c r="BC173"/>
  <c r="BB173"/>
  <c r="BA173" s="1"/>
  <c r="AZ173" s="1"/>
  <c r="AX173"/>
  <c r="AW173"/>
  <c r="AV173"/>
  <c r="AC173"/>
  <c r="H173"/>
  <c r="G173"/>
  <c r="BT172"/>
  <c r="BS172"/>
  <c r="BR172"/>
  <c r="BQ172"/>
  <c r="BP172"/>
  <c r="BO172"/>
  <c r="BN172"/>
  <c r="BM172"/>
  <c r="BL172" s="1"/>
  <c r="BK172"/>
  <c r="BJ172"/>
  <c r="BI172"/>
  <c r="BH172"/>
  <c r="BG172"/>
  <c r="BF172"/>
  <c r="BE172"/>
  <c r="BD172"/>
  <c r="BC172"/>
  <c r="BB172"/>
  <c r="BA172"/>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s="1"/>
  <c r="BT169"/>
  <c r="BS169"/>
  <c r="BR169"/>
  <c r="BQ169"/>
  <c r="BP169"/>
  <c r="BO169"/>
  <c r="BN169"/>
  <c r="BM169"/>
  <c r="BL169"/>
  <c r="BK169"/>
  <c r="BJ169"/>
  <c r="BI169"/>
  <c r="BH169"/>
  <c r="BG169"/>
  <c r="BF169"/>
  <c r="BE169"/>
  <c r="BD169"/>
  <c r="BC169"/>
  <c r="BB169"/>
  <c r="BA169" s="1"/>
  <c r="AZ169" s="1"/>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Z167" s="1"/>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s="1"/>
  <c r="BT165"/>
  <c r="BS165"/>
  <c r="BR165"/>
  <c r="BQ165"/>
  <c r="BP165"/>
  <c r="BO165"/>
  <c r="BN165"/>
  <c r="BM165"/>
  <c r="BL165"/>
  <c r="BK165"/>
  <c r="BJ165"/>
  <c r="BI165"/>
  <c r="BH165"/>
  <c r="BG165"/>
  <c r="BF165"/>
  <c r="BE165"/>
  <c r="BD165"/>
  <c r="BC165"/>
  <c r="BB165"/>
  <c r="BA165" s="1"/>
  <c r="AZ165" s="1"/>
  <c r="AX165"/>
  <c r="AW165"/>
  <c r="AV165"/>
  <c r="AC165"/>
  <c r="H165"/>
  <c r="G165"/>
  <c r="BT164"/>
  <c r="BS164"/>
  <c r="BR164"/>
  <c r="BQ164"/>
  <c r="BP164"/>
  <c r="BO164"/>
  <c r="BN164"/>
  <c r="BM164"/>
  <c r="BL164" s="1"/>
  <c r="BK164"/>
  <c r="BJ164"/>
  <c r="BI164"/>
  <c r="BH164"/>
  <c r="BG164"/>
  <c r="BF164"/>
  <c r="BE164"/>
  <c r="BD164"/>
  <c r="BC164"/>
  <c r="BB164"/>
  <c r="BA164"/>
  <c r="AZ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s="1"/>
  <c r="BT161"/>
  <c r="BS161"/>
  <c r="BR161"/>
  <c r="BQ161"/>
  <c r="BP161"/>
  <c r="BO161"/>
  <c r="BN161"/>
  <c r="BM161"/>
  <c r="BL161"/>
  <c r="BK161"/>
  <c r="BJ161"/>
  <c r="BI161"/>
  <c r="BH161"/>
  <c r="BG161"/>
  <c r="BF161"/>
  <c r="BE161"/>
  <c r="BD161"/>
  <c r="BC161"/>
  <c r="BB161"/>
  <c r="BA161" s="1"/>
  <c r="AZ161" s="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s="1"/>
  <c r="BT157"/>
  <c r="BS157"/>
  <c r="BR157"/>
  <c r="BQ157"/>
  <c r="BP157"/>
  <c r="BO157"/>
  <c r="BN157"/>
  <c r="BM157"/>
  <c r="BL157"/>
  <c r="BK157"/>
  <c r="BJ157"/>
  <c r="BI157"/>
  <c r="BH157"/>
  <c r="BG157"/>
  <c r="BF157"/>
  <c r="BE157"/>
  <c r="BD157"/>
  <c r="BC157"/>
  <c r="BB157"/>
  <c r="BA157" s="1"/>
  <c r="AZ157" s="1"/>
  <c r="AX157"/>
  <c r="AW157"/>
  <c r="AV157"/>
  <c r="AC157"/>
  <c r="H157"/>
  <c r="G157"/>
  <c r="BT156"/>
  <c r="BS156"/>
  <c r="BR156"/>
  <c r="BQ156"/>
  <c r="BP156"/>
  <c r="BO156"/>
  <c r="BN156"/>
  <c r="BM156"/>
  <c r="BL156" s="1"/>
  <c r="BK156"/>
  <c r="BJ156"/>
  <c r="BI156"/>
  <c r="BH156"/>
  <c r="BG156"/>
  <c r="BF156"/>
  <c r="BE156"/>
  <c r="BD156"/>
  <c r="BC156"/>
  <c r="BB156"/>
  <c r="BA156"/>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s="1"/>
  <c r="BT153"/>
  <c r="BS153"/>
  <c r="BR153"/>
  <c r="BQ153"/>
  <c r="BP153"/>
  <c r="BO153"/>
  <c r="BN153"/>
  <c r="BM153"/>
  <c r="BL153"/>
  <c r="BK153"/>
  <c r="BJ153"/>
  <c r="BI153"/>
  <c r="BH153"/>
  <c r="BG153"/>
  <c r="BF153"/>
  <c r="BE153"/>
  <c r="BD153"/>
  <c r="BC153"/>
  <c r="BB153"/>
  <c r="BA153" s="1"/>
  <c r="AZ153" s="1"/>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s="1"/>
  <c r="BT151"/>
  <c r="BS151"/>
  <c r="BR151"/>
  <c r="BQ151"/>
  <c r="BP151"/>
  <c r="BO151"/>
  <c r="BN151"/>
  <c r="BM151"/>
  <c r="BL151"/>
  <c r="BK151"/>
  <c r="BJ151"/>
  <c r="BI151"/>
  <c r="BH151"/>
  <c r="BG151"/>
  <c r="BF151"/>
  <c r="BE151"/>
  <c r="BD151"/>
  <c r="BC151"/>
  <c r="BB151"/>
  <c r="BA151" s="1"/>
  <c r="AZ151" s="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Z148" s="1"/>
  <c r="AX148"/>
  <c r="AW148"/>
  <c r="AV148"/>
  <c r="AC148"/>
  <c r="H148"/>
  <c r="G148" s="1"/>
  <c r="BT147"/>
  <c r="BS147"/>
  <c r="BR147"/>
  <c r="BQ147"/>
  <c r="BP147"/>
  <c r="BO147"/>
  <c r="BN147"/>
  <c r="BM147"/>
  <c r="BL147"/>
  <c r="BK147"/>
  <c r="BJ147"/>
  <c r="BI147"/>
  <c r="BH147"/>
  <c r="BG147"/>
  <c r="BF147"/>
  <c r="BE147"/>
  <c r="BD147"/>
  <c r="BC147"/>
  <c r="BB147"/>
  <c r="BA147" s="1"/>
  <c r="AZ147" s="1"/>
  <c r="AX147"/>
  <c r="AW147"/>
  <c r="AV147"/>
  <c r="AC147"/>
  <c r="H147"/>
  <c r="G147"/>
  <c r="BT146"/>
  <c r="BS146"/>
  <c r="BR146"/>
  <c r="BQ146"/>
  <c r="BP146"/>
  <c r="BO146"/>
  <c r="BN146"/>
  <c r="BM146"/>
  <c r="BL146" s="1"/>
  <c r="BK146"/>
  <c r="BJ146"/>
  <c r="BI146"/>
  <c r="BH146"/>
  <c r="BG146"/>
  <c r="BF146"/>
  <c r="BE146"/>
  <c r="BD146"/>
  <c r="BC146"/>
  <c r="BB146"/>
  <c r="BA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G144" s="1"/>
  <c r="BT143"/>
  <c r="BS143"/>
  <c r="BR143"/>
  <c r="BQ143"/>
  <c r="BP143"/>
  <c r="BO143"/>
  <c r="BN143"/>
  <c r="BM143"/>
  <c r="BL143"/>
  <c r="BK143"/>
  <c r="BJ143"/>
  <c r="BI143"/>
  <c r="BH143"/>
  <c r="BG143"/>
  <c r="BF143"/>
  <c r="BE143"/>
  <c r="BD143"/>
  <c r="BC143"/>
  <c r="BB143"/>
  <c r="BA143" s="1"/>
  <c r="AZ143" s="1"/>
  <c r="AX143"/>
  <c r="AW143"/>
  <c r="AV143"/>
  <c r="AC143"/>
  <c r="H143"/>
  <c r="G143"/>
  <c r="BT142"/>
  <c r="BS142"/>
  <c r="BR142"/>
  <c r="BQ142"/>
  <c r="BP142"/>
  <c r="BO142"/>
  <c r="BN142"/>
  <c r="BM142"/>
  <c r="BL142" s="1"/>
  <c r="BK142"/>
  <c r="BJ142"/>
  <c r="BI142"/>
  <c r="BH142"/>
  <c r="BG142"/>
  <c r="BF142"/>
  <c r="BE142"/>
  <c r="BD142"/>
  <c r="BC142"/>
  <c r="BB142"/>
  <c r="BA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Z140" s="1"/>
  <c r="AX140"/>
  <c r="AW140"/>
  <c r="AV140"/>
  <c r="AC140"/>
  <c r="H140"/>
  <c r="G140" s="1"/>
  <c r="BT139"/>
  <c r="BS139"/>
  <c r="BR139"/>
  <c r="BQ139"/>
  <c r="BP139"/>
  <c r="BO139"/>
  <c r="BN139"/>
  <c r="BM139"/>
  <c r="BL139"/>
  <c r="BK139"/>
  <c r="BJ139"/>
  <c r="BI139"/>
  <c r="BH139"/>
  <c r="BG139"/>
  <c r="BF139"/>
  <c r="BE139"/>
  <c r="BD139"/>
  <c r="BC139"/>
  <c r="BB139"/>
  <c r="BA139" s="1"/>
  <c r="AZ139" s="1"/>
  <c r="AX139"/>
  <c r="AW139"/>
  <c r="AV139"/>
  <c r="AC139"/>
  <c r="H139"/>
  <c r="G139"/>
  <c r="BT138"/>
  <c r="BS138"/>
  <c r="BR138"/>
  <c r="BQ138"/>
  <c r="BP138"/>
  <c r="BO138"/>
  <c r="BN138"/>
  <c r="BM138"/>
  <c r="BL138" s="1"/>
  <c r="BK138"/>
  <c r="BJ138"/>
  <c r="BI138"/>
  <c r="BH138"/>
  <c r="BG138"/>
  <c r="BF138"/>
  <c r="BE138"/>
  <c r="BD138"/>
  <c r="BC138"/>
  <c r="BB138"/>
  <c r="BA138"/>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G136" s="1"/>
  <c r="BT135"/>
  <c r="BS135"/>
  <c r="BR135"/>
  <c r="BQ135"/>
  <c r="BP135"/>
  <c r="BO135"/>
  <c r="BN135"/>
  <c r="BM135"/>
  <c r="BL135"/>
  <c r="BK135"/>
  <c r="BJ135"/>
  <c r="BI135"/>
  <c r="BH135"/>
  <c r="BG135"/>
  <c r="BF135"/>
  <c r="BE135"/>
  <c r="BD135"/>
  <c r="BC135"/>
  <c r="BB135"/>
  <c r="BA135" s="1"/>
  <c r="AZ135" s="1"/>
  <c r="AX135"/>
  <c r="AW135"/>
  <c r="AV135"/>
  <c r="AC135"/>
  <c r="H135"/>
  <c r="G135"/>
  <c r="BT134"/>
  <c r="BS134"/>
  <c r="BR134"/>
  <c r="BQ134"/>
  <c r="BP134"/>
  <c r="BO134"/>
  <c r="BN134"/>
  <c r="BM134"/>
  <c r="BL134" s="1"/>
  <c r="BK134"/>
  <c r="BJ134"/>
  <c r="BI134"/>
  <c r="BH134"/>
  <c r="BG134"/>
  <c r="BF134"/>
  <c r="BE134"/>
  <c r="BD134"/>
  <c r="BC134"/>
  <c r="BB134"/>
  <c r="BA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c r="AZ132" s="1"/>
  <c r="AX132"/>
  <c r="AW132"/>
  <c r="AV132"/>
  <c r="AC132"/>
  <c r="H132"/>
  <c r="G132" s="1"/>
  <c r="BT131"/>
  <c r="BS131"/>
  <c r="BR131"/>
  <c r="BQ131"/>
  <c r="BP131"/>
  <c r="BO131"/>
  <c r="BN131"/>
  <c r="BM131"/>
  <c r="BL131"/>
  <c r="BK131"/>
  <c r="BJ131"/>
  <c r="BI131"/>
  <c r="BH131"/>
  <c r="BG131"/>
  <c r="BF131"/>
  <c r="BE131"/>
  <c r="BD131"/>
  <c r="BC131"/>
  <c r="BB131"/>
  <c r="BA131" s="1"/>
  <c r="AZ131" s="1"/>
  <c r="AX131"/>
  <c r="AW131"/>
  <c r="AV131"/>
  <c r="AC131"/>
  <c r="H131"/>
  <c r="G131"/>
  <c r="BT130"/>
  <c r="BS130"/>
  <c r="BR130"/>
  <c r="BQ130"/>
  <c r="BP130"/>
  <c r="BO130"/>
  <c r="BN130"/>
  <c r="BM130"/>
  <c r="BL130" s="1"/>
  <c r="BK130"/>
  <c r="BJ130"/>
  <c r="BI130"/>
  <c r="BH130"/>
  <c r="BG130"/>
  <c r="BF130"/>
  <c r="BE130"/>
  <c r="BD130"/>
  <c r="BC130"/>
  <c r="BB130"/>
  <c r="BA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Z128" s="1"/>
  <c r="AX128"/>
  <c r="AW128"/>
  <c r="AV128"/>
  <c r="AC128"/>
  <c r="H128"/>
  <c r="G128" s="1"/>
  <c r="BT127"/>
  <c r="BS127"/>
  <c r="BR127"/>
  <c r="BQ127"/>
  <c r="BP127"/>
  <c r="BO127"/>
  <c r="BN127"/>
  <c r="BM127"/>
  <c r="BL127"/>
  <c r="BK127"/>
  <c r="BJ127"/>
  <c r="BI127"/>
  <c r="BH127"/>
  <c r="BG127"/>
  <c r="BF127"/>
  <c r="BE127"/>
  <c r="BD127"/>
  <c r="BC127"/>
  <c r="BB127"/>
  <c r="BA127" s="1"/>
  <c r="AZ127" s="1"/>
  <c r="AX127"/>
  <c r="AW127"/>
  <c r="AV127"/>
  <c r="AC127"/>
  <c r="H127"/>
  <c r="G127"/>
  <c r="BT126"/>
  <c r="BS126"/>
  <c r="BR126"/>
  <c r="BQ126"/>
  <c r="BP126"/>
  <c r="BO126"/>
  <c r="BN126"/>
  <c r="BM126"/>
  <c r="BL126" s="1"/>
  <c r="BK126"/>
  <c r="BJ126"/>
  <c r="BI126"/>
  <c r="BH126"/>
  <c r="BG126"/>
  <c r="BF126"/>
  <c r="BE126"/>
  <c r="BD126"/>
  <c r="BC126"/>
  <c r="BB126"/>
  <c r="BA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Z124" s="1"/>
  <c r="AX124"/>
  <c r="AW124"/>
  <c r="AV124"/>
  <c r="AC124"/>
  <c r="H124"/>
  <c r="G124" s="1"/>
  <c r="BT123"/>
  <c r="BS123"/>
  <c r="BR123"/>
  <c r="BQ123"/>
  <c r="BP123"/>
  <c r="BO123"/>
  <c r="BN123"/>
  <c r="BM123"/>
  <c r="BL123"/>
  <c r="BK123"/>
  <c r="BJ123"/>
  <c r="BI123"/>
  <c r="BH123"/>
  <c r="BG123"/>
  <c r="BF123"/>
  <c r="BE123"/>
  <c r="BD123"/>
  <c r="BC123"/>
  <c r="BB123"/>
  <c r="BA123" s="1"/>
  <c r="AZ123" s="1"/>
  <c r="AX123"/>
  <c r="AW123"/>
  <c r="AV123"/>
  <c r="AC123"/>
  <c r="H123"/>
  <c r="G123"/>
  <c r="BT122"/>
  <c r="BS122"/>
  <c r="BR122"/>
  <c r="BQ122"/>
  <c r="BP122"/>
  <c r="BO122"/>
  <c r="BN122"/>
  <c r="BM122"/>
  <c r="BL122" s="1"/>
  <c r="BK122"/>
  <c r="BJ122"/>
  <c r="BI122"/>
  <c r="BH122"/>
  <c r="BG122"/>
  <c r="BF122"/>
  <c r="BE122"/>
  <c r="BD122"/>
  <c r="BC122"/>
  <c r="BB122"/>
  <c r="BA122"/>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G120" s="1"/>
  <c r="BT119"/>
  <c r="BS119"/>
  <c r="BR119"/>
  <c r="BQ119"/>
  <c r="BP119"/>
  <c r="BO119"/>
  <c r="BN119"/>
  <c r="BM119"/>
  <c r="BL119"/>
  <c r="BK119"/>
  <c r="BJ119"/>
  <c r="BI119"/>
  <c r="BH119"/>
  <c r="BG119"/>
  <c r="BF119"/>
  <c r="BE119"/>
  <c r="BD119"/>
  <c r="BC119"/>
  <c r="BB119"/>
  <c r="BA119" s="1"/>
  <c r="AZ119" s="1"/>
  <c r="AX119"/>
  <c r="AW119"/>
  <c r="AV119"/>
  <c r="AC119"/>
  <c r="H119"/>
  <c r="G119"/>
  <c r="BT118"/>
  <c r="BS118"/>
  <c r="BR118"/>
  <c r="BQ118"/>
  <c r="BP118"/>
  <c r="BO118"/>
  <c r="BN118"/>
  <c r="BM118"/>
  <c r="BL118" s="1"/>
  <c r="BK118"/>
  <c r="BJ118"/>
  <c r="BI118"/>
  <c r="BH118"/>
  <c r="BG118"/>
  <c r="BF118"/>
  <c r="BE118"/>
  <c r="BD118"/>
  <c r="BC118"/>
  <c r="BB118"/>
  <c r="BA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Z116" s="1"/>
  <c r="AX116"/>
  <c r="AW116"/>
  <c r="AV116"/>
  <c r="AC116"/>
  <c r="H116"/>
  <c r="G116" s="1"/>
  <c r="BT115"/>
  <c r="BS115"/>
  <c r="BR115"/>
  <c r="BQ115"/>
  <c r="BP115"/>
  <c r="BO115"/>
  <c r="BN115"/>
  <c r="BM115"/>
  <c r="BL115"/>
  <c r="BK115"/>
  <c r="BJ115"/>
  <c r="BI115"/>
  <c r="BH115"/>
  <c r="BG115"/>
  <c r="BF115"/>
  <c r="BE115"/>
  <c r="BD115"/>
  <c r="BC115"/>
  <c r="BB115"/>
  <c r="BA115" s="1"/>
  <c r="AZ115" s="1"/>
  <c r="AX115"/>
  <c r="AW115"/>
  <c r="AV115"/>
  <c r="AC115"/>
  <c r="H115"/>
  <c r="G115"/>
  <c r="BT114"/>
  <c r="BS114"/>
  <c r="BR114"/>
  <c r="BQ114"/>
  <c r="BP114"/>
  <c r="BO114"/>
  <c r="BN114"/>
  <c r="BM114"/>
  <c r="BL114" s="1"/>
  <c r="BK114"/>
  <c r="BJ114"/>
  <c r="BI114"/>
  <c r="BH114"/>
  <c r="BG114"/>
  <c r="BF114"/>
  <c r="BE114"/>
  <c r="BD114"/>
  <c r="BC114"/>
  <c r="BB114"/>
  <c r="BA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112"/>
  <c r="BS112"/>
  <c r="BR112"/>
  <c r="BQ112"/>
  <c r="BP112"/>
  <c r="BO112"/>
  <c r="BN112"/>
  <c r="BM112"/>
  <c r="BL112" s="1"/>
  <c r="BK112"/>
  <c r="BJ112"/>
  <c r="BI112"/>
  <c r="BH112"/>
  <c r="BG112"/>
  <c r="BF112"/>
  <c r="BE112"/>
  <c r="BD112"/>
  <c r="BC112"/>
  <c r="BB112"/>
  <c r="BA112"/>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Z107" s="1"/>
  <c r="AX107"/>
  <c r="AW107"/>
  <c r="AV107"/>
  <c r="AC107"/>
  <c r="H107"/>
  <c r="G107"/>
  <c r="BT106"/>
  <c r="BS106"/>
  <c r="BR106"/>
  <c r="BQ106"/>
  <c r="BP106"/>
  <c r="BO106"/>
  <c r="BN106"/>
  <c r="BM106"/>
  <c r="BL106" s="1"/>
  <c r="BK106"/>
  <c r="BJ106"/>
  <c r="BI106"/>
  <c r="BH106"/>
  <c r="BG106"/>
  <c r="BF106"/>
  <c r="BE106"/>
  <c r="BD106"/>
  <c r="BC106"/>
  <c r="BB106"/>
  <c r="BA106"/>
  <c r="AZ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Z102" s="1"/>
  <c r="AX102"/>
  <c r="AW102"/>
  <c r="AV102"/>
  <c r="AC102"/>
  <c r="H102"/>
  <c r="G102" s="1"/>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Z97" s="1"/>
  <c r="AX97"/>
  <c r="AW97"/>
  <c r="AV97"/>
  <c r="AC97"/>
  <c r="H97"/>
  <c r="G97"/>
  <c r="BT96"/>
  <c r="BS96"/>
  <c r="BR96"/>
  <c r="BQ96"/>
  <c r="BP96"/>
  <c r="BO96"/>
  <c r="BN96"/>
  <c r="BM96"/>
  <c r="BL96" s="1"/>
  <c r="BK96"/>
  <c r="BJ96"/>
  <c r="BI96"/>
  <c r="BH96"/>
  <c r="BG96"/>
  <c r="BF96"/>
  <c r="BE96"/>
  <c r="BD96"/>
  <c r="BC96"/>
  <c r="BB96"/>
  <c r="BA96"/>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Z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Z91" s="1"/>
  <c r="AX91"/>
  <c r="AW91"/>
  <c r="AV91"/>
  <c r="AC91"/>
  <c r="H91"/>
  <c r="G91"/>
  <c r="BT90"/>
  <c r="BS90"/>
  <c r="BR90"/>
  <c r="BQ90"/>
  <c r="BP90"/>
  <c r="BO90"/>
  <c r="BN90"/>
  <c r="BM90"/>
  <c r="BL90" s="1"/>
  <c r="BK90"/>
  <c r="BJ90"/>
  <c r="BI90"/>
  <c r="BH90"/>
  <c r="BG90"/>
  <c r="BF90"/>
  <c r="BE90"/>
  <c r="BD90"/>
  <c r="BC90"/>
  <c r="BB90"/>
  <c r="BA90"/>
  <c r="AZ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Z86" s="1"/>
  <c r="AX86"/>
  <c r="AW86"/>
  <c r="AV86"/>
  <c r="AC86"/>
  <c r="H86"/>
  <c r="G86" s="1"/>
  <c r="BT85"/>
  <c r="BS85"/>
  <c r="BR85"/>
  <c r="BQ85"/>
  <c r="BP85"/>
  <c r="BO85"/>
  <c r="BN85"/>
  <c r="BM85"/>
  <c r="BL85"/>
  <c r="BK85"/>
  <c r="BJ85"/>
  <c r="BI85"/>
  <c r="BH85"/>
  <c r="BG85"/>
  <c r="BF85"/>
  <c r="BE85"/>
  <c r="BD85"/>
  <c r="BC85"/>
  <c r="BB85"/>
  <c r="BA85" s="1"/>
  <c r="AZ85" s="1"/>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Z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Z79" s="1"/>
  <c r="AX79"/>
  <c r="AW79"/>
  <c r="AV79"/>
  <c r="AC79"/>
  <c r="H79"/>
  <c r="G79"/>
  <c r="BT78"/>
  <c r="BS78"/>
  <c r="BR78"/>
  <c r="BQ78"/>
  <c r="BP78"/>
  <c r="BO78"/>
  <c r="BN78"/>
  <c r="BM78"/>
  <c r="BL78" s="1"/>
  <c r="BK78"/>
  <c r="BJ78"/>
  <c r="BI78"/>
  <c r="BH78"/>
  <c r="BG78"/>
  <c r="BF78"/>
  <c r="BE78"/>
  <c r="BD78"/>
  <c r="BC78"/>
  <c r="BB78"/>
  <c r="BA78"/>
  <c r="AZ78" s="1"/>
  <c r="AX78"/>
  <c r="AW78"/>
  <c r="AV78"/>
  <c r="AC78"/>
  <c r="H78"/>
  <c r="G78" s="1"/>
  <c r="BT77"/>
  <c r="BS77"/>
  <c r="BR77"/>
  <c r="BQ77"/>
  <c r="BP77"/>
  <c r="BO77"/>
  <c r="BN77"/>
  <c r="BM77"/>
  <c r="BL77"/>
  <c r="BK77"/>
  <c r="BJ77"/>
  <c r="BI77"/>
  <c r="BH77"/>
  <c r="BG77"/>
  <c r="BF77"/>
  <c r="BE77"/>
  <c r="BD77"/>
  <c r="BC77"/>
  <c r="BB77"/>
  <c r="BA77" s="1"/>
  <c r="AZ77" s="1"/>
  <c r="AX77"/>
  <c r="AW77"/>
  <c r="AV77"/>
  <c r="AC77"/>
  <c r="H77"/>
  <c r="G77"/>
  <c r="BT76"/>
  <c r="BS76"/>
  <c r="BR76"/>
  <c r="BQ76"/>
  <c r="BP76"/>
  <c r="BO76"/>
  <c r="BN76"/>
  <c r="BM76"/>
  <c r="BL76" s="1"/>
  <c r="BK76"/>
  <c r="BJ76"/>
  <c r="BI76"/>
  <c r="BH76"/>
  <c r="BG76"/>
  <c r="BF76"/>
  <c r="BE76"/>
  <c r="BD76"/>
  <c r="BC76"/>
  <c r="BB76"/>
  <c r="BA76"/>
  <c r="AX76"/>
  <c r="AW76"/>
  <c r="AV76"/>
  <c r="AC76"/>
  <c r="H76"/>
  <c r="G76" s="1"/>
  <c r="BT75"/>
  <c r="BS75"/>
  <c r="BR75"/>
  <c r="BQ75"/>
  <c r="BP75"/>
  <c r="BO75"/>
  <c r="BN75"/>
  <c r="BM75"/>
  <c r="BL75"/>
  <c r="BK75"/>
  <c r="BJ75"/>
  <c r="BI75"/>
  <c r="BH75"/>
  <c r="BG75"/>
  <c r="BF75"/>
  <c r="BE75"/>
  <c r="BD75"/>
  <c r="BC75"/>
  <c r="BB75"/>
  <c r="BA75" s="1"/>
  <c r="AZ75" s="1"/>
  <c r="AX75"/>
  <c r="AW75"/>
  <c r="AV75"/>
  <c r="AC75"/>
  <c r="H75"/>
  <c r="G75"/>
  <c r="BT74"/>
  <c r="BS74"/>
  <c r="BR74"/>
  <c r="BQ74"/>
  <c r="BP74"/>
  <c r="BO74"/>
  <c r="BN74"/>
  <c r="BM74"/>
  <c r="BL74" s="1"/>
  <c r="BK74"/>
  <c r="BJ74"/>
  <c r="BI74"/>
  <c r="BH74"/>
  <c r="BG74"/>
  <c r="BF74"/>
  <c r="BE74"/>
  <c r="BD74"/>
  <c r="BC74"/>
  <c r="BB74"/>
  <c r="BA74"/>
  <c r="AZ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Z71" s="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s="1"/>
  <c r="AX67"/>
  <c r="AW67"/>
  <c r="AV67"/>
  <c r="AC67"/>
  <c r="H67"/>
  <c r="G67"/>
  <c r="BT66"/>
  <c r="BS66"/>
  <c r="BR66"/>
  <c r="BQ66"/>
  <c r="BP66"/>
  <c r="BO66"/>
  <c r="BN66"/>
  <c r="BM66"/>
  <c r="BL66" s="1"/>
  <c r="BK66"/>
  <c r="BJ66"/>
  <c r="BI66"/>
  <c r="BH66"/>
  <c r="BG66"/>
  <c r="BF66"/>
  <c r="BE66"/>
  <c r="BD66"/>
  <c r="BC66"/>
  <c r="BB66"/>
  <c r="BA66"/>
  <c r="AZ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Z63" s="1"/>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Z59" s="1"/>
  <c r="AX59"/>
  <c r="AW59"/>
  <c r="AV59"/>
  <c r="AC59"/>
  <c r="H59"/>
  <c r="G59"/>
  <c r="BT58"/>
  <c r="BS58"/>
  <c r="BR58"/>
  <c r="BQ58"/>
  <c r="BP58"/>
  <c r="BO58"/>
  <c r="BN58"/>
  <c r="BM58"/>
  <c r="BL58" s="1"/>
  <c r="BK58"/>
  <c r="BJ58"/>
  <c r="BI58"/>
  <c r="BH58"/>
  <c r="BG58"/>
  <c r="BF58"/>
  <c r="BE58"/>
  <c r="BD58"/>
  <c r="BC58"/>
  <c r="BB58"/>
  <c r="BA58"/>
  <c r="AZ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s="1"/>
  <c r="BT55"/>
  <c r="BS55"/>
  <c r="BR55"/>
  <c r="BQ55"/>
  <c r="BP55"/>
  <c r="BO55"/>
  <c r="BN55"/>
  <c r="BM55"/>
  <c r="BL55"/>
  <c r="BK55"/>
  <c r="BJ55"/>
  <c r="BI55"/>
  <c r="BH55"/>
  <c r="BG55"/>
  <c r="BF55"/>
  <c r="BE55"/>
  <c r="BD55"/>
  <c r="BC55"/>
  <c r="BB55"/>
  <c r="BA55" s="1"/>
  <c r="AZ55" s="1"/>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Z53" s="1"/>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Z51" s="1"/>
  <c r="AX51"/>
  <c r="AW51"/>
  <c r="AV51"/>
  <c r="AC51"/>
  <c r="H51"/>
  <c r="G51"/>
  <c r="BT50"/>
  <c r="BS50"/>
  <c r="BR50"/>
  <c r="BQ50"/>
  <c r="BP50"/>
  <c r="BO50"/>
  <c r="BN50"/>
  <c r="BM50"/>
  <c r="BL50" s="1"/>
  <c r="BK50"/>
  <c r="BJ50"/>
  <c r="BI50"/>
  <c r="BH50"/>
  <c r="BG50"/>
  <c r="BF50"/>
  <c r="BE50"/>
  <c r="BD50"/>
  <c r="BC50"/>
  <c r="BB50"/>
  <c r="BA50"/>
  <c r="AZ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s="1"/>
  <c r="BT47"/>
  <c r="BS47"/>
  <c r="BR47"/>
  <c r="BQ47"/>
  <c r="BP47"/>
  <c r="BO47"/>
  <c r="BN47"/>
  <c r="BM47"/>
  <c r="BL47"/>
  <c r="BK47"/>
  <c r="BJ47"/>
  <c r="BI47"/>
  <c r="BH47"/>
  <c r="BG47"/>
  <c r="BF47"/>
  <c r="BE47"/>
  <c r="BD47"/>
  <c r="BC47"/>
  <c r="BB47"/>
  <c r="BA47" s="1"/>
  <c r="AZ47" s="1"/>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Z43" s="1"/>
  <c r="AX43"/>
  <c r="AW43"/>
  <c r="AV43"/>
  <c r="AC43"/>
  <c r="H43"/>
  <c r="G43"/>
  <c r="BT42"/>
  <c r="BS42"/>
  <c r="BR42"/>
  <c r="BQ42"/>
  <c r="BP42"/>
  <c r="BO42"/>
  <c r="BN42"/>
  <c r="BM42"/>
  <c r="BL42" s="1"/>
  <c r="BK42"/>
  <c r="BJ42"/>
  <c r="BI42"/>
  <c r="BH42"/>
  <c r="BG42"/>
  <c r="BF42"/>
  <c r="BE42"/>
  <c r="BD42"/>
  <c r="BC42"/>
  <c r="BB42"/>
  <c r="BA42"/>
  <c r="AZ42" s="1"/>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s="1"/>
  <c r="BT39"/>
  <c r="BS39"/>
  <c r="BR39"/>
  <c r="BQ39"/>
  <c r="BP39"/>
  <c r="BO39"/>
  <c r="BN39"/>
  <c r="BM39"/>
  <c r="BL39"/>
  <c r="BK39"/>
  <c r="BJ39"/>
  <c r="BI39"/>
  <c r="BH39"/>
  <c r="BG39"/>
  <c r="BF39"/>
  <c r="BE39"/>
  <c r="BD39"/>
  <c r="BC39"/>
  <c r="BB39"/>
  <c r="BA39" s="1"/>
  <c r="AZ39" s="1"/>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Z37" s="1"/>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Z35" s="1"/>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s="1"/>
  <c r="BT31"/>
  <c r="BS31"/>
  <c r="BR31"/>
  <c r="BQ31"/>
  <c r="BP31"/>
  <c r="BO31"/>
  <c r="BN31"/>
  <c r="BM31"/>
  <c r="BL31"/>
  <c r="BK31"/>
  <c r="BJ31"/>
  <c r="BI31"/>
  <c r="BH31"/>
  <c r="BG31"/>
  <c r="BF31"/>
  <c r="BE31"/>
  <c r="BD31"/>
  <c r="BC31"/>
  <c r="BB31"/>
  <c r="BA31" s="1"/>
  <c r="AZ31" s="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Z26" s="1"/>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s="1"/>
  <c r="BT23"/>
  <c r="BS23"/>
  <c r="BR23"/>
  <c r="BQ23"/>
  <c r="BP23"/>
  <c r="BO23"/>
  <c r="BN23"/>
  <c r="BM23"/>
  <c r="BL23"/>
  <c r="BK23"/>
  <c r="BJ23"/>
  <c r="BI23"/>
  <c r="BH23"/>
  <c r="BG23"/>
  <c r="BF23"/>
  <c r="BE23"/>
  <c r="BD23"/>
  <c r="BC23"/>
  <c r="BB23"/>
  <c r="BA23" s="1"/>
  <c r="AZ23" s="1"/>
  <c r="AX23"/>
  <c r="AW23"/>
  <c r="AV23"/>
  <c r="AC23"/>
  <c r="H23"/>
  <c r="G23"/>
  <c r="BT22"/>
  <c r="BS22"/>
  <c r="BR22"/>
  <c r="BQ22"/>
  <c r="BP22"/>
  <c r="BO22"/>
  <c r="BN22"/>
  <c r="BM22"/>
  <c r="BL22" s="1"/>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
  <c r="BS20"/>
  <c r="BR20"/>
  <c r="BQ20"/>
  <c r="BP20"/>
  <c r="BO20"/>
  <c r="BN20"/>
  <c r="BM20"/>
  <c r="BL20" s="1"/>
  <c r="BK20"/>
  <c r="BJ20"/>
  <c r="BI20"/>
  <c r="BH20"/>
  <c r="BG20"/>
  <c r="BF20"/>
  <c r="BE20"/>
  <c r="BD20"/>
  <c r="BC20"/>
  <c r="BB20"/>
  <c r="BA20"/>
  <c r="AX20"/>
  <c r="AW20"/>
  <c r="AV20"/>
  <c r="AC20"/>
  <c r="H20"/>
  <c r="G20" s="1"/>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c r="AX18"/>
  <c r="AW18"/>
  <c r="AV18"/>
  <c r="AC18"/>
  <c r="H18"/>
  <c r="G18" s="1"/>
  <c r="BT17"/>
  <c r="BS17"/>
  <c r="BR17"/>
  <c r="BQ17"/>
  <c r="BP17"/>
  <c r="BO17"/>
  <c r="BN17"/>
  <c r="BM17"/>
  <c r="BL17"/>
  <c r="BK17"/>
  <c r="BJ17"/>
  <c r="BI17"/>
  <c r="BH17"/>
  <c r="BG17"/>
  <c r="BF17"/>
  <c r="BE17"/>
  <c r="BD17"/>
  <c r="BC17"/>
  <c r="BB17"/>
  <c r="BA17" s="1"/>
  <c r="AZ17" s="1"/>
  <c r="AX17"/>
  <c r="AW17"/>
  <c r="AV17"/>
  <c r="AC17"/>
  <c r="H17"/>
  <c r="G17"/>
  <c r="BT16"/>
  <c r="BS16"/>
  <c r="BR16"/>
  <c r="BQ16"/>
  <c r="BP16"/>
  <c r="BO16"/>
  <c r="BN16"/>
  <c r="BM16"/>
  <c r="BL16" s="1"/>
  <c r="BK16"/>
  <c r="BJ16"/>
  <c r="BI16"/>
  <c r="BH16"/>
  <c r="BG16"/>
  <c r="BF16"/>
  <c r="BE16"/>
  <c r="BD16"/>
  <c r="BC16"/>
  <c r="BB16"/>
  <c r="BA16"/>
  <c r="AX16"/>
  <c r="AW16"/>
  <c r="AV16"/>
  <c r="AC16"/>
  <c r="H16"/>
  <c r="G16" s="1"/>
  <c r="BT15"/>
  <c r="BS15"/>
  <c r="BR15"/>
  <c r="BQ15"/>
  <c r="BP15"/>
  <c r="BO15"/>
  <c r="BN15"/>
  <c r="BM15"/>
  <c r="BL15"/>
  <c r="BK15"/>
  <c r="BJ15"/>
  <c r="BI15"/>
  <c r="BH15"/>
  <c r="BG15"/>
  <c r="BF15"/>
  <c r="BE15"/>
  <c r="BD15"/>
  <c r="BC15"/>
  <c r="BB15"/>
  <c r="BA15" s="1"/>
  <c r="AZ15" s="1"/>
  <c r="AX15"/>
  <c r="AW15"/>
  <c r="AV15"/>
  <c r="AC15"/>
  <c r="H15"/>
  <c r="G15"/>
  <c r="BT14"/>
  <c r="BS14"/>
  <c r="BR14"/>
  <c r="BQ14"/>
  <c r="BP14"/>
  <c r="BO14"/>
  <c r="BN14"/>
  <c r="BM14"/>
  <c r="BL14" s="1"/>
  <c r="BK14"/>
  <c r="BJ14"/>
  <c r="BI14"/>
  <c r="BH14"/>
  <c r="BG14"/>
  <c r="BF14"/>
  <c r="BE14"/>
  <c r="BD14"/>
  <c r="BC14"/>
  <c r="BB14"/>
  <c r="AX14"/>
  <c r="AW14"/>
  <c r="AV14"/>
  <c r="AC14"/>
  <c r="H14"/>
  <c r="G14" s="1"/>
  <c r="BT13"/>
  <c r="BT5" s="1"/>
  <c r="BS13"/>
  <c r="BR13"/>
  <c r="BQ13"/>
  <c r="BP13"/>
  <c r="BP5" s="1"/>
  <c r="BO13"/>
  <c r="BN13"/>
  <c r="BM13"/>
  <c r="BK13"/>
  <c r="BK5" s="1"/>
  <c r="BJ13"/>
  <c r="BI13"/>
  <c r="BI5" s="1"/>
  <c r="BH13"/>
  <c r="BG13"/>
  <c r="BG5" s="1"/>
  <c r="BF13"/>
  <c r="BE13"/>
  <c r="BE5" s="1"/>
  <c r="BD13"/>
  <c r="BC13"/>
  <c r="BC5" s="1"/>
  <c r="BB13"/>
  <c r="BA13"/>
  <c r="AX13"/>
  <c r="AW13"/>
  <c r="AV13"/>
  <c r="AC13"/>
  <c r="H13"/>
  <c r="G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E5" i="6" s="1"/>
  <c r="D12" i="11" s="1"/>
  <c r="C12" s="1"/>
  <c r="BT10" i="3"/>
  <c r="BS10"/>
  <c r="BR10"/>
  <c r="BQ10"/>
  <c r="BP10"/>
  <c r="BO10"/>
  <c r="BN10"/>
  <c r="BM10"/>
  <c r="BK10"/>
  <c r="BJ10"/>
  <c r="BI10"/>
  <c r="BH10"/>
  <c r="BG10"/>
  <c r="BF10"/>
  <c r="BE10"/>
  <c r="BD10"/>
  <c r="BC10"/>
  <c r="BB10"/>
  <c r="BR5"/>
  <c r="BN5"/>
  <c r="BJ5"/>
  <c r="BH5"/>
  <c r="BF5"/>
  <c r="BD5"/>
  <c r="BB5"/>
  <c r="AT5"/>
  <c r="AS5"/>
  <c r="AR5"/>
  <c r="AQ5"/>
  <c r="AP5"/>
  <c r="AO5"/>
  <c r="AN5"/>
  <c r="AM5"/>
  <c r="AL5"/>
  <c r="AK5"/>
  <c r="AJ5"/>
  <c r="AI5"/>
  <c r="AH5"/>
  <c r="AG5"/>
  <c r="AF5"/>
  <c r="AE5"/>
  <c r="AD5"/>
  <c r="AC5"/>
  <c r="AB5"/>
  <c r="AA5"/>
  <c r="Z5"/>
  <c r="Y5"/>
  <c r="X5"/>
  <c r="W5"/>
  <c r="V5"/>
  <c r="U5"/>
  <c r="T5"/>
  <c r="S5"/>
  <c r="R5"/>
  <c r="Q5"/>
  <c r="P5"/>
  <c r="O5"/>
  <c r="N5"/>
  <c r="M5"/>
  <c r="L5"/>
  <c r="K5"/>
  <c r="J5"/>
  <c r="I5"/>
  <c r="I4" i="6" s="1"/>
  <c r="G3" i="46" s="1"/>
  <c r="M101" s="1"/>
  <c r="F5" i="3"/>
  <c r="R41" i="4"/>
  <c r="Q41"/>
  <c r="P41"/>
  <c r="O41"/>
  <c r="N41"/>
  <c r="M41"/>
  <c r="L41"/>
  <c r="F41"/>
  <c r="J52" i="40" s="1"/>
  <c r="K40" i="4"/>
  <c r="T40" s="1"/>
  <c r="T41" s="1"/>
  <c r="G36"/>
  <c r="C35"/>
  <c r="L26"/>
  <c r="L25"/>
  <c r="L24"/>
  <c r="A2" i="55" s="1"/>
  <c r="B55" i="63" s="1"/>
  <c r="F23" i="4"/>
  <c r="I19"/>
  <c r="H19"/>
  <c r="G19"/>
  <c r="F19"/>
  <c r="D19"/>
  <c r="U16"/>
  <c r="S16"/>
  <c r="T16" s="1"/>
  <c r="Q16"/>
  <c r="R16" s="1"/>
  <c r="O16"/>
  <c r="P16" s="1"/>
  <c r="M16"/>
  <c r="N16" s="1"/>
  <c r="K16"/>
  <c r="D14"/>
  <c r="K6"/>
  <c r="K4"/>
  <c r="B46" i="50" s="1"/>
  <c r="B4" i="63" s="1"/>
  <c r="I4" i="4"/>
  <c r="G4"/>
  <c r="D3"/>
  <c r="K2" i="54" s="1"/>
  <c r="B23" i="63" s="1"/>
  <c r="K2" i="4"/>
  <c r="K1"/>
  <c r="B1"/>
  <c r="B37" i="50" s="1"/>
  <c r="B2" i="63" s="1"/>
  <c r="C57" i="10"/>
  <c r="A28" i="64" s="1"/>
  <c r="C56" i="10"/>
  <c r="C55"/>
  <c r="C54"/>
  <c r="D51"/>
  <c r="A9" i="64" s="1"/>
  <c r="B51" i="10"/>
  <c r="B2" i="52"/>
  <c r="E21" s="1"/>
  <c r="A21" i="55"/>
  <c r="A20"/>
  <c r="B69" i="63" s="1"/>
  <c r="A16" i="55"/>
  <c r="B67" i="63" s="1"/>
  <c r="A15" i="55"/>
  <c r="B66" i="63" s="1"/>
  <c r="A14" i="55"/>
  <c r="B65" i="63" s="1"/>
  <c r="A11" i="55"/>
  <c r="B62" i="63" s="1"/>
  <c r="A10" i="55"/>
  <c r="B61" i="63" s="1"/>
  <c r="A9" i="55"/>
  <c r="A8"/>
  <c r="B59" i="63" s="1"/>
  <c r="A4" i="55"/>
  <c r="A8" i="54"/>
  <c r="B53" i="63" s="1"/>
  <c r="A7" i="54"/>
  <c r="B51" i="63" s="1"/>
  <c r="A6" i="54"/>
  <c r="M5"/>
  <c r="K5"/>
  <c r="G5"/>
  <c r="E5"/>
  <c r="N3"/>
  <c r="B42" i="63" s="1"/>
  <c r="R2" i="54"/>
  <c r="A30" i="64"/>
  <c r="A27"/>
  <c r="A26"/>
  <c r="A21"/>
  <c r="A18"/>
  <c r="B74" i="63" s="1"/>
  <c r="A15" i="64"/>
  <c r="A14"/>
  <c r="A3"/>
  <c r="A30" i="51"/>
  <c r="A28"/>
  <c r="B21" i="63" s="1"/>
  <c r="A27" i="51"/>
  <c r="A26"/>
  <c r="B19" i="63" s="1"/>
  <c r="A23" i="51"/>
  <c r="B17" i="63" s="1"/>
  <c r="A18" i="51"/>
  <c r="B14" i="63" s="1"/>
  <c r="A15" i="51"/>
  <c r="A14"/>
  <c r="B11" i="63" s="1"/>
  <c r="A11" i="51"/>
  <c r="A3"/>
  <c r="B49" i="50"/>
  <c r="B5" i="63" s="1"/>
  <c r="B40" i="50"/>
  <c r="B3" i="63" s="1"/>
  <c r="B76"/>
  <c r="B75"/>
  <c r="B73"/>
  <c r="B71"/>
  <c r="B68"/>
  <c r="B64"/>
  <c r="B63"/>
  <c r="B60"/>
  <c r="B58"/>
  <c r="B57"/>
  <c r="B49"/>
  <c r="B44"/>
  <c r="B41"/>
  <c r="B40"/>
  <c r="B38"/>
  <c r="B37"/>
  <c r="B36"/>
  <c r="B35"/>
  <c r="B34"/>
  <c r="B33"/>
  <c r="B32"/>
  <c r="B31"/>
  <c r="B30"/>
  <c r="B29"/>
  <c r="B28"/>
  <c r="B27"/>
  <c r="B26"/>
  <c r="B25"/>
  <c r="B24"/>
  <c r="B22"/>
  <c r="B20"/>
  <c r="B12"/>
  <c r="B10"/>
  <c r="B8"/>
  <c r="F8" i="67"/>
  <c r="F9"/>
  <c r="E14"/>
  <c r="E9"/>
  <c r="E11"/>
  <c r="B13"/>
  <c r="B9"/>
  <c r="F12"/>
  <c r="F10"/>
  <c r="F14"/>
  <c r="F13"/>
  <c r="B8"/>
  <c r="E8"/>
  <c r="B11"/>
  <c r="E13"/>
  <c r="E10"/>
  <c r="B12"/>
  <c r="E12"/>
  <c r="B10"/>
  <c r="B14"/>
  <c r="F11"/>
  <c r="A11" i="64" l="1"/>
  <c r="L16" i="4"/>
  <c r="K17" s="1"/>
  <c r="A22" i="51" s="1"/>
  <c r="B16" i="63" s="1"/>
  <c r="AZ18" i="3"/>
  <c r="AZ110"/>
  <c r="AZ114"/>
  <c r="AZ118"/>
  <c r="AZ122"/>
  <c r="AZ126"/>
  <c r="AZ130"/>
  <c r="AZ134"/>
  <c r="AZ138"/>
  <c r="AZ142"/>
  <c r="AZ146"/>
  <c r="AZ150"/>
  <c r="AZ154"/>
  <c r="AZ158"/>
  <c r="AZ162"/>
  <c r="AZ166"/>
  <c r="AZ170"/>
  <c r="AZ174"/>
  <c r="AZ178"/>
  <c r="AZ182"/>
  <c r="AZ16"/>
  <c r="AZ20"/>
  <c r="AZ24"/>
  <c r="AZ28"/>
  <c r="AZ32"/>
  <c r="AZ36"/>
  <c r="AZ40"/>
  <c r="AZ44"/>
  <c r="AZ48"/>
  <c r="AZ52"/>
  <c r="AZ56"/>
  <c r="AZ60"/>
  <c r="AZ64"/>
  <c r="AZ68"/>
  <c r="AZ72"/>
  <c r="AZ76"/>
  <c r="AZ80"/>
  <c r="AZ84"/>
  <c r="AZ88"/>
  <c r="AZ92"/>
  <c r="AZ96"/>
  <c r="AZ100"/>
  <c r="AZ104"/>
  <c r="AZ108"/>
  <c r="AZ112"/>
  <c r="AZ144"/>
  <c r="AZ152"/>
  <c r="AZ156"/>
  <c r="AZ160"/>
  <c r="AZ172"/>
  <c r="A9" i="51"/>
  <c r="B9" i="63" s="1"/>
  <c r="H5" i="3"/>
  <c r="BL13"/>
  <c r="BL5" s="1"/>
  <c r="BO5"/>
  <c r="BQ5"/>
  <c r="BS5"/>
  <c r="BA14"/>
  <c r="AZ186"/>
  <c r="AZ188"/>
  <c r="AZ190"/>
  <c r="AZ192"/>
  <c r="AZ194"/>
  <c r="AZ196"/>
  <c r="AZ198"/>
  <c r="AZ200"/>
  <c r="AZ202"/>
  <c r="AZ204"/>
  <c r="AZ206"/>
  <c r="AZ208"/>
  <c r="AZ210"/>
  <c r="AZ212"/>
  <c r="AZ214"/>
  <c r="AZ216"/>
  <c r="AZ218"/>
  <c r="AZ220"/>
  <c r="AZ222"/>
  <c r="AZ224"/>
  <c r="AZ226"/>
  <c r="AZ228"/>
  <c r="AZ230"/>
  <c r="AZ232"/>
  <c r="AZ234"/>
  <c r="AZ236"/>
  <c r="AZ238"/>
  <c r="AZ240"/>
  <c r="AZ242"/>
  <c r="AZ244"/>
  <c r="AZ246"/>
  <c r="AZ248"/>
  <c r="AZ250"/>
  <c r="AZ252"/>
  <c r="AZ254"/>
  <c r="AZ256"/>
  <c r="AZ258"/>
  <c r="AZ260"/>
  <c r="AZ262"/>
  <c r="AZ264"/>
  <c r="AZ266"/>
  <c r="AZ268"/>
  <c r="AZ270"/>
  <c r="AZ272"/>
  <c r="AZ274"/>
  <c r="AZ276"/>
  <c r="AZ278"/>
  <c r="AZ280"/>
  <c r="AZ282"/>
  <c r="AZ286"/>
  <c r="AZ290"/>
  <c r="AZ294"/>
  <c r="AZ298"/>
  <c r="AZ302"/>
  <c r="AZ306"/>
  <c r="AZ310"/>
  <c r="AZ314"/>
  <c r="AZ318"/>
  <c r="AZ322"/>
  <c r="AZ326"/>
  <c r="AZ330"/>
  <c r="AZ334"/>
  <c r="AZ338"/>
  <c r="AZ342"/>
  <c r="AZ346"/>
  <c r="AZ350"/>
  <c r="AZ354"/>
  <c r="AZ358"/>
  <c r="AZ362"/>
  <c r="AZ366"/>
  <c r="AZ370"/>
  <c r="AZ374"/>
  <c r="AZ378"/>
  <c r="AZ382"/>
  <c r="AZ386"/>
  <c r="AZ390"/>
  <c r="AZ394"/>
  <c r="AZ398"/>
  <c r="AZ402"/>
  <c r="AZ406"/>
  <c r="AZ410"/>
  <c r="AZ414"/>
  <c r="AZ418"/>
  <c r="AZ422"/>
  <c r="AZ426"/>
  <c r="AZ430"/>
  <c r="AZ434"/>
  <c r="AZ438"/>
  <c r="AZ442"/>
  <c r="AZ446"/>
  <c r="AZ450"/>
  <c r="AZ454"/>
  <c r="AZ458"/>
  <c r="AZ462"/>
  <c r="AZ466"/>
  <c r="AZ470"/>
  <c r="AZ474"/>
  <c r="AZ478"/>
  <c r="AZ482"/>
  <c r="AZ486"/>
  <c r="AZ490"/>
  <c r="AZ494"/>
  <c r="AZ498"/>
  <c r="AZ502"/>
  <c r="AZ506"/>
  <c r="AZ510"/>
  <c r="AZ514"/>
  <c r="AZ518"/>
  <c r="AZ522"/>
  <c r="AZ526"/>
  <c r="AZ530"/>
  <c r="AZ534"/>
  <c r="AZ538"/>
  <c r="AZ542"/>
  <c r="AZ546"/>
  <c r="AZ550"/>
  <c r="AZ554"/>
  <c r="AZ558"/>
  <c r="AZ562"/>
  <c r="AZ566"/>
  <c r="AZ570"/>
  <c r="AB29" i="40"/>
  <c r="U29"/>
  <c r="AC34"/>
  <c r="W34"/>
  <c r="AB41"/>
  <c r="U41"/>
  <c r="C13" i="59"/>
  <c r="D12"/>
  <c r="C17"/>
  <c r="D16"/>
  <c r="C21"/>
  <c r="D20"/>
  <c r="C1" i="65"/>
  <c r="B2" i="1"/>
  <c r="N67" i="9" s="1"/>
  <c r="N76"/>
  <c r="L76"/>
  <c r="O76"/>
  <c r="E19" i="4"/>
  <c r="F6" i="1" s="1"/>
  <c r="AP6" s="1"/>
  <c r="C26" i="59"/>
  <c r="D25"/>
  <c r="C18" i="9"/>
  <c r="C92"/>
  <c r="G28" i="12"/>
  <c r="F13" i="39"/>
  <c r="AA13" s="1"/>
  <c r="J13"/>
  <c r="AC13" s="1"/>
  <c r="H17"/>
  <c r="AB17" s="1"/>
  <c r="C21"/>
  <c r="C27"/>
  <c r="C29"/>
  <c r="F31"/>
  <c r="AA31" s="1"/>
  <c r="J31"/>
  <c r="AC31" s="1"/>
  <c r="J33"/>
  <c r="AC33" s="1"/>
  <c r="F44"/>
  <c r="AA44" s="1"/>
  <c r="J44"/>
  <c r="AC44" s="1"/>
  <c r="S10" i="40"/>
  <c r="W10"/>
  <c r="S11"/>
  <c r="W11"/>
  <c r="U13"/>
  <c r="S14"/>
  <c r="W14"/>
  <c r="U15"/>
  <c r="S16"/>
  <c r="W16"/>
  <c r="S17"/>
  <c r="W17"/>
  <c r="S19"/>
  <c r="W19"/>
  <c r="S21"/>
  <c r="W21"/>
  <c r="S23"/>
  <c r="W23"/>
  <c r="S25"/>
  <c r="W25"/>
  <c r="S27"/>
  <c r="W27"/>
  <c r="U30"/>
  <c r="U33"/>
  <c r="F34"/>
  <c r="U35"/>
  <c r="S36"/>
  <c r="W36"/>
  <c r="U37"/>
  <c r="S38"/>
  <c r="W38"/>
  <c r="U39"/>
  <c r="S40"/>
  <c r="W40"/>
  <c r="S42"/>
  <c r="W42"/>
  <c r="AA10" i="46"/>
  <c r="AC10"/>
  <c r="AE10"/>
  <c r="AG10"/>
  <c r="AI10"/>
  <c r="B47"/>
  <c r="B48"/>
  <c r="B53"/>
  <c r="B54"/>
  <c r="B55"/>
  <c r="B62"/>
  <c r="B69"/>
  <c r="B76"/>
  <c r="B81"/>
  <c r="B85"/>
  <c r="F100"/>
  <c r="J100"/>
  <c r="N100"/>
  <c r="T6" i="59"/>
  <c r="D6"/>
  <c r="C5"/>
  <c r="D5" s="1"/>
  <c r="U6"/>
  <c r="AB8"/>
  <c r="X10"/>
  <c r="Y11"/>
  <c r="Z11" s="1"/>
  <c r="E13"/>
  <c r="E14" s="1"/>
  <c r="U14" s="1"/>
  <c r="Y15"/>
  <c r="Z15" s="1"/>
  <c r="E17"/>
  <c r="E18" s="1"/>
  <c r="U18" s="1"/>
  <c r="Y19"/>
  <c r="Z19" s="1"/>
  <c r="E21"/>
  <c r="E22" s="1"/>
  <c r="U22" s="1"/>
  <c r="C29"/>
  <c r="D29" s="1"/>
  <c r="D28"/>
  <c r="C33"/>
  <c r="D32"/>
  <c r="C37"/>
  <c r="D36"/>
  <c r="C41"/>
  <c r="D40"/>
  <c r="C45"/>
  <c r="D44"/>
  <c r="AB46" i="33"/>
  <c r="U46"/>
  <c r="AC39" i="37"/>
  <c r="W39"/>
  <c r="G26" i="12"/>
  <c r="G22" i="43"/>
  <c r="U11" i="40"/>
  <c r="S13"/>
  <c r="W13"/>
  <c r="U14"/>
  <c r="S15"/>
  <c r="W15"/>
  <c r="U16"/>
  <c r="C17"/>
  <c r="U17"/>
  <c r="U19"/>
  <c r="U21"/>
  <c r="C23"/>
  <c r="U23"/>
  <c r="C25"/>
  <c r="U25"/>
  <c r="U27"/>
  <c r="S29"/>
  <c r="W29"/>
  <c r="S30"/>
  <c r="W30"/>
  <c r="S33"/>
  <c r="W33"/>
  <c r="U34"/>
  <c r="S35"/>
  <c r="W35"/>
  <c r="U36"/>
  <c r="S37"/>
  <c r="W37"/>
  <c r="U38"/>
  <c r="S39"/>
  <c r="W39"/>
  <c r="U40"/>
  <c r="S41"/>
  <c r="W41"/>
  <c r="U42"/>
  <c r="B51" i="46"/>
  <c r="B59"/>
  <c r="B64"/>
  <c r="B65"/>
  <c r="D100"/>
  <c r="H100"/>
  <c r="L100"/>
  <c r="AA6" i="59"/>
  <c r="AA3"/>
  <c r="X6"/>
  <c r="B8"/>
  <c r="T10"/>
  <c r="D10"/>
  <c r="C9"/>
  <c r="F12"/>
  <c r="F13" s="1"/>
  <c r="F14" s="1"/>
  <c r="V14" s="1"/>
  <c r="AB11"/>
  <c r="F16"/>
  <c r="F17" s="1"/>
  <c r="F18" s="1"/>
  <c r="V18" s="1"/>
  <c r="AB15"/>
  <c r="F20"/>
  <c r="F21" s="1"/>
  <c r="F22" s="1"/>
  <c r="V22" s="1"/>
  <c r="AB19"/>
  <c r="D24"/>
  <c r="K143" i="21"/>
  <c r="K141"/>
  <c r="AB30" i="33"/>
  <c r="U30"/>
  <c r="C100" i="46"/>
  <c r="E100"/>
  <c r="G100"/>
  <c r="I100"/>
  <c r="K100"/>
  <c r="M100"/>
  <c r="X11" i="59"/>
  <c r="X15"/>
  <c r="X19"/>
  <c r="N49"/>
  <c r="B48"/>
  <c r="Q49"/>
  <c r="T50"/>
  <c r="O50"/>
  <c r="D50"/>
  <c r="C49"/>
  <c r="P50"/>
  <c r="U50"/>
  <c r="T54"/>
  <c r="D54"/>
  <c r="C53"/>
  <c r="U54"/>
  <c r="T58"/>
  <c r="D58"/>
  <c r="C57"/>
  <c r="U58"/>
  <c r="T62"/>
  <c r="D62"/>
  <c r="C61"/>
  <c r="U62"/>
  <c r="D66"/>
  <c r="C65"/>
  <c r="D70"/>
  <c r="C69"/>
  <c r="I10" i="57"/>
  <c r="AC8" i="21"/>
  <c r="S10"/>
  <c r="U11"/>
  <c r="W12"/>
  <c r="S14"/>
  <c r="W15"/>
  <c r="S17"/>
  <c r="W19"/>
  <c r="S21"/>
  <c r="W23"/>
  <c r="S26"/>
  <c r="U27"/>
  <c r="W28"/>
  <c r="S30"/>
  <c r="U31"/>
  <c r="W32"/>
  <c r="S34"/>
  <c r="U35"/>
  <c r="W36"/>
  <c r="S38"/>
  <c r="U39"/>
  <c r="W40"/>
  <c r="S42"/>
  <c r="U43"/>
  <c r="W44"/>
  <c r="S46"/>
  <c r="J13"/>
  <c r="F13"/>
  <c r="J45"/>
  <c r="F45"/>
  <c r="AB8" i="33"/>
  <c r="S9"/>
  <c r="U10"/>
  <c r="W11"/>
  <c r="W13"/>
  <c r="S25"/>
  <c r="U26"/>
  <c r="W27"/>
  <c r="S29"/>
  <c r="W31"/>
  <c r="S33"/>
  <c r="U34"/>
  <c r="W35"/>
  <c r="S37"/>
  <c r="U38"/>
  <c r="W39"/>
  <c r="S41"/>
  <c r="U42"/>
  <c r="W43"/>
  <c r="S45"/>
  <c r="AB9"/>
  <c r="U9"/>
  <c r="J26"/>
  <c r="F26"/>
  <c r="AC8" i="34"/>
  <c r="S10"/>
  <c r="U11"/>
  <c r="W12"/>
  <c r="S14"/>
  <c r="W15"/>
  <c r="S17"/>
  <c r="W19"/>
  <c r="S21"/>
  <c r="W23"/>
  <c r="S27"/>
  <c r="U28"/>
  <c r="W29"/>
  <c r="S31"/>
  <c r="U32"/>
  <c r="W33"/>
  <c r="S35"/>
  <c r="U36"/>
  <c r="AB37"/>
  <c r="U37"/>
  <c r="AC38"/>
  <c r="W38"/>
  <c r="AA42"/>
  <c r="AB45"/>
  <c r="U45"/>
  <c r="AA46"/>
  <c r="S46"/>
  <c r="AB47"/>
  <c r="U47"/>
  <c r="AA9" i="37"/>
  <c r="S9"/>
  <c r="AA11"/>
  <c r="AB12"/>
  <c r="AC29"/>
  <c r="W29"/>
  <c r="S29"/>
  <c r="AB36"/>
  <c r="U36"/>
  <c r="AC37"/>
  <c r="W37"/>
  <c r="S37"/>
  <c r="J12"/>
  <c r="F12"/>
  <c r="J14"/>
  <c r="F14"/>
  <c r="H14"/>
  <c r="AC13" i="35"/>
  <c r="W13"/>
  <c r="P48" i="59"/>
  <c r="AA8" i="21"/>
  <c r="S12"/>
  <c r="U13"/>
  <c r="S15"/>
  <c r="S19"/>
  <c r="S23"/>
  <c r="S28"/>
  <c r="U29"/>
  <c r="S32"/>
  <c r="S36"/>
  <c r="S40"/>
  <c r="S44"/>
  <c r="U45"/>
  <c r="J27"/>
  <c r="F27"/>
  <c r="J29"/>
  <c r="F29"/>
  <c r="J31"/>
  <c r="F31"/>
  <c r="K145"/>
  <c r="S11" i="33"/>
  <c r="S27"/>
  <c r="U28"/>
  <c r="S31"/>
  <c r="S35"/>
  <c r="S39"/>
  <c r="S43"/>
  <c r="U44"/>
  <c r="AB13"/>
  <c r="U13"/>
  <c r="J28"/>
  <c r="F28"/>
  <c r="J30"/>
  <c r="F30"/>
  <c r="J44"/>
  <c r="F44"/>
  <c r="J46"/>
  <c r="F46"/>
  <c r="AA8" i="34"/>
  <c r="S12"/>
  <c r="S15"/>
  <c r="S19"/>
  <c r="S23"/>
  <c r="S29"/>
  <c r="S33"/>
  <c r="AB41"/>
  <c r="U41"/>
  <c r="AC42"/>
  <c r="W42"/>
  <c r="AB10" i="37"/>
  <c r="U10"/>
  <c r="AC11"/>
  <c r="W11"/>
  <c r="AB15"/>
  <c r="U15"/>
  <c r="AB17"/>
  <c r="U17"/>
  <c r="AB19"/>
  <c r="U19"/>
  <c r="AB21"/>
  <c r="U21"/>
  <c r="AB23"/>
  <c r="U23"/>
  <c r="AC25"/>
  <c r="W25"/>
  <c r="AB32"/>
  <c r="U32"/>
  <c r="AC33"/>
  <c r="W33"/>
  <c r="H9"/>
  <c r="J9"/>
  <c r="H39"/>
  <c r="F39"/>
  <c r="AB8" i="35"/>
  <c r="AC11"/>
  <c r="W11"/>
  <c r="AB35"/>
  <c r="U35"/>
  <c r="Q50" i="59"/>
  <c r="S9" i="21"/>
  <c r="W9"/>
  <c r="U10"/>
  <c r="S11"/>
  <c r="W11"/>
  <c r="U12"/>
  <c r="U14"/>
  <c r="U15"/>
  <c r="U17"/>
  <c r="U19"/>
  <c r="U21"/>
  <c r="U23"/>
  <c r="S25"/>
  <c r="W25"/>
  <c r="U26"/>
  <c r="U28"/>
  <c r="U30"/>
  <c r="U32"/>
  <c r="S33"/>
  <c r="W33"/>
  <c r="U34"/>
  <c r="S35"/>
  <c r="W35"/>
  <c r="U36"/>
  <c r="S37"/>
  <c r="W37"/>
  <c r="U38"/>
  <c r="S39"/>
  <c r="W39"/>
  <c r="U40"/>
  <c r="S41"/>
  <c r="W41"/>
  <c r="U42"/>
  <c r="S43"/>
  <c r="W43"/>
  <c r="U44"/>
  <c r="U46"/>
  <c r="K144"/>
  <c r="S10" i="33"/>
  <c r="W10"/>
  <c r="U11"/>
  <c r="S12"/>
  <c r="W12"/>
  <c r="S14"/>
  <c r="W14"/>
  <c r="S15"/>
  <c r="W15"/>
  <c r="S17"/>
  <c r="W17"/>
  <c r="S19"/>
  <c r="W19"/>
  <c r="S21"/>
  <c r="W21"/>
  <c r="S23"/>
  <c r="W23"/>
  <c r="U25"/>
  <c r="U27"/>
  <c r="U29"/>
  <c r="U31"/>
  <c r="S32"/>
  <c r="W32"/>
  <c r="U33"/>
  <c r="S34"/>
  <c r="W34"/>
  <c r="U35"/>
  <c r="S36"/>
  <c r="W36"/>
  <c r="U37"/>
  <c r="S38"/>
  <c r="W38"/>
  <c r="U39"/>
  <c r="S40"/>
  <c r="W40"/>
  <c r="U41"/>
  <c r="S42"/>
  <c r="W42"/>
  <c r="U43"/>
  <c r="U45"/>
  <c r="S9" i="34"/>
  <c r="W9"/>
  <c r="U10"/>
  <c r="S11"/>
  <c r="W11"/>
  <c r="U12"/>
  <c r="S13"/>
  <c r="W13"/>
  <c r="U14"/>
  <c r="U15"/>
  <c r="U17"/>
  <c r="U19"/>
  <c r="U21"/>
  <c r="U23"/>
  <c r="S25"/>
  <c r="W25"/>
  <c r="U27"/>
  <c r="S28"/>
  <c r="W28"/>
  <c r="U29"/>
  <c r="S30"/>
  <c r="W30"/>
  <c r="U31"/>
  <c r="S32"/>
  <c r="W32"/>
  <c r="U33"/>
  <c r="S34"/>
  <c r="W34"/>
  <c r="U35"/>
  <c r="S36"/>
  <c r="S40"/>
  <c r="S44"/>
  <c r="AB46"/>
  <c r="U46"/>
  <c r="AB8" i="37"/>
  <c r="S13"/>
  <c r="S27"/>
  <c r="U28"/>
  <c r="S31"/>
  <c r="S35"/>
  <c r="J26"/>
  <c r="F26"/>
  <c r="J28"/>
  <c r="F28"/>
  <c r="S9" i="35"/>
  <c r="AA16"/>
  <c r="AA20"/>
  <c r="AC25"/>
  <c r="W25"/>
  <c r="AB26"/>
  <c r="U26"/>
  <c r="AC26"/>
  <c r="W26"/>
  <c r="AA30"/>
  <c r="AB33"/>
  <c r="U33"/>
  <c r="AC34"/>
  <c r="W34"/>
  <c r="H11"/>
  <c r="F11"/>
  <c r="H13"/>
  <c r="F13"/>
  <c r="AA11" i="36"/>
  <c r="AB25"/>
  <c r="U25"/>
  <c r="AC33"/>
  <c r="W33"/>
  <c r="S33"/>
  <c r="AC16" i="35"/>
  <c r="W16"/>
  <c r="AC20"/>
  <c r="W20"/>
  <c r="AB29"/>
  <c r="U29"/>
  <c r="AC30"/>
  <c r="W30"/>
  <c r="J35"/>
  <c r="F35"/>
  <c r="AB8" i="36"/>
  <c r="AB10"/>
  <c r="U10"/>
  <c r="AC11"/>
  <c r="W11"/>
  <c r="AC26"/>
  <c r="W26"/>
  <c r="S26"/>
  <c r="J32"/>
  <c r="F32"/>
  <c r="H32"/>
  <c r="J34"/>
  <c r="F34"/>
  <c r="H34"/>
  <c r="S37" i="34"/>
  <c r="W37"/>
  <c r="U38"/>
  <c r="S39"/>
  <c r="W39"/>
  <c r="U40"/>
  <c r="S41"/>
  <c r="W41"/>
  <c r="U42"/>
  <c r="S43"/>
  <c r="W43"/>
  <c r="U44"/>
  <c r="S45"/>
  <c r="W45"/>
  <c r="S47"/>
  <c r="W47"/>
  <c r="S10" i="37"/>
  <c r="W10"/>
  <c r="U11"/>
  <c r="U13"/>
  <c r="S15"/>
  <c r="W15"/>
  <c r="S17"/>
  <c r="W17"/>
  <c r="S19"/>
  <c r="W19"/>
  <c r="S21"/>
  <c r="W21"/>
  <c r="S23"/>
  <c r="W23"/>
  <c r="U25"/>
  <c r="U27"/>
  <c r="U29"/>
  <c r="S30"/>
  <c r="W30"/>
  <c r="U31"/>
  <c r="S32"/>
  <c r="W32"/>
  <c r="U33"/>
  <c r="S34"/>
  <c r="W34"/>
  <c r="U35"/>
  <c r="S36"/>
  <c r="W36"/>
  <c r="U37"/>
  <c r="S38"/>
  <c r="W38"/>
  <c r="S40"/>
  <c r="W40"/>
  <c r="U9" i="35"/>
  <c r="S14"/>
  <c r="S18"/>
  <c r="S23"/>
  <c r="U24"/>
  <c r="S28"/>
  <c r="S32"/>
  <c r="S36"/>
  <c r="J24"/>
  <c r="F24"/>
  <c r="S9" i="36"/>
  <c r="AB12"/>
  <c r="U12"/>
  <c r="AB13"/>
  <c r="U13"/>
  <c r="AB14"/>
  <c r="U14"/>
  <c r="AB16"/>
  <c r="U16"/>
  <c r="AB18"/>
  <c r="U18"/>
  <c r="AB20"/>
  <c r="U20"/>
  <c r="AC22"/>
  <c r="W22"/>
  <c r="AB29"/>
  <c r="U29"/>
  <c r="AA30"/>
  <c r="S30"/>
  <c r="AC30"/>
  <c r="W30"/>
  <c r="S10" i="35"/>
  <c r="W10"/>
  <c r="S12"/>
  <c r="W12"/>
  <c r="U14"/>
  <c r="U16"/>
  <c r="U18"/>
  <c r="U20"/>
  <c r="S22"/>
  <c r="W22"/>
  <c r="U23"/>
  <c r="U25"/>
  <c r="S27"/>
  <c r="W27"/>
  <c r="U28"/>
  <c r="S29"/>
  <c r="W29"/>
  <c r="U30"/>
  <c r="S31"/>
  <c r="W31"/>
  <c r="U32"/>
  <c r="S33"/>
  <c r="W33"/>
  <c r="U34"/>
  <c r="U36"/>
  <c r="U9" i="36"/>
  <c r="S10"/>
  <c r="W10"/>
  <c r="U11"/>
  <c r="S12"/>
  <c r="S24"/>
  <c r="S28"/>
  <c r="S13"/>
  <c r="W13"/>
  <c r="S14"/>
  <c r="W14"/>
  <c r="S16"/>
  <c r="W16"/>
  <c r="S18"/>
  <c r="W18"/>
  <c r="S20"/>
  <c r="W20"/>
  <c r="U22"/>
  <c r="S23"/>
  <c r="W23"/>
  <c r="U24"/>
  <c r="S25"/>
  <c r="W25"/>
  <c r="U26"/>
  <c r="S27"/>
  <c r="W27"/>
  <c r="U28"/>
  <c r="S29"/>
  <c r="W29"/>
  <c r="S31"/>
  <c r="U31"/>
  <c r="U33"/>
  <c r="O40" i="9"/>
  <c r="H14" i="66"/>
  <c r="B7" s="1"/>
  <c r="R8" i="1"/>
  <c r="R10"/>
  <c r="R12"/>
  <c r="C17" i="46"/>
  <c r="I17"/>
  <c r="F33"/>
  <c r="F34"/>
  <c r="F35"/>
  <c r="F36"/>
  <c r="F37"/>
  <c r="F38"/>
  <c r="F39"/>
  <c r="J51" i="15"/>
  <c r="N4" i="63"/>
  <c r="G8" i="1"/>
  <c r="G10"/>
  <c r="G12"/>
  <c r="K40" i="9"/>
  <c r="N2" i="46"/>
  <c r="M6"/>
  <c r="X7"/>
  <c r="G17"/>
  <c r="H48"/>
  <c r="H51"/>
  <c r="H74"/>
  <c r="AZ14" i="3"/>
  <c r="BA5"/>
  <c r="E27" i="6" s="1"/>
  <c r="G29"/>
  <c r="G28"/>
  <c r="M43" i="9"/>
  <c r="D18"/>
  <c r="M44" s="1"/>
  <c r="P62" i="15"/>
  <c r="G93" i="39"/>
  <c r="F19"/>
  <c r="AA19" s="1"/>
  <c r="G103"/>
  <c r="F29"/>
  <c r="AA29" s="1"/>
  <c r="J23"/>
  <c r="AC23" s="1"/>
  <c r="F23"/>
  <c r="AA23" s="1"/>
  <c r="F97"/>
  <c r="G97" s="1"/>
  <c r="H23"/>
  <c r="AB23" s="1"/>
  <c r="F107"/>
  <c r="G107" s="1"/>
  <c r="H107" s="1"/>
  <c r="I107" s="1"/>
  <c r="J107" s="1"/>
  <c r="K107" s="1"/>
  <c r="L107" s="1"/>
  <c r="M107" s="1"/>
  <c r="F33"/>
  <c r="AA33" s="1"/>
  <c r="G91"/>
  <c r="F17"/>
  <c r="AA17" s="1"/>
  <c r="U11"/>
  <c r="U19"/>
  <c r="W23"/>
  <c r="S25"/>
  <c r="W25"/>
  <c r="S27"/>
  <c r="W27"/>
  <c r="S29"/>
  <c r="W29"/>
  <c r="S31"/>
  <c r="W31"/>
  <c r="U33"/>
  <c r="S40"/>
  <c r="W40"/>
  <c r="U41"/>
  <c r="S43"/>
  <c r="W43"/>
  <c r="U44"/>
  <c r="S11"/>
  <c r="W11"/>
  <c r="W19"/>
  <c r="U25"/>
  <c r="U27"/>
  <c r="U29"/>
  <c r="U31"/>
  <c r="W33"/>
  <c r="U40"/>
  <c r="S41"/>
  <c r="W41"/>
  <c r="U43"/>
  <c r="S44"/>
  <c r="W44"/>
  <c r="U10"/>
  <c r="AA10"/>
  <c r="AC10"/>
  <c r="U13"/>
  <c r="S14"/>
  <c r="W14"/>
  <c r="U15"/>
  <c r="S16"/>
  <c r="W16"/>
  <c r="W17"/>
  <c r="S21"/>
  <c r="W21"/>
  <c r="S34"/>
  <c r="W34"/>
  <c r="U36"/>
  <c r="S37"/>
  <c r="W37"/>
  <c r="U38"/>
  <c r="S39"/>
  <c r="W39"/>
  <c r="U42"/>
  <c r="S45"/>
  <c r="W45"/>
  <c r="U46"/>
  <c r="S47"/>
  <c r="W47"/>
  <c r="F36" i="44"/>
  <c r="F34" i="15"/>
  <c r="F61" s="1"/>
  <c r="S13" i="39"/>
  <c r="W13"/>
  <c r="U14"/>
  <c r="S15"/>
  <c r="W15"/>
  <c r="U16"/>
  <c r="U17"/>
  <c r="U21"/>
  <c r="U34"/>
  <c r="S36"/>
  <c r="W36"/>
  <c r="U37"/>
  <c r="S38"/>
  <c r="W38"/>
  <c r="U39"/>
  <c r="S42"/>
  <c r="W42"/>
  <c r="U45"/>
  <c r="S46"/>
  <c r="W46"/>
  <c r="U47"/>
  <c r="M22" i="44"/>
  <c r="B4" i="52"/>
  <c r="B8"/>
  <c r="B13"/>
  <c r="B6"/>
  <c r="B10"/>
  <c r="B41" i="1"/>
  <c r="D96" i="9"/>
  <c r="G27" i="12"/>
  <c r="G21" i="43"/>
  <c r="G23"/>
  <c r="C20" i="46"/>
  <c r="G5" i="3"/>
  <c r="B3" s="1"/>
  <c r="E13" s="1"/>
  <c r="B23" i="52"/>
  <c r="E22"/>
  <c r="A17" i="51"/>
  <c r="B13" i="63" s="1"/>
  <c r="A17" i="64"/>
  <c r="L5" i="54"/>
  <c r="B39" i="63" s="1"/>
  <c r="B5" i="52"/>
  <c r="B7"/>
  <c r="B9"/>
  <c r="B11"/>
  <c r="B16"/>
  <c r="C53" i="10"/>
  <c r="BM5" i="3"/>
  <c r="F29" i="6" s="1"/>
  <c r="E29" s="1"/>
  <c r="K15" i="1" s="1"/>
  <c r="AZ13" i="3"/>
  <c r="AZ5" s="1"/>
  <c r="E15" i="6"/>
  <c r="E62" i="40" s="1"/>
  <c r="E13" i="6"/>
  <c r="E65" i="39" s="1"/>
  <c r="E11" i="6"/>
  <c r="E58" i="40" s="1"/>
  <c r="K1" i="43"/>
  <c r="K6" i="1"/>
  <c r="M6" s="1"/>
  <c r="E8" i="6"/>
  <c r="E53" i="40" s="1"/>
  <c r="E10" i="6"/>
  <c r="E14"/>
  <c r="E61" i="40" s="1"/>
  <c r="E12" i="6"/>
  <c r="L27"/>
  <c r="C51" i="10"/>
  <c r="A4" i="64"/>
  <c r="E60" i="40"/>
  <c r="E67" i="39"/>
  <c r="S7" i="1"/>
  <c r="B7"/>
  <c r="E7" s="1"/>
  <c r="S9"/>
  <c r="B9"/>
  <c r="E9" s="1"/>
  <c r="S11"/>
  <c r="B11"/>
  <c r="E11" s="1"/>
  <c r="S13"/>
  <c r="B13"/>
  <c r="E13" s="1"/>
  <c r="G14" i="66"/>
  <c r="B6" s="1"/>
  <c r="AC32" i="40"/>
  <c r="W32"/>
  <c r="A2" i="9"/>
  <c r="K1" i="12"/>
  <c r="M109" i="46"/>
  <c r="M107"/>
  <c r="M106"/>
  <c r="M105"/>
  <c r="M104"/>
  <c r="M103"/>
  <c r="M102"/>
  <c r="E59" i="40"/>
  <c r="E64" i="39"/>
  <c r="C7" i="36"/>
  <c r="C46" s="1"/>
  <c r="C7" i="35"/>
  <c r="C48" s="1"/>
  <c r="C7" i="33"/>
  <c r="C58" s="1"/>
  <c r="C7" i="37"/>
  <c r="C52" s="1"/>
  <c r="C7" i="34"/>
  <c r="C59" s="1"/>
  <c r="C7" i="21"/>
  <c r="C58" s="1"/>
  <c r="G19" i="46"/>
  <c r="C9" i="39"/>
  <c r="C70" s="1"/>
  <c r="C42" i="1"/>
  <c r="D38" i="4"/>
  <c r="C39" s="1"/>
  <c r="C9" i="40"/>
  <c r="C65" s="1"/>
  <c r="G1" i="15"/>
  <c r="F3" i="35"/>
  <c r="G1" i="44"/>
  <c r="B6" i="1"/>
  <c r="E6" s="1"/>
  <c r="S8"/>
  <c r="B8"/>
  <c r="E8" s="1"/>
  <c r="S10"/>
  <c r="B10"/>
  <c r="E10" s="1"/>
  <c r="S12"/>
  <c r="B12"/>
  <c r="E12" s="1"/>
  <c r="C46" i="9"/>
  <c r="K41"/>
  <c r="E11" i="46"/>
  <c r="E10"/>
  <c r="E9"/>
  <c r="E8"/>
  <c r="A4" i="51"/>
  <c r="B6" i="63" s="1"/>
  <c r="A3" i="55"/>
  <c r="B56" i="63" s="1"/>
  <c r="G7" i="1"/>
  <c r="K7"/>
  <c r="M7" s="1"/>
  <c r="R7"/>
  <c r="O8"/>
  <c r="P8" s="1"/>
  <c r="G9"/>
  <c r="K9"/>
  <c r="M9" s="1"/>
  <c r="R9"/>
  <c r="O10"/>
  <c r="P10" s="1"/>
  <c r="G11"/>
  <c r="K11"/>
  <c r="M11" s="1"/>
  <c r="R11"/>
  <c r="O12"/>
  <c r="P12" s="1"/>
  <c r="G13"/>
  <c r="K13"/>
  <c r="M13" s="1"/>
  <c r="R13"/>
  <c r="O39" i="9"/>
  <c r="R6" i="54" s="1"/>
  <c r="B50" i="63" s="1"/>
  <c r="N69" i="9"/>
  <c r="H55" i="46"/>
  <c r="H53"/>
  <c r="H50"/>
  <c r="H49"/>
  <c r="H47"/>
  <c r="H77"/>
  <c r="H76"/>
  <c r="H73"/>
  <c r="H71"/>
  <c r="H69"/>
  <c r="H32" i="40"/>
  <c r="S3" i="46"/>
  <c r="S5"/>
  <c r="M11"/>
  <c r="Y11"/>
  <c r="Y13" s="1"/>
  <c r="AC11"/>
  <c r="AC13" s="1"/>
  <c r="AG11"/>
  <c r="AG13" s="1"/>
  <c r="F22"/>
  <c r="H54"/>
  <c r="H59"/>
  <c r="H62"/>
  <c r="H72"/>
  <c r="H81"/>
  <c r="H85"/>
  <c r="E101"/>
  <c r="I101"/>
  <c r="H6" i="48"/>
  <c r="H10"/>
  <c r="N1" i="65"/>
  <c r="H1"/>
  <c r="N104" i="45"/>
  <c r="N101" i="46"/>
  <c r="L101"/>
  <c r="J101"/>
  <c r="H101"/>
  <c r="F101"/>
  <c r="D101"/>
  <c r="C23"/>
  <c r="C21" s="1"/>
  <c r="J22"/>
  <c r="G22"/>
  <c r="E22"/>
  <c r="AJ11"/>
  <c r="AJ13" s="1"/>
  <c r="AH11"/>
  <c r="AH13" s="1"/>
  <c r="AF11"/>
  <c r="AF13" s="1"/>
  <c r="AD11"/>
  <c r="AD13" s="1"/>
  <c r="AB11"/>
  <c r="AB13" s="1"/>
  <c r="Z11"/>
  <c r="Z13" s="1"/>
  <c r="Z7"/>
  <c r="S7"/>
  <c r="S4"/>
  <c r="S2"/>
  <c r="H15" i="48"/>
  <c r="H13"/>
  <c r="H11"/>
  <c r="H9"/>
  <c r="H7"/>
  <c r="H5"/>
  <c r="M12" i="46"/>
  <c r="N11"/>
  <c r="N10"/>
  <c r="M9"/>
  <c r="M8"/>
  <c r="M7"/>
  <c r="N6"/>
  <c r="N5"/>
  <c r="M4"/>
  <c r="N3"/>
  <c r="M2"/>
  <c r="N1"/>
  <c r="H66"/>
  <c r="H64"/>
  <c r="H61"/>
  <c r="H60"/>
  <c r="H58"/>
  <c r="H87"/>
  <c r="H84"/>
  <c r="H82"/>
  <c r="H80"/>
  <c r="E4" i="52"/>
  <c r="C4" i="4" s="1"/>
  <c r="B20" i="55" s="1"/>
  <c r="B70" i="63" s="1"/>
  <c r="E5" i="52"/>
  <c r="E6"/>
  <c r="E7"/>
  <c r="E4" i="4" s="1"/>
  <c r="B21" i="55" s="1"/>
  <c r="B72" i="63" s="1"/>
  <c r="E8" i="52"/>
  <c r="E9"/>
  <c r="E10"/>
  <c r="E11"/>
  <c r="B14"/>
  <c r="E16"/>
  <c r="B22"/>
  <c r="F27" i="6"/>
  <c r="B3" i="66"/>
  <c r="K76" i="9"/>
  <c r="K77" s="1"/>
  <c r="K79" s="1"/>
  <c r="K81" s="1"/>
  <c r="D21" i="12"/>
  <c r="C21" s="1"/>
  <c r="J57" i="39"/>
  <c r="E58"/>
  <c r="F32" i="40"/>
  <c r="M3" i="46"/>
  <c r="N4"/>
  <c r="M5"/>
  <c r="S6"/>
  <c r="N7"/>
  <c r="N8"/>
  <c r="N9"/>
  <c r="M10"/>
  <c r="AA11"/>
  <c r="AA13" s="1"/>
  <c r="AE11"/>
  <c r="AE13" s="1"/>
  <c r="AI11"/>
  <c r="AI13" s="1"/>
  <c r="N12"/>
  <c r="H22"/>
  <c r="H65"/>
  <c r="H83"/>
  <c r="C101"/>
  <c r="G101"/>
  <c r="K101"/>
  <c r="B113"/>
  <c r="H8" i="48"/>
  <c r="H12"/>
  <c r="H16"/>
  <c r="D26" i="44"/>
  <c r="C6" i="46"/>
  <c r="E17"/>
  <c r="H17"/>
  <c r="J17"/>
  <c r="D24" i="44"/>
  <c r="D22" i="15"/>
  <c r="D23"/>
  <c r="G6" i="1" l="1"/>
  <c r="G16" s="1"/>
  <c r="G30" i="6"/>
  <c r="G31" s="1"/>
  <c r="AA24" i="35"/>
  <c r="S24"/>
  <c r="AA34" i="36"/>
  <c r="S34"/>
  <c r="AB32"/>
  <c r="U32"/>
  <c r="AC32"/>
  <c r="W32"/>
  <c r="AC35" i="35"/>
  <c r="W35"/>
  <c r="AB13"/>
  <c r="U13"/>
  <c r="AB11"/>
  <c r="U11"/>
  <c r="AC28" i="37"/>
  <c r="W28"/>
  <c r="AC26"/>
  <c r="W26"/>
  <c r="AB39"/>
  <c r="U39"/>
  <c r="AB9"/>
  <c r="U9"/>
  <c r="AA46" i="33"/>
  <c r="S46"/>
  <c r="AA44"/>
  <c r="S44"/>
  <c r="AA30"/>
  <c r="S30"/>
  <c r="AA28"/>
  <c r="S28"/>
  <c r="AC31" i="21"/>
  <c r="W31"/>
  <c r="AC29"/>
  <c r="W29"/>
  <c r="AC27"/>
  <c r="W27"/>
  <c r="AA14" i="37"/>
  <c r="S14"/>
  <c r="AA12"/>
  <c r="S12"/>
  <c r="AC26" i="33"/>
  <c r="W26"/>
  <c r="AC45" i="21"/>
  <c r="W45"/>
  <c r="AC13"/>
  <c r="W13"/>
  <c r="D69" i="59"/>
  <c r="C68"/>
  <c r="D68" s="1"/>
  <c r="D65"/>
  <c r="C64"/>
  <c r="D64" s="1"/>
  <c r="O49"/>
  <c r="D49"/>
  <c r="C48"/>
  <c r="C46"/>
  <c r="D45"/>
  <c r="C42"/>
  <c r="D41"/>
  <c r="C38"/>
  <c r="D37"/>
  <c r="C34"/>
  <c r="D33"/>
  <c r="AA34" i="40"/>
  <c r="S34"/>
  <c r="T26" i="59"/>
  <c r="D26"/>
  <c r="D21"/>
  <c r="C22"/>
  <c r="D17"/>
  <c r="C18"/>
  <c r="D13"/>
  <c r="C14"/>
  <c r="F28" i="6"/>
  <c r="E28" s="1"/>
  <c r="K26" s="1"/>
  <c r="M26" s="1"/>
  <c r="I26" s="1"/>
  <c r="S26" s="1"/>
  <c r="D22" i="46"/>
  <c r="E66" i="39"/>
  <c r="AC24" i="35"/>
  <c r="W24"/>
  <c r="AB34" i="36"/>
  <c r="U34"/>
  <c r="AC34"/>
  <c r="W34"/>
  <c r="AA32"/>
  <c r="S32"/>
  <c r="AA35" i="35"/>
  <c r="S35"/>
  <c r="AA13"/>
  <c r="S13"/>
  <c r="AA11"/>
  <c r="S11"/>
  <c r="AA28" i="37"/>
  <c r="S28"/>
  <c r="AA26"/>
  <c r="S26"/>
  <c r="AA39"/>
  <c r="S39"/>
  <c r="AC9"/>
  <c r="W9"/>
  <c r="AC46" i="33"/>
  <c r="W46"/>
  <c r="AC44"/>
  <c r="W44"/>
  <c r="AC30"/>
  <c r="W30"/>
  <c r="AC28"/>
  <c r="W28"/>
  <c r="AA31" i="21"/>
  <c r="S31"/>
  <c r="AA29"/>
  <c r="S29"/>
  <c r="AA27"/>
  <c r="S27"/>
  <c r="AB14" i="37"/>
  <c r="U14"/>
  <c r="AC14"/>
  <c r="W14"/>
  <c r="AC12"/>
  <c r="W12"/>
  <c r="AA26" i="33"/>
  <c r="S26"/>
  <c r="AA45" i="21"/>
  <c r="S45"/>
  <c r="AA13"/>
  <c r="S13"/>
  <c r="I21" i="57"/>
  <c r="D1"/>
  <c r="E10" s="1"/>
  <c r="D61" i="59"/>
  <c r="C60"/>
  <c r="D60" s="1"/>
  <c r="D57"/>
  <c r="C56"/>
  <c r="D56" s="1"/>
  <c r="D53"/>
  <c r="C52"/>
  <c r="D52" s="1"/>
  <c r="N47"/>
  <c r="N48"/>
  <c r="D9"/>
  <c r="C8"/>
  <c r="D8" s="1"/>
  <c r="K24" i="6"/>
  <c r="M24" s="1"/>
  <c r="I24" s="1"/>
  <c r="S24" s="1"/>
  <c r="K20"/>
  <c r="M20" s="1"/>
  <c r="I20" s="1"/>
  <c r="S20" s="1"/>
  <c r="K23"/>
  <c r="M23" s="1"/>
  <c r="I23" s="1"/>
  <c r="S23" s="1"/>
  <c r="K19"/>
  <c r="S6" i="1" s="1"/>
  <c r="R7" i="54"/>
  <c r="B52" i="63" s="1"/>
  <c r="K31" i="9"/>
  <c r="K32" s="1"/>
  <c r="E63" i="39"/>
  <c r="C16" i="46"/>
  <c r="U23" i="39"/>
  <c r="S19"/>
  <c r="S17"/>
  <c r="S33"/>
  <c r="S23"/>
  <c r="F32" i="15"/>
  <c r="F59" s="1"/>
  <c r="F28"/>
  <c r="C28" s="1"/>
  <c r="M18"/>
  <c r="F31" i="43"/>
  <c r="F29" i="12"/>
  <c r="D86" i="9"/>
  <c r="F71"/>
  <c r="F66"/>
  <c r="P72" s="1"/>
  <c r="F34" i="44"/>
  <c r="F30"/>
  <c r="C30" s="1"/>
  <c r="M20"/>
  <c r="F27" i="43"/>
  <c r="C27" s="1"/>
  <c r="F72" i="9"/>
  <c r="F70"/>
  <c r="F30" i="6"/>
  <c r="F31" s="1"/>
  <c r="E3"/>
  <c r="AY6" i="3"/>
  <c r="A25" i="64"/>
  <c r="A25" i="51"/>
  <c r="B18" i="63" s="1"/>
  <c r="I3" i="6"/>
  <c r="E571" i="3"/>
  <c r="E569"/>
  <c r="E567"/>
  <c r="E565"/>
  <c r="E563"/>
  <c r="E561"/>
  <c r="E559"/>
  <c r="E557"/>
  <c r="E555"/>
  <c r="E553"/>
  <c r="E551"/>
  <c r="E549"/>
  <c r="E547"/>
  <c r="E545"/>
  <c r="E543"/>
  <c r="E541"/>
  <c r="E539"/>
  <c r="E537"/>
  <c r="E535"/>
  <c r="E533"/>
  <c r="E531"/>
  <c r="E529"/>
  <c r="E527"/>
  <c r="E525"/>
  <c r="E523"/>
  <c r="E521"/>
  <c r="E519"/>
  <c r="E517"/>
  <c r="E515"/>
  <c r="E513"/>
  <c r="E511"/>
  <c r="E509"/>
  <c r="E507"/>
  <c r="E505"/>
  <c r="E503"/>
  <c r="E501"/>
  <c r="E499"/>
  <c r="E497"/>
  <c r="E495"/>
  <c r="E493"/>
  <c r="E491"/>
  <c r="E489"/>
  <c r="E487"/>
  <c r="E485"/>
  <c r="E483"/>
  <c r="E481"/>
  <c r="E479"/>
  <c r="E477"/>
  <c r="E475"/>
  <c r="E473"/>
  <c r="E471"/>
  <c r="E469"/>
  <c r="E467"/>
  <c r="E465"/>
  <c r="E463"/>
  <c r="E461"/>
  <c r="E459"/>
  <c r="E457"/>
  <c r="E455"/>
  <c r="E453"/>
  <c r="E451"/>
  <c r="E449"/>
  <c r="E447"/>
  <c r="E445"/>
  <c r="E443"/>
  <c r="E441"/>
  <c r="E439"/>
  <c r="E437"/>
  <c r="E435"/>
  <c r="E433"/>
  <c r="E431"/>
  <c r="E429"/>
  <c r="E427"/>
  <c r="E425"/>
  <c r="E423"/>
  <c r="E421"/>
  <c r="E419"/>
  <c r="E417"/>
  <c r="E415"/>
  <c r="E413"/>
  <c r="E411"/>
  <c r="E409"/>
  <c r="E407"/>
  <c r="E405"/>
  <c r="E403"/>
  <c r="E401"/>
  <c r="E399"/>
  <c r="E397"/>
  <c r="E395"/>
  <c r="E393"/>
  <c r="E391"/>
  <c r="E389"/>
  <c r="E387"/>
  <c r="E385"/>
  <c r="E383"/>
  <c r="E381"/>
  <c r="E379"/>
  <c r="E377"/>
  <c r="E375"/>
  <c r="E373"/>
  <c r="E371"/>
  <c r="E369"/>
  <c r="E367"/>
  <c r="E365"/>
  <c r="E363"/>
  <c r="E361"/>
  <c r="E359"/>
  <c r="E357"/>
  <c r="E355"/>
  <c r="E353"/>
  <c r="E351"/>
  <c r="E349"/>
  <c r="E347"/>
  <c r="E345"/>
  <c r="E343"/>
  <c r="E341"/>
  <c r="E339"/>
  <c r="E337"/>
  <c r="E335"/>
  <c r="E333"/>
  <c r="E331"/>
  <c r="E572"/>
  <c r="E570"/>
  <c r="E568"/>
  <c r="E566"/>
  <c r="E564"/>
  <c r="E562"/>
  <c r="E560"/>
  <c r="E558"/>
  <c r="E556"/>
  <c r="E554"/>
  <c r="E552"/>
  <c r="E550"/>
  <c r="E548"/>
  <c r="E546"/>
  <c r="E544"/>
  <c r="E542"/>
  <c r="E540"/>
  <c r="E538"/>
  <c r="E536"/>
  <c r="E534"/>
  <c r="E532"/>
  <c r="E530"/>
  <c r="E528"/>
  <c r="E526"/>
  <c r="E524"/>
  <c r="E522"/>
  <c r="E520"/>
  <c r="E518"/>
  <c r="E516"/>
  <c r="E514"/>
  <c r="E512"/>
  <c r="E510"/>
  <c r="E508"/>
  <c r="E506"/>
  <c r="E504"/>
  <c r="E502"/>
  <c r="E500"/>
  <c r="E498"/>
  <c r="E496"/>
  <c r="E494"/>
  <c r="E492"/>
  <c r="E490"/>
  <c r="E488"/>
  <c r="E486"/>
  <c r="E484"/>
  <c r="E482"/>
  <c r="E480"/>
  <c r="E478"/>
  <c r="E476"/>
  <c r="E474"/>
  <c r="E472"/>
  <c r="E470"/>
  <c r="E468"/>
  <c r="E466"/>
  <c r="E464"/>
  <c r="E462"/>
  <c r="E460"/>
  <c r="E458"/>
  <c r="E456"/>
  <c r="E454"/>
  <c r="E452"/>
  <c r="E450"/>
  <c r="E448"/>
  <c r="E446"/>
  <c r="E444"/>
  <c r="E442"/>
  <c r="E440"/>
  <c r="E438"/>
  <c r="E436"/>
  <c r="E434"/>
  <c r="E432"/>
  <c r="E430"/>
  <c r="E428"/>
  <c r="E426"/>
  <c r="E424"/>
  <c r="E422"/>
  <c r="E420"/>
  <c r="E418"/>
  <c r="E416"/>
  <c r="E414"/>
  <c r="E412"/>
  <c r="E410"/>
  <c r="E408"/>
  <c r="E406"/>
  <c r="E404"/>
  <c r="E402"/>
  <c r="E400"/>
  <c r="E398"/>
  <c r="E396"/>
  <c r="E394"/>
  <c r="E392"/>
  <c r="E390"/>
  <c r="E388"/>
  <c r="E386"/>
  <c r="E384"/>
  <c r="E382"/>
  <c r="E380"/>
  <c r="E378"/>
  <c r="E376"/>
  <c r="E374"/>
  <c r="E372"/>
  <c r="E370"/>
  <c r="E368"/>
  <c r="E366"/>
  <c r="E364"/>
  <c r="E362"/>
  <c r="E360"/>
  <c r="E358"/>
  <c r="E356"/>
  <c r="E354"/>
  <c r="E352"/>
  <c r="E350"/>
  <c r="E348"/>
  <c r="E346"/>
  <c r="E344"/>
  <c r="E342"/>
  <c r="E340"/>
  <c r="E338"/>
  <c r="E336"/>
  <c r="E334"/>
  <c r="E332"/>
  <c r="E330"/>
  <c r="E328"/>
  <c r="E326"/>
  <c r="E324"/>
  <c r="E329"/>
  <c r="E327"/>
  <c r="E325"/>
  <c r="E323"/>
  <c r="E321"/>
  <c r="E319"/>
  <c r="E317"/>
  <c r="E315"/>
  <c r="E313"/>
  <c r="E311"/>
  <c r="E309"/>
  <c r="E307"/>
  <c r="E305"/>
  <c r="E303"/>
  <c r="E301"/>
  <c r="E299"/>
  <c r="E297"/>
  <c r="E295"/>
  <c r="E293"/>
  <c r="E291"/>
  <c r="E289"/>
  <c r="E287"/>
  <c r="E285"/>
  <c r="E283"/>
  <c r="E281"/>
  <c r="E279"/>
  <c r="E277"/>
  <c r="E275"/>
  <c r="E273"/>
  <c r="E271"/>
  <c r="E269"/>
  <c r="E267"/>
  <c r="E265"/>
  <c r="E263"/>
  <c r="E261"/>
  <c r="E259"/>
  <c r="E257"/>
  <c r="E255"/>
  <c r="E253"/>
  <c r="E251"/>
  <c r="E249"/>
  <c r="E247"/>
  <c r="E245"/>
  <c r="E243"/>
  <c r="E241"/>
  <c r="E239"/>
  <c r="E237"/>
  <c r="E235"/>
  <c r="E233"/>
  <c r="E231"/>
  <c r="E229"/>
  <c r="E227"/>
  <c r="E225"/>
  <c r="E223"/>
  <c r="E221"/>
  <c r="E219"/>
  <c r="E217"/>
  <c r="E215"/>
  <c r="E213"/>
  <c r="E211"/>
  <c r="E209"/>
  <c r="E207"/>
  <c r="E205"/>
  <c r="E203"/>
  <c r="E201"/>
  <c r="E199"/>
  <c r="E197"/>
  <c r="E195"/>
  <c r="E193"/>
  <c r="E191"/>
  <c r="E189"/>
  <c r="E187"/>
  <c r="E185"/>
  <c r="E183"/>
  <c r="E181"/>
  <c r="E179"/>
  <c r="E177"/>
  <c r="E175"/>
  <c r="E173"/>
  <c r="E171"/>
  <c r="E169"/>
  <c r="E167"/>
  <c r="E165"/>
  <c r="E163"/>
  <c r="E161"/>
  <c r="E159"/>
  <c r="E157"/>
  <c r="E155"/>
  <c r="E153"/>
  <c r="E151"/>
  <c r="E149"/>
  <c r="E147"/>
  <c r="E145"/>
  <c r="E143"/>
  <c r="E141"/>
  <c r="E139"/>
  <c r="E137"/>
  <c r="E135"/>
  <c r="E133"/>
  <c r="E131"/>
  <c r="E129"/>
  <c r="E127"/>
  <c r="E125"/>
  <c r="E123"/>
  <c r="E121"/>
  <c r="E119"/>
  <c r="E117"/>
  <c r="E115"/>
  <c r="E113"/>
  <c r="E111"/>
  <c r="E109"/>
  <c r="E107"/>
  <c r="E105"/>
  <c r="E103"/>
  <c r="E101"/>
  <c r="E99"/>
  <c r="E97"/>
  <c r="E95"/>
  <c r="E93"/>
  <c r="E91"/>
  <c r="E89"/>
  <c r="E87"/>
  <c r="E85"/>
  <c r="E83"/>
  <c r="E81"/>
  <c r="E79"/>
  <c r="E77"/>
  <c r="E75"/>
  <c r="E73"/>
  <c r="E71"/>
  <c r="E69"/>
  <c r="E67"/>
  <c r="E65"/>
  <c r="E63"/>
  <c r="E61"/>
  <c r="E59"/>
  <c r="E57"/>
  <c r="E55"/>
  <c r="E53"/>
  <c r="E51"/>
  <c r="E49"/>
  <c r="E47"/>
  <c r="E45"/>
  <c r="E43"/>
  <c r="E41"/>
  <c r="E39"/>
  <c r="E37"/>
  <c r="E35"/>
  <c r="E33"/>
  <c r="E31"/>
  <c r="E29"/>
  <c r="E27"/>
  <c r="E25"/>
  <c r="E23"/>
  <c r="E21"/>
  <c r="E19"/>
  <c r="E17"/>
  <c r="E15"/>
  <c r="AT6"/>
  <c r="AR6"/>
  <c r="AP6"/>
  <c r="AN6"/>
  <c r="AL6"/>
  <c r="AJ6"/>
  <c r="AH6"/>
  <c r="AF6"/>
  <c r="AD6"/>
  <c r="AC6" s="1"/>
  <c r="AB6"/>
  <c r="Z6"/>
  <c r="X6"/>
  <c r="V6"/>
  <c r="T6"/>
  <c r="R6"/>
  <c r="P6"/>
  <c r="N6"/>
  <c r="L6"/>
  <c r="J6"/>
  <c r="AQ6"/>
  <c r="AM6"/>
  <c r="AI6"/>
  <c r="AE6"/>
  <c r="AA6"/>
  <c r="W6"/>
  <c r="S6"/>
  <c r="O6"/>
  <c r="K6"/>
  <c r="Y6"/>
  <c r="U6"/>
  <c r="Q6"/>
  <c r="M6"/>
  <c r="E322"/>
  <c r="E320"/>
  <c r="E318"/>
  <c r="E316"/>
  <c r="E314"/>
  <c r="E312"/>
  <c r="E310"/>
  <c r="E308"/>
  <c r="E306"/>
  <c r="E304"/>
  <c r="E302"/>
  <c r="E300"/>
  <c r="E298"/>
  <c r="E296"/>
  <c r="E294"/>
  <c r="E292"/>
  <c r="E290"/>
  <c r="E288"/>
  <c r="E286"/>
  <c r="E284"/>
  <c r="E282"/>
  <c r="E280"/>
  <c r="E278"/>
  <c r="E276"/>
  <c r="E274"/>
  <c r="E272"/>
  <c r="E270"/>
  <c r="E268"/>
  <c r="E266"/>
  <c r="E264"/>
  <c r="E262"/>
  <c r="E260"/>
  <c r="E258"/>
  <c r="E256"/>
  <c r="E254"/>
  <c r="E252"/>
  <c r="E250"/>
  <c r="E248"/>
  <c r="E246"/>
  <c r="E244"/>
  <c r="E242"/>
  <c r="E240"/>
  <c r="E238"/>
  <c r="E236"/>
  <c r="E234"/>
  <c r="E232"/>
  <c r="E230"/>
  <c r="E228"/>
  <c r="E226"/>
  <c r="E224"/>
  <c r="E222"/>
  <c r="E220"/>
  <c r="E218"/>
  <c r="E216"/>
  <c r="E214"/>
  <c r="E212"/>
  <c r="E210"/>
  <c r="E208"/>
  <c r="E206"/>
  <c r="E204"/>
  <c r="E202"/>
  <c r="E200"/>
  <c r="E198"/>
  <c r="E196"/>
  <c r="E194"/>
  <c r="E192"/>
  <c r="E190"/>
  <c r="E188"/>
  <c r="E186"/>
  <c r="E184"/>
  <c r="E182"/>
  <c r="E180"/>
  <c r="E178"/>
  <c r="E176"/>
  <c r="E174"/>
  <c r="E172"/>
  <c r="E170"/>
  <c r="E168"/>
  <c r="E166"/>
  <c r="E164"/>
  <c r="E162"/>
  <c r="E160"/>
  <c r="E158"/>
  <c r="E156"/>
  <c r="E154"/>
  <c r="E152"/>
  <c r="E150"/>
  <c r="E148"/>
  <c r="E146"/>
  <c r="E144"/>
  <c r="E142"/>
  <c r="E140"/>
  <c r="E138"/>
  <c r="E136"/>
  <c r="E134"/>
  <c r="E132"/>
  <c r="E130"/>
  <c r="E128"/>
  <c r="E126"/>
  <c r="E124"/>
  <c r="E122"/>
  <c r="E120"/>
  <c r="E118"/>
  <c r="E116"/>
  <c r="E114"/>
  <c r="E112"/>
  <c r="E110"/>
  <c r="E108"/>
  <c r="E106"/>
  <c r="E104"/>
  <c r="E102"/>
  <c r="E100"/>
  <c r="E98"/>
  <c r="E96"/>
  <c r="E94"/>
  <c r="E92"/>
  <c r="E90"/>
  <c r="E88"/>
  <c r="E86"/>
  <c r="E84"/>
  <c r="E82"/>
  <c r="E80"/>
  <c r="E78"/>
  <c r="E76"/>
  <c r="E74"/>
  <c r="E72"/>
  <c r="E70"/>
  <c r="E68"/>
  <c r="E66"/>
  <c r="E64"/>
  <c r="E62"/>
  <c r="E60"/>
  <c r="E58"/>
  <c r="E56"/>
  <c r="E54"/>
  <c r="E52"/>
  <c r="E50"/>
  <c r="E48"/>
  <c r="E46"/>
  <c r="E44"/>
  <c r="E42"/>
  <c r="E40"/>
  <c r="E38"/>
  <c r="E36"/>
  <c r="E34"/>
  <c r="E32"/>
  <c r="E30"/>
  <c r="E28"/>
  <c r="E26"/>
  <c r="E24"/>
  <c r="E22"/>
  <c r="E20"/>
  <c r="E18"/>
  <c r="E16"/>
  <c r="E14"/>
  <c r="AS6"/>
  <c r="AO6"/>
  <c r="AK6"/>
  <c r="AG6"/>
  <c r="I6"/>
  <c r="E16" i="6"/>
  <c r="I118" i="46"/>
  <c r="J118" s="1"/>
  <c r="K118" s="1"/>
  <c r="L118" s="1"/>
  <c r="M118" s="1"/>
  <c r="G118"/>
  <c r="H118" s="1"/>
  <c r="I117"/>
  <c r="J117" s="1"/>
  <c r="K117" s="1"/>
  <c r="L117" s="1"/>
  <c r="M117" s="1"/>
  <c r="I116"/>
  <c r="J116" s="1"/>
  <c r="K116" s="1"/>
  <c r="L116" s="1"/>
  <c r="M116" s="1"/>
  <c r="I115"/>
  <c r="J115" s="1"/>
  <c r="K115" s="1"/>
  <c r="L115" s="1"/>
  <c r="M115" s="1"/>
  <c r="B118"/>
  <c r="C118" s="1"/>
  <c r="B117"/>
  <c r="C117" s="1"/>
  <c r="B116"/>
  <c r="C116" s="1"/>
  <c r="B115"/>
  <c r="D118"/>
  <c r="E118" s="1"/>
  <c r="F118" s="1"/>
  <c r="D117"/>
  <c r="E117" s="1"/>
  <c r="F117" s="1"/>
  <c r="G117" s="1"/>
  <c r="H117" s="1"/>
  <c r="D116"/>
  <c r="E116" s="1"/>
  <c r="F116" s="1"/>
  <c r="G116" s="1"/>
  <c r="H116" s="1"/>
  <c r="D115"/>
  <c r="E115" s="1"/>
  <c r="F115" s="1"/>
  <c r="G115" s="1"/>
  <c r="H115" s="1"/>
  <c r="G109"/>
  <c r="G107"/>
  <c r="G106"/>
  <c r="G105"/>
  <c r="G104"/>
  <c r="G103"/>
  <c r="G102"/>
  <c r="AA32" i="40"/>
  <c r="S32"/>
  <c r="D109" i="46"/>
  <c r="D107"/>
  <c r="D106"/>
  <c r="D105"/>
  <c r="D104"/>
  <c r="D103"/>
  <c r="D102"/>
  <c r="H109"/>
  <c r="H107"/>
  <c r="H106"/>
  <c r="H105"/>
  <c r="H104"/>
  <c r="H103"/>
  <c r="H102"/>
  <c r="L109"/>
  <c r="L107"/>
  <c r="L106"/>
  <c r="L105"/>
  <c r="L104"/>
  <c r="L103"/>
  <c r="L102"/>
  <c r="E109"/>
  <c r="E107"/>
  <c r="E106"/>
  <c r="E105"/>
  <c r="E104"/>
  <c r="E103"/>
  <c r="E102"/>
  <c r="M84" i="9"/>
  <c r="N84" s="1"/>
  <c r="M83"/>
  <c r="N83" s="1"/>
  <c r="N89" s="1"/>
  <c r="O89" s="1"/>
  <c r="M88"/>
  <c r="N88" s="1"/>
  <c r="M86"/>
  <c r="N86" s="1"/>
  <c r="M87"/>
  <c r="N87" s="1"/>
  <c r="M85"/>
  <c r="N85" s="1"/>
  <c r="I14" i="66"/>
  <c r="B8" s="1"/>
  <c r="K33" i="9"/>
  <c r="D46"/>
  <c r="O41"/>
  <c r="R8" i="54" s="1"/>
  <c r="B54" i="63" s="1"/>
  <c r="D65" i="40"/>
  <c r="C67"/>
  <c r="C15" i="43"/>
  <c r="C15" i="12"/>
  <c r="C31" i="43"/>
  <c r="C25" i="12"/>
  <c r="P25" i="46"/>
  <c r="B73" i="39" s="1"/>
  <c r="P21" i="46"/>
  <c r="O19"/>
  <c r="P24"/>
  <c r="B68" i="40" s="1"/>
  <c r="P23" i="46"/>
  <c r="P22"/>
  <c r="D59" i="34"/>
  <c r="E59" s="1"/>
  <c r="F59" s="1"/>
  <c r="G59" s="1"/>
  <c r="H59" s="1"/>
  <c r="I59" s="1"/>
  <c r="J59" s="1"/>
  <c r="K59" s="1"/>
  <c r="L59" s="1"/>
  <c r="M59" s="1"/>
  <c r="N59" s="1"/>
  <c r="O59" s="1"/>
  <c r="D58" i="33"/>
  <c r="E58" s="1"/>
  <c r="F58" s="1"/>
  <c r="G58" s="1"/>
  <c r="H58" s="1"/>
  <c r="I58" s="1"/>
  <c r="J58" s="1"/>
  <c r="K58" s="1"/>
  <c r="L58" s="1"/>
  <c r="M58" s="1"/>
  <c r="N58" s="1"/>
  <c r="O58" s="1"/>
  <c r="D46" i="36"/>
  <c r="E46" s="1"/>
  <c r="F46" s="1"/>
  <c r="G46" s="1"/>
  <c r="H46" s="1"/>
  <c r="I46" s="1"/>
  <c r="J46" s="1"/>
  <c r="K46" s="1"/>
  <c r="L46" s="1"/>
  <c r="M46" s="1"/>
  <c r="N46" s="1"/>
  <c r="O46" s="1"/>
  <c r="O6" i="1"/>
  <c r="P6" s="1"/>
  <c r="C5" i="46"/>
  <c r="S16" i="1"/>
  <c r="Q16"/>
  <c r="K109" i="46"/>
  <c r="K107"/>
  <c r="K106"/>
  <c r="K105"/>
  <c r="K104"/>
  <c r="K103"/>
  <c r="K102"/>
  <c r="C109"/>
  <c r="C107"/>
  <c r="C106"/>
  <c r="C105"/>
  <c r="C104"/>
  <c r="C103"/>
  <c r="C102"/>
  <c r="F109"/>
  <c r="F107"/>
  <c r="F106"/>
  <c r="F105"/>
  <c r="F104"/>
  <c r="F103"/>
  <c r="F102"/>
  <c r="J109"/>
  <c r="J107"/>
  <c r="J106"/>
  <c r="J105"/>
  <c r="J104"/>
  <c r="J103"/>
  <c r="J102"/>
  <c r="N109"/>
  <c r="N107"/>
  <c r="N106"/>
  <c r="N105"/>
  <c r="N104"/>
  <c r="N103"/>
  <c r="N102"/>
  <c r="I109"/>
  <c r="I107"/>
  <c r="I106"/>
  <c r="I105"/>
  <c r="I104"/>
  <c r="I103"/>
  <c r="I102"/>
  <c r="AB32" i="40"/>
  <c r="U32"/>
  <c r="O13" i="1"/>
  <c r="P13" s="1"/>
  <c r="O11"/>
  <c r="P11" s="1"/>
  <c r="O9"/>
  <c r="P9" s="1"/>
  <c r="O7"/>
  <c r="P7" s="1"/>
  <c r="G39" i="46"/>
  <c r="I39" s="1"/>
  <c r="C7"/>
  <c r="C72" i="39"/>
  <c r="D70"/>
  <c r="D58" i="21"/>
  <c r="E58" s="1"/>
  <c r="F58" s="1"/>
  <c r="G58" s="1"/>
  <c r="H58" s="1"/>
  <c r="I58" s="1"/>
  <c r="J58" s="1"/>
  <c r="K58" s="1"/>
  <c r="L58" s="1"/>
  <c r="M58" s="1"/>
  <c r="N58" s="1"/>
  <c r="O58" s="1"/>
  <c r="F7"/>
  <c r="D52" i="37"/>
  <c r="E52" s="1"/>
  <c r="F52" s="1"/>
  <c r="G52" s="1"/>
  <c r="H52" s="1"/>
  <c r="I52" s="1"/>
  <c r="J52" s="1"/>
  <c r="K52" s="1"/>
  <c r="L52" s="1"/>
  <c r="M52" s="1"/>
  <c r="N52" s="1"/>
  <c r="O52" s="1"/>
  <c r="F7"/>
  <c r="D48" i="35"/>
  <c r="E48" s="1"/>
  <c r="F48" s="1"/>
  <c r="G48" s="1"/>
  <c r="H48" s="1"/>
  <c r="I48" s="1"/>
  <c r="J48" s="1"/>
  <c r="K48" s="1"/>
  <c r="L48" s="1"/>
  <c r="M48" s="1"/>
  <c r="N48" s="1"/>
  <c r="O48" s="1"/>
  <c r="J7"/>
  <c r="M19" i="6"/>
  <c r="AP16" i="1"/>
  <c r="F22" i="11" s="1"/>
  <c r="H16" i="1"/>
  <c r="L48" i="44"/>
  <c r="F46"/>
  <c r="I7" i="65"/>
  <c r="F6" i="15"/>
  <c r="M8" i="44"/>
  <c r="C19"/>
  <c r="F28"/>
  <c r="M26"/>
  <c r="F18"/>
  <c r="F42" i="15"/>
  <c r="J4" i="65"/>
  <c r="F36" i="15"/>
  <c r="F7"/>
  <c r="J7" i="65"/>
  <c r="F10" i="44"/>
  <c r="M10"/>
  <c r="M8" i="15"/>
  <c r="M29" i="44"/>
  <c r="M30"/>
  <c r="N3" i="65"/>
  <c r="N5"/>
  <c r="J6"/>
  <c r="M23" i="44"/>
  <c r="F45"/>
  <c r="M31"/>
  <c r="F16" i="15"/>
  <c r="M9"/>
  <c r="F40" i="44"/>
  <c r="M6" i="15"/>
  <c r="M25" i="44"/>
  <c r="L47" i="15"/>
  <c r="F39" i="44"/>
  <c r="F37"/>
  <c r="M26" i="15"/>
  <c r="F38"/>
  <c r="M28" i="44"/>
  <c r="N6" i="65"/>
  <c r="F9" i="44"/>
  <c r="F8" i="15"/>
  <c r="F37"/>
  <c r="L49" i="44"/>
  <c r="N7" i="65"/>
  <c r="F43" i="44"/>
  <c r="F43" i="15"/>
  <c r="J15"/>
  <c r="F13"/>
  <c r="F15" i="44"/>
  <c r="L48" i="15"/>
  <c r="M11" i="44"/>
  <c r="M27" i="15"/>
  <c r="I5" i="65"/>
  <c r="M22" i="15"/>
  <c r="F9"/>
  <c r="J5" i="65"/>
  <c r="M29" i="15"/>
  <c r="J17" i="44"/>
  <c r="F11"/>
  <c r="M24" i="15"/>
  <c r="I6" i="65"/>
  <c r="J36" i="15"/>
  <c r="F26"/>
  <c r="F8" i="44"/>
  <c r="F38"/>
  <c r="F40" i="15"/>
  <c r="J3" i="65"/>
  <c r="I4"/>
  <c r="M24" i="44"/>
  <c r="N4" i="65"/>
  <c r="M23" i="15"/>
  <c r="M28"/>
  <c r="I3" i="65"/>
  <c r="J12" i="39" l="1"/>
  <c r="W12" s="1"/>
  <c r="J12" i="40"/>
  <c r="H12" i="39"/>
  <c r="U12" s="1"/>
  <c r="H12" i="40"/>
  <c r="F12" i="39"/>
  <c r="S12" s="1"/>
  <c r="F12" i="40"/>
  <c r="F7" i="36"/>
  <c r="F7" i="33"/>
  <c r="F7" i="34"/>
  <c r="H6" i="3"/>
  <c r="E6" s="1"/>
  <c r="K21" i="6"/>
  <c r="K25"/>
  <c r="M25" s="1"/>
  <c r="I25" s="1"/>
  <c r="S25" s="1"/>
  <c r="K22"/>
  <c r="M22" s="1"/>
  <c r="I22" s="1"/>
  <c r="S22" s="1"/>
  <c r="T14" i="59"/>
  <c r="D14"/>
  <c r="T18"/>
  <c r="D18"/>
  <c r="T22"/>
  <c r="D22"/>
  <c r="O48"/>
  <c r="D48"/>
  <c r="O47"/>
  <c r="E30" i="6"/>
  <c r="E31" s="1"/>
  <c r="K14" i="1"/>
  <c r="T34" i="59"/>
  <c r="D34"/>
  <c r="T38"/>
  <c r="D38"/>
  <c r="T42"/>
  <c r="D42"/>
  <c r="T46"/>
  <c r="D46"/>
  <c r="F7" i="35"/>
  <c r="H7"/>
  <c r="H7" i="37"/>
  <c r="J7"/>
  <c r="H7" i="21"/>
  <c r="J7"/>
  <c r="J7" i="36"/>
  <c r="H7"/>
  <c r="J7" i="33"/>
  <c r="H7"/>
  <c r="D3" i="6"/>
  <c r="AY572" i="3"/>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4"/>
  <c r="AY362"/>
  <c r="AY360"/>
  <c r="AY358"/>
  <c r="AY356"/>
  <c r="AY354"/>
  <c r="AY352"/>
  <c r="AY350"/>
  <c r="AY348"/>
  <c r="AY346"/>
  <c r="AY344"/>
  <c r="AY342"/>
  <c r="AY340"/>
  <c r="AY338"/>
  <c r="AY336"/>
  <c r="AY334"/>
  <c r="AY332"/>
  <c r="AY330"/>
  <c r="AY571"/>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AY369"/>
  <c r="AY367"/>
  <c r="AY365"/>
  <c r="AY363"/>
  <c r="AY361"/>
  <c r="AY359"/>
  <c r="AY357"/>
  <c r="AY355"/>
  <c r="AY353"/>
  <c r="AY351"/>
  <c r="AY349"/>
  <c r="AY347"/>
  <c r="AY345"/>
  <c r="AY343"/>
  <c r="AY341"/>
  <c r="AY339"/>
  <c r="AY337"/>
  <c r="AY335"/>
  <c r="AY333"/>
  <c r="AY331"/>
  <c r="AY329"/>
  <c r="AY327"/>
  <c r="AY325"/>
  <c r="AY323"/>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BT6"/>
  <c r="BP6"/>
  <c r="BL6"/>
  <c r="BH6"/>
  <c r="BD6"/>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R6"/>
  <c r="BN6"/>
  <c r="BJ6"/>
  <c r="BF6"/>
  <c r="BB6"/>
  <c r="D10" i="11"/>
  <c r="E6" i="6"/>
  <c r="C21" i="4"/>
  <c r="O5" i="54" s="1"/>
  <c r="B45" i="63" s="1"/>
  <c r="D44" i="9"/>
  <c r="D45"/>
  <c r="L38"/>
  <c r="B14" i="66" s="1"/>
  <c r="B1" s="1"/>
  <c r="D16" i="12"/>
  <c r="D16" i="43"/>
  <c r="C16" s="1"/>
  <c r="C27" i="15"/>
  <c r="F67"/>
  <c r="C29" i="44"/>
  <c r="M9"/>
  <c r="J8" s="1"/>
  <c r="Q73"/>
  <c r="L60"/>
  <c r="L59"/>
  <c r="J1" i="65"/>
  <c r="F50" i="15"/>
  <c r="F63"/>
  <c r="L59"/>
  <c r="L58"/>
  <c r="Q72"/>
  <c r="F65"/>
  <c r="J60"/>
  <c r="Q49" s="1"/>
  <c r="I54"/>
  <c r="J53"/>
  <c r="L56"/>
  <c r="L46"/>
  <c r="J57"/>
  <c r="J55" s="1"/>
  <c r="J58" s="1"/>
  <c r="Q51" s="1"/>
  <c r="J59"/>
  <c r="C8" i="44"/>
  <c r="C36"/>
  <c r="L57"/>
  <c r="J54"/>
  <c r="I55"/>
  <c r="J60"/>
  <c r="J61"/>
  <c r="Q50" s="1"/>
  <c r="J58"/>
  <c r="J56" s="1"/>
  <c r="J59" s="1"/>
  <c r="Q52" s="1"/>
  <c r="E20" i="46"/>
  <c r="C4" i="65"/>
  <c r="B39" i="1" s="1"/>
  <c r="F49" i="15"/>
  <c r="M7"/>
  <c r="J6" s="1"/>
  <c r="C6"/>
  <c r="F64"/>
  <c r="F70"/>
  <c r="J22" i="44"/>
  <c r="I1" i="65"/>
  <c r="S7" i="35"/>
  <c r="AA7"/>
  <c r="R38" s="1"/>
  <c r="U7" i="37"/>
  <c r="AB7"/>
  <c r="T42" s="1"/>
  <c r="G42" s="1"/>
  <c r="U7" i="21"/>
  <c r="AB7"/>
  <c r="T48" s="1"/>
  <c r="G48" s="1"/>
  <c r="E70" i="39"/>
  <c r="D72"/>
  <c r="I19" i="6"/>
  <c r="W7" i="35"/>
  <c r="AC7"/>
  <c r="V38" s="1"/>
  <c r="I38" s="1"/>
  <c r="AA7" i="37"/>
  <c r="R42" s="1"/>
  <c r="S7"/>
  <c r="AA7" i="21"/>
  <c r="R48" s="1"/>
  <c r="S7"/>
  <c r="S7" i="36"/>
  <c r="AA7"/>
  <c r="R36" s="1"/>
  <c r="S7" i="33"/>
  <c r="AA7"/>
  <c r="R48" s="1"/>
  <c r="C8" i="66"/>
  <c r="C115" i="46"/>
  <c r="D113" s="1"/>
  <c r="AA12" i="40"/>
  <c r="S12"/>
  <c r="AA12" i="39"/>
  <c r="AB12" i="40"/>
  <c r="U12"/>
  <c r="H7" i="34"/>
  <c r="J7"/>
  <c r="K34" i="9"/>
  <c r="AB7" i="35"/>
  <c r="T38" s="1"/>
  <c r="G38" s="1"/>
  <c r="U7"/>
  <c r="AC7" i="37"/>
  <c r="V42" s="1"/>
  <c r="I42" s="1"/>
  <c r="W7"/>
  <c r="AC7" i="21"/>
  <c r="V48" s="1"/>
  <c r="I48" s="1"/>
  <c r="W7"/>
  <c r="F18" i="11"/>
  <c r="C18" s="1"/>
  <c r="F24" i="43"/>
  <c r="C26" s="1"/>
  <c r="D24" s="1"/>
  <c r="F33" i="12"/>
  <c r="C34" s="1"/>
  <c r="D33" s="1"/>
  <c r="W7" i="36"/>
  <c r="AC7"/>
  <c r="V36" s="1"/>
  <c r="I36" s="1"/>
  <c r="AB7"/>
  <c r="T36" s="1"/>
  <c r="G36" s="1"/>
  <c r="U7"/>
  <c r="W7" i="33"/>
  <c r="AC7"/>
  <c r="V48" s="1"/>
  <c r="I48" s="1"/>
  <c r="AB7"/>
  <c r="T48" s="1"/>
  <c r="G48" s="1"/>
  <c r="U7"/>
  <c r="AA7" i="34"/>
  <c r="R49" s="1"/>
  <c r="S7"/>
  <c r="D67" i="40"/>
  <c r="E65"/>
  <c r="AB12" i="39"/>
  <c r="AC12" i="40"/>
  <c r="W12"/>
  <c r="AC12" i="39"/>
  <c r="C17" i="15"/>
  <c r="C16"/>
  <c r="E2" i="65"/>
  <c r="E3"/>
  <c r="C18" i="44"/>
  <c r="M20" i="46" l="1"/>
  <c r="C19" s="1"/>
  <c r="M21" i="6"/>
  <c r="K27"/>
  <c r="M14" i="1"/>
  <c r="K16"/>
  <c r="C16" i="12"/>
  <c r="D19"/>
  <c r="C19" s="1"/>
  <c r="C7" i="66"/>
  <c r="C6"/>
  <c r="D13" i="11"/>
  <c r="C13" s="1"/>
  <c r="D22" i="12"/>
  <c r="C22" s="1"/>
  <c r="C20" s="1"/>
  <c r="E63" i="40"/>
  <c r="D29" i="6"/>
  <c r="D26"/>
  <c r="D24"/>
  <c r="D22"/>
  <c r="D20"/>
  <c r="D15"/>
  <c r="D13"/>
  <c r="D11"/>
  <c r="D6"/>
  <c r="F44" i="9"/>
  <c r="D8" i="6"/>
  <c r="E45" i="9"/>
  <c r="F45"/>
  <c r="C22" i="4"/>
  <c r="E68" i="39"/>
  <c r="D28" i="6"/>
  <c r="D25"/>
  <c r="D23"/>
  <c r="D21"/>
  <c r="D19"/>
  <c r="D14"/>
  <c r="D12"/>
  <c r="D10"/>
  <c r="D5"/>
  <c r="D9"/>
  <c r="K38" i="9"/>
  <c r="C14" i="66" s="1"/>
  <c r="B2" s="1"/>
  <c r="E44" i="9"/>
  <c r="H23" i="6"/>
  <c r="H25"/>
  <c r="R25" s="1"/>
  <c r="E46" i="9"/>
  <c r="F46"/>
  <c r="H20" i="6"/>
  <c r="H22"/>
  <c r="H24"/>
  <c r="H26"/>
  <c r="B40" i="1"/>
  <c r="F17" i="11"/>
  <c r="C17" s="1"/>
  <c r="C19" s="1"/>
  <c r="F65" i="40"/>
  <c r="E67"/>
  <c r="G53" i="33"/>
  <c r="H53" s="1"/>
  <c r="G52"/>
  <c r="H52" s="1"/>
  <c r="G41" i="36"/>
  <c r="H41" s="1"/>
  <c r="G40"/>
  <c r="H40" s="1"/>
  <c r="R49" i="21"/>
  <c r="E48"/>
  <c r="I53" s="1"/>
  <c r="J53" s="1"/>
  <c r="R43" i="37"/>
  <c r="E42"/>
  <c r="I47" s="1"/>
  <c r="J47" s="1"/>
  <c r="G53" i="21"/>
  <c r="H53" s="1"/>
  <c r="G52"/>
  <c r="H52" s="1"/>
  <c r="G47" i="37"/>
  <c r="H47" s="1"/>
  <c r="G46"/>
  <c r="H46" s="1"/>
  <c r="R39" i="35"/>
  <c r="E38"/>
  <c r="I43" s="1"/>
  <c r="J43" s="1"/>
  <c r="P17" i="46"/>
  <c r="N17"/>
  <c r="O17"/>
  <c r="M17"/>
  <c r="Q53" i="15"/>
  <c r="F1"/>
  <c r="Q75"/>
  <c r="Q62"/>
  <c r="Q75" i="44"/>
  <c r="Q62"/>
  <c r="L47"/>
  <c r="C48" i="15"/>
  <c r="R50" i="34"/>
  <c r="E49"/>
  <c r="U7"/>
  <c r="AB7"/>
  <c r="T49" s="1"/>
  <c r="G49" s="1"/>
  <c r="I52" i="33"/>
  <c r="J52" s="1"/>
  <c r="I40" i="36"/>
  <c r="J40" s="1"/>
  <c r="I52" i="21"/>
  <c r="J52" s="1"/>
  <c r="I46" i="37"/>
  <c r="J46" s="1"/>
  <c r="G43" i="35"/>
  <c r="H43" s="1"/>
  <c r="G42"/>
  <c r="H42" s="1"/>
  <c r="AC7" i="34"/>
  <c r="V49" s="1"/>
  <c r="I49" s="1"/>
  <c r="W7"/>
  <c r="E48" i="33"/>
  <c r="I53" s="1"/>
  <c r="J53" s="1"/>
  <c r="R49"/>
  <c r="E36" i="36"/>
  <c r="I41" s="1"/>
  <c r="J41" s="1"/>
  <c r="R37"/>
  <c r="I42" i="35"/>
  <c r="J42" s="1"/>
  <c r="S19" i="6"/>
  <c r="H19"/>
  <c r="E72" i="39"/>
  <c r="F70"/>
  <c r="M11" i="15"/>
  <c r="J10" s="1"/>
  <c r="J5" s="1"/>
  <c r="F11"/>
  <c r="F13" i="44"/>
  <c r="C12" s="1"/>
  <c r="C7" s="1"/>
  <c r="M13"/>
  <c r="J12" s="1"/>
  <c r="J7" s="1"/>
  <c r="Q54"/>
  <c r="F1"/>
  <c r="Q74" i="15"/>
  <c r="Q61"/>
  <c r="Q63" i="44"/>
  <c r="Q76"/>
  <c r="AE6" i="1"/>
  <c r="R24" i="6" l="1"/>
  <c r="R20"/>
  <c r="D27"/>
  <c r="D31" s="1"/>
  <c r="I5" s="1"/>
  <c r="D30"/>
  <c r="R23"/>
  <c r="T8" i="1"/>
  <c r="T11"/>
  <c r="M16"/>
  <c r="T12"/>
  <c r="O14"/>
  <c r="T7"/>
  <c r="T10"/>
  <c r="T9"/>
  <c r="T6"/>
  <c r="T13"/>
  <c r="I21" i="6"/>
  <c r="M27"/>
  <c r="T14" i="46"/>
  <c r="V14" s="1"/>
  <c r="T12"/>
  <c r="V12" s="1"/>
  <c r="T8"/>
  <c r="V8" s="1"/>
  <c r="T5"/>
  <c r="V5" s="1"/>
  <c r="C39"/>
  <c r="E39" s="1"/>
  <c r="C29"/>
  <c r="T2"/>
  <c r="V2" s="1"/>
  <c r="T16"/>
  <c r="V16" s="1"/>
  <c r="T7"/>
  <c r="V7" s="1"/>
  <c r="C35"/>
  <c r="C36"/>
  <c r="T15"/>
  <c r="V15" s="1"/>
  <c r="T13"/>
  <c r="V13" s="1"/>
  <c r="T9"/>
  <c r="V9" s="1"/>
  <c r="T6"/>
  <c r="V6" s="1"/>
  <c r="T3"/>
  <c r="V3" s="1"/>
  <c r="C37"/>
  <c r="T11"/>
  <c r="V11" s="1"/>
  <c r="C38"/>
  <c r="T10"/>
  <c r="V10" s="1"/>
  <c r="T4"/>
  <c r="V4" s="1"/>
  <c r="C33"/>
  <c r="C34"/>
  <c r="D7" i="66"/>
  <c r="D6"/>
  <c r="D8"/>
  <c r="I6" i="6"/>
  <c r="A20" i="64"/>
  <c r="A6"/>
  <c r="A6" i="51"/>
  <c r="B7" i="63" s="1"/>
  <c r="N5" i="54"/>
  <c r="B43" i="63" s="1"/>
  <c r="A20" i="51"/>
  <c r="B15" i="63" s="1"/>
  <c r="R26" i="6"/>
  <c r="R22"/>
  <c r="D16"/>
  <c r="C40" i="44"/>
  <c r="C34"/>
  <c r="J24" i="15"/>
  <c r="J18"/>
  <c r="J26"/>
  <c r="C37" i="36"/>
  <c r="B3" s="1"/>
  <c r="B2" s="1"/>
  <c r="C36"/>
  <c r="C50" i="34"/>
  <c r="B3" s="1"/>
  <c r="B2" s="1"/>
  <c r="C49"/>
  <c r="C39" i="35"/>
  <c r="B3" s="1"/>
  <c r="B2" s="1"/>
  <c r="C38"/>
  <c r="E47" i="37"/>
  <c r="F47" s="1"/>
  <c r="E46"/>
  <c r="F46" s="1"/>
  <c r="E53" i="21"/>
  <c r="F53" s="1"/>
  <c r="E52"/>
  <c r="F52" s="1"/>
  <c r="F24" i="15"/>
  <c r="C24" s="1"/>
  <c r="F26" i="44"/>
  <c r="F21" i="43"/>
  <c r="C23" s="1"/>
  <c r="D21" s="1"/>
  <c r="F26" i="12"/>
  <c r="C27" s="1"/>
  <c r="D26" s="1"/>
  <c r="C32" s="1"/>
  <c r="D30" s="1"/>
  <c r="C49" i="33"/>
  <c r="B3" s="1"/>
  <c r="B2" s="1"/>
  <c r="C48"/>
  <c r="J28" i="44"/>
  <c r="J31" s="1"/>
  <c r="J26"/>
  <c r="J20"/>
  <c r="C52" i="15"/>
  <c r="C47" s="1"/>
  <c r="C10"/>
  <c r="C5" s="1"/>
  <c r="G70" i="39"/>
  <c r="F72"/>
  <c r="R19" i="6"/>
  <c r="E41" i="36"/>
  <c r="F41" s="1"/>
  <c r="E40"/>
  <c r="F40" s="1"/>
  <c r="E53" i="33"/>
  <c r="F53" s="1"/>
  <c r="E52"/>
  <c r="F52" s="1"/>
  <c r="I54" i="34"/>
  <c r="J54" s="1"/>
  <c r="I53"/>
  <c r="J53" s="1"/>
  <c r="G54"/>
  <c r="H54" s="1"/>
  <c r="G53"/>
  <c r="H53" s="1"/>
  <c r="E54"/>
  <c r="F54" s="1"/>
  <c r="E53"/>
  <c r="F53" s="1"/>
  <c r="E43" i="35"/>
  <c r="F43" s="1"/>
  <c r="E42"/>
  <c r="F42" s="1"/>
  <c r="C43" i="37"/>
  <c r="B3" s="1"/>
  <c r="B2" s="1"/>
  <c r="C42"/>
  <c r="C49" i="21"/>
  <c r="B3" s="1"/>
  <c r="B2" s="1"/>
  <c r="C48"/>
  <c r="F67" i="40"/>
  <c r="G65"/>
  <c r="C20" i="11"/>
  <c r="C21" s="1"/>
  <c r="C22" s="1"/>
  <c r="C23" s="1"/>
  <c r="B2" s="1"/>
  <c r="C16" i="44"/>
  <c r="C14" i="15"/>
  <c r="F41"/>
  <c r="L52" i="44"/>
  <c r="C18" i="15" l="1"/>
  <c r="C15"/>
  <c r="C17" i="44"/>
  <c r="C20"/>
  <c r="G33" i="46"/>
  <c r="I33" s="1"/>
  <c r="E33"/>
  <c r="G35"/>
  <c r="I35" s="1"/>
  <c r="E35"/>
  <c r="E29"/>
  <c r="C30"/>
  <c r="E30" s="1"/>
  <c r="S21" i="6"/>
  <c r="S27" s="1"/>
  <c r="H21"/>
  <c r="I27"/>
  <c r="T16" i="1"/>
  <c r="P14"/>
  <c r="P16" s="1"/>
  <c r="C13" i="12" s="1"/>
  <c r="O16" i="1"/>
  <c r="N16"/>
  <c r="C29" i="43" s="1"/>
  <c r="C13"/>
  <c r="L16" i="1"/>
  <c r="G34" i="46"/>
  <c r="I34" s="1"/>
  <c r="E34"/>
  <c r="E38"/>
  <c r="G38"/>
  <c r="I38" s="1"/>
  <c r="E37"/>
  <c r="G37"/>
  <c r="I37" s="1"/>
  <c r="G36"/>
  <c r="I36" s="1"/>
  <c r="E36"/>
  <c r="F68" i="15"/>
  <c r="J29"/>
  <c r="R6" i="1"/>
  <c r="Q69" i="44"/>
  <c r="L58"/>
  <c r="L61" s="1"/>
  <c r="B4" i="11"/>
  <c r="B5"/>
  <c r="B3"/>
  <c r="C33" i="15"/>
  <c r="C65"/>
  <c r="C59"/>
  <c r="C32"/>
  <c r="C38"/>
  <c r="C26" i="44"/>
  <c r="H65" i="40"/>
  <c r="G67"/>
  <c r="G72" i="39"/>
  <c r="H70"/>
  <c r="Q67" i="44"/>
  <c r="Q58"/>
  <c r="Q49"/>
  <c r="Q55" s="1"/>
  <c r="F35" i="15"/>
  <c r="M21"/>
  <c r="F7" i="67"/>
  <c r="C21" i="44" l="1"/>
  <c r="C22" s="1"/>
  <c r="C28" s="1"/>
  <c r="C19" i="15"/>
  <c r="C20" s="1"/>
  <c r="C26" s="1"/>
  <c r="E4" i="67"/>
  <c r="C17" i="12"/>
  <c r="C14"/>
  <c r="C26" i="46"/>
  <c r="C17" i="43"/>
  <c r="C14"/>
  <c r="R21" i="6"/>
  <c r="R27" s="1"/>
  <c r="H27"/>
  <c r="C27" i="46"/>
  <c r="F62" i="15"/>
  <c r="C61" s="1"/>
  <c r="C34"/>
  <c r="J20"/>
  <c r="C31"/>
  <c r="R16" i="1"/>
  <c r="C60" i="15"/>
  <c r="H67" i="40"/>
  <c r="I65"/>
  <c r="I70" i="39"/>
  <c r="H72"/>
  <c r="Q59" i="44"/>
  <c r="Q64" s="1"/>
  <c r="Q68"/>
  <c r="Q77" s="1"/>
  <c r="E7" i="67"/>
  <c r="C23" i="15" l="1"/>
  <c r="C29" s="1"/>
  <c r="Q50" s="1"/>
  <c r="C18" i="43"/>
  <c r="C18" i="12"/>
  <c r="C25" i="44"/>
  <c r="C31" s="1"/>
  <c r="Q51" s="1"/>
  <c r="E3" i="67"/>
  <c r="C19" i="43"/>
  <c r="C25" s="1"/>
  <c r="C24" s="1"/>
  <c r="B2" i="46"/>
  <c r="C58" i="15"/>
  <c r="C56"/>
  <c r="C63" s="1"/>
  <c r="J14"/>
  <c r="C36"/>
  <c r="J19"/>
  <c r="J17" s="1"/>
  <c r="C13"/>
  <c r="L57"/>
  <c r="L60" s="1"/>
  <c r="I72" i="39"/>
  <c r="J70"/>
  <c r="J65" i="40"/>
  <c r="I67"/>
  <c r="B7" i="67"/>
  <c r="C23" i="12" l="1"/>
  <c r="I109" i="9"/>
  <c r="C109" s="1"/>
  <c r="C110" s="1"/>
  <c r="J21" i="44"/>
  <c r="J19" s="1"/>
  <c r="C15"/>
  <c r="Q72" s="1"/>
  <c r="C38"/>
  <c r="J16"/>
  <c r="J24" s="1"/>
  <c r="C35"/>
  <c r="C33" s="1"/>
  <c r="C22" i="43"/>
  <c r="C21" s="1"/>
  <c r="C28" s="1"/>
  <c r="C30" s="1"/>
  <c r="C32" s="1"/>
  <c r="B2" s="1"/>
  <c r="B2" i="67"/>
  <c r="C37" i="15"/>
  <c r="C30" s="1"/>
  <c r="C39" s="1"/>
  <c r="Q71"/>
  <c r="J35"/>
  <c r="C55"/>
  <c r="C64" s="1"/>
  <c r="C57" s="1"/>
  <c r="C66" s="1"/>
  <c r="C67" s="1"/>
  <c r="B4" i="46"/>
  <c r="B3"/>
  <c r="D4"/>
  <c r="J22" i="15"/>
  <c r="J13"/>
  <c r="J23" s="1"/>
  <c r="J67" i="40"/>
  <c r="K65"/>
  <c r="K70" i="39"/>
  <c r="J72"/>
  <c r="Q67" i="15"/>
  <c r="Q58"/>
  <c r="C43" i="44" l="1"/>
  <c r="C39"/>
  <c r="C32" s="1"/>
  <c r="C42" s="1"/>
  <c r="J15"/>
  <c r="J25" s="1"/>
  <c r="J18" s="1"/>
  <c r="J27" s="1"/>
  <c r="J39" i="15"/>
  <c r="J40" s="1"/>
  <c r="C70"/>
  <c r="Q70"/>
  <c r="Q69" s="1"/>
  <c r="C40"/>
  <c r="B4" i="67"/>
  <c r="B3"/>
  <c r="B4" i="43"/>
  <c r="B5"/>
  <c r="B3"/>
  <c r="J16" i="15"/>
  <c r="J25" s="1"/>
  <c r="Q71" i="44"/>
  <c r="Q70" s="1"/>
  <c r="K72" i="39"/>
  <c r="L70"/>
  <c r="L65" i="40"/>
  <c r="K67"/>
  <c r="L51" i="15"/>
  <c r="C44" i="44" l="1"/>
  <c r="C45" s="1"/>
  <c r="B2" s="1"/>
  <c r="B4" s="1"/>
  <c r="Q68" i="15"/>
  <c r="Q66"/>
  <c r="Q76" s="1"/>
  <c r="Q48"/>
  <c r="Q54" s="1"/>
  <c r="B2"/>
  <c r="Q57"/>
  <c r="Q63" s="1"/>
  <c r="C43"/>
  <c r="J42"/>
  <c r="J43" s="1"/>
  <c r="C46"/>
  <c r="L67" i="40"/>
  <c r="M65"/>
  <c r="M70" i="39"/>
  <c r="L72"/>
  <c r="B5" i="44"/>
  <c r="B3" l="1"/>
  <c r="B3" i="15"/>
  <c r="C8" i="12" s="1"/>
  <c r="C10"/>
  <c r="C6" s="1"/>
  <c r="M72" i="39"/>
  <c r="N70"/>
  <c r="N72" s="1"/>
  <c r="N65" i="40"/>
  <c r="N67" s="1"/>
  <c r="M67"/>
  <c r="C29" i="12" l="1"/>
  <c r="C24"/>
  <c r="F9" i="40"/>
  <c r="H9"/>
  <c r="J9"/>
  <c r="F9" i="39"/>
  <c r="H9"/>
  <c r="J9"/>
  <c r="C28" i="12" l="1"/>
  <c r="C26" s="1"/>
  <c r="C31" s="1"/>
  <c r="C30" s="1"/>
  <c r="C35"/>
  <c r="C33" s="1"/>
  <c r="AB9" i="39"/>
  <c r="T49" s="1"/>
  <c r="G49" s="1"/>
  <c r="U9"/>
  <c r="AC9" i="40"/>
  <c r="V44" s="1"/>
  <c r="I44" s="1"/>
  <c r="W9"/>
  <c r="AA9"/>
  <c r="R44" s="1"/>
  <c r="S9"/>
  <c r="W9" i="39"/>
  <c r="AC9"/>
  <c r="V49" s="1"/>
  <c r="I49" s="1"/>
  <c r="S9"/>
  <c r="AA9"/>
  <c r="R49" s="1"/>
  <c r="U9" i="40"/>
  <c r="AB9"/>
  <c r="T44" s="1"/>
  <c r="G44" s="1"/>
  <c r="C36" i="12" l="1"/>
  <c r="B2" s="1"/>
  <c r="B4" s="1"/>
  <c r="E49" i="39"/>
  <c r="R50"/>
  <c r="E44" i="40"/>
  <c r="R45"/>
  <c r="I49"/>
  <c r="J49" s="1"/>
  <c r="I48"/>
  <c r="J48" s="1"/>
  <c r="G54" i="39"/>
  <c r="H54" s="1"/>
  <c r="G53"/>
  <c r="H53" s="1"/>
  <c r="G49" i="40"/>
  <c r="H49" s="1"/>
  <c r="G48"/>
  <c r="H48" s="1"/>
  <c r="I54" i="39"/>
  <c r="J54" s="1"/>
  <c r="I53"/>
  <c r="J53" s="1"/>
  <c r="D19" i="9"/>
  <c r="D21"/>
  <c r="B3" i="12" l="1"/>
  <c r="B5"/>
  <c r="L44" i="9"/>
  <c r="E49" i="40"/>
  <c r="F49" s="1"/>
  <c r="E48"/>
  <c r="F48" s="1"/>
  <c r="E54" i="39"/>
  <c r="F54" s="1"/>
  <c r="E53"/>
  <c r="F53" s="1"/>
  <c r="C45" i="40"/>
  <c r="C44"/>
  <c r="C50" i="39"/>
  <c r="C49"/>
  <c r="D20" i="9"/>
  <c r="B67" i="39" l="1"/>
  <c r="F67" s="1"/>
  <c r="B66"/>
  <c r="F66" s="1"/>
  <c r="B65"/>
  <c r="F65" s="1"/>
  <c r="B64"/>
  <c r="F64" s="1"/>
  <c r="B63"/>
  <c r="F63" s="1"/>
  <c r="B61"/>
  <c r="F61" s="1"/>
  <c r="B59"/>
  <c r="F59" s="1"/>
  <c r="B62"/>
  <c r="F62" s="1"/>
  <c r="B60"/>
  <c r="F60" s="1"/>
  <c r="B58"/>
  <c r="F58" s="1"/>
  <c r="F63" i="40"/>
  <c r="B2" s="1"/>
  <c r="B62"/>
  <c r="F62" s="1"/>
  <c r="B61"/>
  <c r="F61" s="1"/>
  <c r="B60"/>
  <c r="F60" s="1"/>
  <c r="B59"/>
  <c r="F59" s="1"/>
  <c r="B58"/>
  <c r="F58" s="1"/>
  <c r="B56"/>
  <c r="F56" s="1"/>
  <c r="B54"/>
  <c r="F54" s="1"/>
  <c r="B57"/>
  <c r="F57" s="1"/>
  <c r="B55"/>
  <c r="F55" s="1"/>
  <c r="B53"/>
  <c r="F53" s="1"/>
  <c r="F68" i="39" l="1"/>
  <c r="B2" s="1"/>
  <c r="B3" s="1"/>
  <c r="B5" i="40"/>
  <c r="B3"/>
  <c r="B4"/>
  <c r="C19" i="9"/>
  <c r="C20"/>
  <c r="L43" l="1"/>
  <c r="D22"/>
  <c r="G19"/>
  <c r="B5" i="39"/>
  <c r="B4"/>
  <c r="G20" i="9"/>
  <c r="C21"/>
  <c r="N43" l="1"/>
  <c r="C32"/>
  <c r="C34" s="1"/>
  <c r="G21"/>
  <c r="G22"/>
  <c r="C33" l="1"/>
  <c r="D42" s="1"/>
  <c r="Q5" i="54" s="1"/>
  <c r="B47" i="63" s="1"/>
  <c r="C42" i="9"/>
  <c r="D14" i="66" s="1"/>
  <c r="D15" s="1"/>
  <c r="C35" i="9"/>
  <c r="F42" s="1"/>
  <c r="O38"/>
  <c r="K25" s="1"/>
  <c r="O43"/>
  <c r="K26"/>
  <c r="E42"/>
  <c r="P5" i="54" s="1"/>
  <c r="B46" i="63" s="1"/>
  <c r="M38" i="9"/>
  <c r="K27" s="1"/>
  <c r="N38"/>
  <c r="K28" s="1"/>
  <c r="R5" i="54"/>
  <c r="B48" i="63" s="1"/>
  <c r="E15" i="66" l="1"/>
  <c r="F15"/>
  <c r="D63" i="9"/>
  <c r="C96" s="1"/>
  <c r="C91" s="1"/>
  <c r="N68"/>
  <c r="B5" i="66"/>
  <c r="E14"/>
  <c r="F14"/>
  <c r="C111" i="9" l="1"/>
  <c r="C104" s="1"/>
  <c r="D73"/>
  <c r="N73" s="1"/>
  <c r="C90"/>
  <c r="C97" s="1"/>
  <c r="C98" s="1"/>
  <c r="E98" s="1"/>
  <c r="E99" s="1"/>
  <c r="C82"/>
  <c r="C81" s="1"/>
  <c r="C85" s="1"/>
  <c r="C86" s="1"/>
  <c r="D72" s="1"/>
  <c r="D77"/>
  <c r="N75" s="1"/>
  <c r="C103"/>
  <c r="D71"/>
  <c r="D66" s="1"/>
  <c r="N72" s="1"/>
  <c r="D70"/>
  <c r="C113"/>
  <c r="C114" s="1"/>
  <c r="E114" s="1"/>
  <c r="E115" s="1"/>
  <c r="D5" i="66"/>
  <c r="C5"/>
  <c r="C99" i="9" l="1"/>
  <c r="C115"/>
  <c r="D76" s="1"/>
  <c r="D74" s="1"/>
  <c r="N74" s="1"/>
  <c r="O77" s="1"/>
  <c r="Q77" s="1"/>
  <c r="O79" l="1"/>
  <c r="O81" s="1"/>
  <c r="O78"/>
  <c r="O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<sst xmlns="http://schemas.openxmlformats.org/spreadsheetml/2006/main" count="6929" uniqueCount="3066">
  <si>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</si>
  <si>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</si>
  <si>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</si>
  <si>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</si>
  <si>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</si>
  <si>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</si>
  <si>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</si>
  <si>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</si>
  <si>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</si>
  <si>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</si>
  <si>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</si>
  <si>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</si>
  <si>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</si>
  <si>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</si>
  <si>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</si>
  <si>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</si>
  <si>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</si>
  <si>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</si>
  <si>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</si>
  <si>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</si>
  <si>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</si>
  <si>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</si>
  <si>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</si>
  <si>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</si>
  <si>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</si>
  <si>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</si>
  <si>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</si>
  <si>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</si>
  <si>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</si>
  <si>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</si>
  <si>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</si>
  <si>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</si>
  <si>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</si>
  <si>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</si>
  <si>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</si>
  <si>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</si>
  <si>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</si>
  <si>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</si>
  <si>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</si>
  <si>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</si>
  <si>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</si>
  <si>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</si>
  <si>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</si>
  <si>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</si>
  <si>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</si>
  <si>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</si>
  <si>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</si>
  <si>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</si>
  <si>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</si>
  <si>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</si>
  <si>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</si>
  <si>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</si>
  <si>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</si>
  <si>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</si>
  <si>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</si>
  <si>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</si>
  <si>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</si>
  <si>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</si>
  <si>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</si>
  <si>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</si>
  <si>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</si>
  <si>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</si>
  <si>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</si>
  <si>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</si>
  <si>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</si>
  <si>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</si>
  <si>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</si>
  <si>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</si>
  <si>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</si>
  <si>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</si>
  <si>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</si>
  <si>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</si>
  <si>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</si>
  <si>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</si>
  <si>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</si>
  <si>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</si>
  <si>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</si>
  <si>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</si>
  <si>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</si>
  <si>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</si>
  <si>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</si>
  <si>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</si>
  <si>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</si>
  <si>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</si>
  <si>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</si>
  <si>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</si>
  <si>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</si>
  <si>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</si>
  <si>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</si>
  <si>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</si>
  <si>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</si>
  <si>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</si>
  <si>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</si>
  <si>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</si>
  <si>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</si>
  <si>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</si>
  <si>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</si>
  <si>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</si>
  <si>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</si>
  <si>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</si>
  <si>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</si>
  <si>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</si>
  <si>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</si>
  <si>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</si>
  <si>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</si>
  <si>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</si>
  <si>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</si>
  <si>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</si>
  <si>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</si>
  <si>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</si>
  <si>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</si>
  <si>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</si>
  <si>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</si>
  <si>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</si>
  <si>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</si>
  <si>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</si>
  <si>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</si>
  <si>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</si>
  <si>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</si>
  <si>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</si>
  <si>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</si>
  <si>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</si>
  <si>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</si>
  <si>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</si>
  <si>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</si>
  <si>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</si>
  <si>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</si>
  <si>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</si>
  <si>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</si>
  <si>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</si>
  <si>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</si>
  <si>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</si>
  <si>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</si>
  <si>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</si>
  <si>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</si>
  <si>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</si>
  <si>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</si>
  <si>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</si>
  <si>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</si>
  <si>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</si>
  <si>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</si>
  <si>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</si>
  <si>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</si>
  <si>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</si>
  <si>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</si>
  <si>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</si>
  <si>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</si>
  <si>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</si>
  <si>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</si>
  <si>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</si>
  <si>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</si>
  <si>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</si>
  <si>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</si>
  <si>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</si>
  <si>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</si>
  <si>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</si>
  <si>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</si>
  <si>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</si>
  <si>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</si>
  <si>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</si>
  <si>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</si>
  <si>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</si>
  <si>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</si>
  <si>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</si>
  <si>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</si>
  <si>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</si>
  <si>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</si>
  <si>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</si>
  <si>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</si>
  <si>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</si>
  <si>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</si>
  <si>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</si>
  <si>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</si>
  <si>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</si>
  <si>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</si>
  <si>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</si>
  <si>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</si>
  <si>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</si>
  <si>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</si>
  <si>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</si>
  <si>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</si>
  <si>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</si>
  <si>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</si>
  <si>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</si>
  <si>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</si>
  <si>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</si>
  <si>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</si>
  <si>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</si>
  <si>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</si>
  <si>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</si>
  <si>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</si>
  <si>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</si>
  <si>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</si>
  <si>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</si>
  <si>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</si>
  <si>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</si>
  <si>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</si>
  <si>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</si>
  <si>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</si>
  <si>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</si>
  <si>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</si>
  <si>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</si>
  <si>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</si>
  <si>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</si>
  <si>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</si>
  <si>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</si>
  <si>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</si>
  <si>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</si>
  <si>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</si>
  <si>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</si>
  <si>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</si>
  <si>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</si>
  <si>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</si>
  <si>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</si>
  <si>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</si>
  <si>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</si>
  <si>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</si>
  <si>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</si>
  <si>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</si>
  <si>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</si>
  <si>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</si>
  <si>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</si>
  <si>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</si>
  <si>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</si>
  <si>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</si>
  <si>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</si>
  <si>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</si>
  <si>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</si>
  <si>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</si>
  <si>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</si>
  <si>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</si>
  <si>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</si>
  <si>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</si>
  <si>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</si>
  <si>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</si>
  <si>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</si>
  <si>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</si>
  <si>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</si>
  <si>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</si>
  <si>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</si>
  <si>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</si>
  <si>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</si>
  <si>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</si>
  <si>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</si>
  <si>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</si>
  <si>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</si>
  <si>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</si>
  <si>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</si>
  <si>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</si>
  <si>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</si>
  <si>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</si>
  <si>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</si>
  <si>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</si>
  <si>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</si>
  <si>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</si>
  <si>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</si>
  <si>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</si>
  <si>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</si>
  <si>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</si>
  <si>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</si>
  <si>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</si>
  <si>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</si>
  <si>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</si>
  <si>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</si>
  <si>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</si>
  <si>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</si>
  <si>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</si>
  <si>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</si>
  <si>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</si>
  <si>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</si>
  <si>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</si>
  <si>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</si>
  <si>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</si>
  <si>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</si>
  <si>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</si>
  <si>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</si>
  <si>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</si>
  <si>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</si>
  <si>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</si>
  <si>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</si>
  <si>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</si>
  <si>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</si>
  <si>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</si>
  <si>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</si>
  <si>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</si>
  <si>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</si>
  <si>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</si>
  <si>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</si>
  <si>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</si>
  <si>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</si>
  <si>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</si>
  <si>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</si>
  <si>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</si>
  <si>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</si>
  <si>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</si>
  <si>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</si>
  <si>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</si>
  <si>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</si>
  <si>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</si>
  <si>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</si>
  <si>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</si>
  <si>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</si>
  <si>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</si>
  <si>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</si>
  <si>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</si>
  <si>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</si>
  <si>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</si>
  <si>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</si>
  <si>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</si>
  <si>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</si>
  <si>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</si>
  <si>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</si>
  <si>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</si>
  <si>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</si>
  <si>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</si>
  <si>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</si>
  <si>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</si>
  <si>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</si>
  <si>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</si>
  <si>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</si>
  <si>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</si>
  <si>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</si>
  <si>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</si>
  <si>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</si>
  <si>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</si>
  <si>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</si>
  <si>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</si>
  <si>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</si>
  <si>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</si>
  <si>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</si>
  <si>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</si>
  <si>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</si>
  <si>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</si>
  <si>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</si>
  <si>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</si>
  <si>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</si>
  <si>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</si>
  <si>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</si>
  <si>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</si>
  <si>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</si>
  <si>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</si>
  <si>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</si>
  <si>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</si>
  <si>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</si>
  <si>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</si>
  <si>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</si>
  <si>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</si>
  <si>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</si>
  <si>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</si>
  <si>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</si>
  <si>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</si>
  <si>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</si>
  <si>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</si>
  <si>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</si>
  <si>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</si>
  <si>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</si>
  <si>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</si>
  <si>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</si>
  <si>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</si>
  <si>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</si>
  <si>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</si>
  <si>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</si>
  <si>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</si>
  <si>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</si>
  <si>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</si>
  <si>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</si>
  <si>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</si>
  <si>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</si>
  <si>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</si>
  <si>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</si>
  <si>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</si>
  <si>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</si>
  <si>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</si>
  <si>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</si>
  <si>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</si>
  <si>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</si>
  <si>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</si>
  <si>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</si>
  <si>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</si>
  <si>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</si>
  <si>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</si>
  <si>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</si>
  <si>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</si>
  <si>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</si>
  <si>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</si>
  <si>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</si>
  <si>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</si>
  <si>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</si>
  <si>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</si>
  <si>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</si>
  <si>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</si>
  <si>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</si>
  <si>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</si>
  <si>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</si>
  <si>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</si>
  <si>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</si>
  <si>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</si>
  <si>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</si>
  <si>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</si>
  <si>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</si>
  <si>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</si>
  <si>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</si>
  <si>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</si>
  <si>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</si>
  <si>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</si>
  <si>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</si>
  <si>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</si>
  <si>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</si>
  <si>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</si>
  <si>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</si>
  <si>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</si>
  <si>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</si>
  <si>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</si>
  <si>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</si>
  <si>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</si>
  <si>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</si>
  <si>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</si>
  <si>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</si>
  <si>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</si>
  <si>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</si>
  <si>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</si>
  <si>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</si>
  <si>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</si>
  <si>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</si>
  <si>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</si>
  <si>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</si>
  <si>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</si>
  <si>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</si>
  <si>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</si>
  <si>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</si>
  <si>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</si>
  <si>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</si>
  <si>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</si>
  <si>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</si>
  <si>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</si>
  <si>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</si>
  <si>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</si>
  <si>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</si>
  <si>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</si>
  <si>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</si>
  <si>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</si>
  <si>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</si>
  <si>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</si>
  <si>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</si>
  <si>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</si>
  <si>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</si>
  <si>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</si>
  <si>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</si>
  <si>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</si>
  <si>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</si>
  <si>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</si>
  <si>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</si>
  <si>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</si>
  <si>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</si>
  <si>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</si>
  <si>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</si>
  <si>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</si>
  <si>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</si>
  <si>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</si>
  <si>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</si>
  <si>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</si>
  <si>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</si>
  <si>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</si>
  <si>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</si>
  <si>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</si>
  <si>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</si>
  <si>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</si>
  <si>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</si>
  <si>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</si>
  <si>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</si>
  <si>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</si>
  <si>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</si>
  <si>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</si>
  <si>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</si>
  <si>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</si>
  <si>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</si>
  <si>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</si>
  <si>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</si>
  <si>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</si>
  <si>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</si>
  <si>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</si>
  <si>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</si>
  <si>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</si>
  <si>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</si>
  <si>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</si>
  <si>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</si>
  <si>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</si>
  <si>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</si>
  <si>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</si>
  <si>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</si>
  <si>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</si>
  <si>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</si>
  <si>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</si>
  <si>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</si>
  <si>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</si>
  <si>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</si>
  <si>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</si>
  <si>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</si>
  <si>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</si>
  <si>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</si>
  <si>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</si>
  <si>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</si>
  <si>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</si>
  <si>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</si>
  <si>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</si>
  <si>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</si>
  <si>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</si>
  <si>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</si>
  <si>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</si>
  <si>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</si>
  <si>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</si>
  <si>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</si>
  <si>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</si>
  <si>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</si>
  <si>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</si>
  <si>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</si>
  <si>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</si>
  <si>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</si>
  <si>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</si>
  <si>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</si>
  <si>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</si>
  <si>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</si>
  <si>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</si>
  <si>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</si>
  <si>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</si>
  <si>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</si>
  <si>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</si>
  <si>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</si>
  <si>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</si>
  <si>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</si>
  <si>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</si>
  <si>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</si>
  <si>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</si>
  <si>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</si>
  <si>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</si>
  <si>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</si>
  <si>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</si>
  <si>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</si>
  <si>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</si>
  <si>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</si>
  <si>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</si>
  <si>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</si>
  <si>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</si>
  <si>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</si>
  <si>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</si>
  <si>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</si>
  <si>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</si>
  <si>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</si>
  <si>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</si>
  <si>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</si>
  <si>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</si>
  <si>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</si>
  <si>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</si>
  <si>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</si>
  <si>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</si>
  <si>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</si>
  <si>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</si>
  <si>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</si>
  <si>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</si>
  <si>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</si>
  <si>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</si>
  <si>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</si>
  <si>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</si>
  <si>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</si>
  <si>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</si>
  <si>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</si>
  <si>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</si>
  <si>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</si>
  <si>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</si>
  <si>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</si>
  <si>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</si>
  <si>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</si>
  <si>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</si>
  <si>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</si>
  <si>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</si>
  <si>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</si>
  <si>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</si>
  <si>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</si>
  <si>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</si>
  <si>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</si>
  <si>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</si>
  <si>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</si>
  <si>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</si>
  <si>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</si>
  <si>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</si>
  <si>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</si>
  <si>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</si>
  <si>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</si>
  <si>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</si>
  <si>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</si>
  <si>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</si>
  <si>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</si>
  <si>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</si>
  <si>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</si>
  <si>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</si>
  <si>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</si>
  <si>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</si>
  <si>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</si>
  <si>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</si>
  <si>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</si>
  <si>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</si>
  <si>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</si>
  <si>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</si>
  <si>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</si>
  <si>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</si>
  <si>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</si>
  <si>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</si>
  <si>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</si>
  <si>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</si>
  <si>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</si>
  <si>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</si>
  <si>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</si>
  <si>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</si>
  <si>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</si>
  <si>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</si>
  <si>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</si>
  <si>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</si>
  <si>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</si>
  <si>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</si>
  <si>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</si>
  <si>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</si>
  <si>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</si>
  <si>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</si>
  <si>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</si>
  <si>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</si>
  <si>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</si>
  <si>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</si>
  <si>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</si>
  <si>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</si>
  <si>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</si>
  <si>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</si>
  <si>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</si>
  <si>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</si>
  <si>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</si>
  <si>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</si>
  <si>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</si>
  <si>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</si>
  <si>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</si>
  <si>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</si>
  <si>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</si>
  <si>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</si>
  <si>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</si>
  <si>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</si>
  <si>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</si>
  <si>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</si>
  <si>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</si>
  <si>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</si>
  <si>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</si>
  <si>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</si>
  <si>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</si>
  <si>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</si>
  <si>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</si>
  <si>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</si>
  <si>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</si>
  <si>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</si>
  <si>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</si>
  <si>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</si>
  <si>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</si>
  <si>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</si>
  <si>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</si>
  <si>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</si>
  <si>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</si>
  <si>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</si>
  <si>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</si>
  <si>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</si>
  <si>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</si>
  <si>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</si>
  <si>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</si>
  <si>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</si>
  <si>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</si>
  <si>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</si>
  <si>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</si>
  <si>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</si>
  <si>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</si>
  <si>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</si>
  <si>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</si>
  <si>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</si>
  <si>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</si>
  <si>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</si>
  <si>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</si>
  <si>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</si>
  <si>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</si>
  <si>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</si>
  <si>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</si>
  <si>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</si>
  <si>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</si>
  <si>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</si>
  <si>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</si>
  <si>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</si>
  <si>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</si>
  <si>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</si>
  <si>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</si>
  <si>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</si>
  <si>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</si>
  <si>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</si>
  <si>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</si>
  <si>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</si>
  <si>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</si>
  <si>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</si>
  <si>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</si>
  <si>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</si>
  <si>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</si>
  <si>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</si>
  <si>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</si>
  <si>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</si>
  <si>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</si>
  <si>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</si>
  <si>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</si>
  <si>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</si>
  <si>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</si>
  <si>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</si>
  <si>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</si>
  <si>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</si>
  <si>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</si>
  <si>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</si>
  <si>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</si>
  <si>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</si>
  <si>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</si>
  <si>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</si>
  <si>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</si>
  <si>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</si>
  <si>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</si>
  <si>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</si>
  <si>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</si>
  <si>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</si>
  <si>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</si>
  <si>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</si>
  <si>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</si>
  <si>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</si>
  <si>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</si>
  <si>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</si>
  <si>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</si>
  <si>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</si>
  <si>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</si>
  <si>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</si>
  <si>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</si>
  <si>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</si>
  <si>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</si>
  <si>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</si>
  <si>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</si>
  <si>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</si>
  <si>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</si>
  <si>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</si>
  <si>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</si>
  <si>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</si>
  <si>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</si>
  <si>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</si>
  <si>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</si>
  <si>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</si>
  <si>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</si>
  <si>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</si>
  <si>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</si>
  <si>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</si>
  <si>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</si>
  <si>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</si>
  <si>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</si>
  <si>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</si>
  <si>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</si>
  <si>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</si>
  <si>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</si>
  <si>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</si>
  <si>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</si>
  <si>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</si>
  <si>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</si>
  <si>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</si>
  <si>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</si>
  <si>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</si>
  <si>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</si>
  <si>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</si>
  <si>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</si>
  <si>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</si>
  <si>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</si>
  <si>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</si>
  <si>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</si>
  <si>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</si>
  <si>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</si>
  <si>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</si>
  <si>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</si>
  <si>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</si>
  <si>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</si>
  <si>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</si>
  <si>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</si>
  <si>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</si>
  <si>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</si>
  <si>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</si>
  <si>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</si>
  <si>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</si>
  <si>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</si>
  <si>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</si>
  <si>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</si>
  <si>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</si>
  <si>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</si>
  <si>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</si>
  <si>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</si>
  <si>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</si>
  <si>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</si>
  <si>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</si>
  <si>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</si>
  <si>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</si>
  <si>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</si>
  <si>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</si>
  <si>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</si>
  <si>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</si>
  <si>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</si>
  <si>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</si>
  <si>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</si>
  <si>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</si>
  <si>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</si>
  <si>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</si>
  <si>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</si>
  <si>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</si>
  <si>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</si>
  <si>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</si>
  <si>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</si>
  <si>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</si>
  <si>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</si>
  <si>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</si>
  <si>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</si>
  <si>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</si>
  <si>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</si>
  <si>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</si>
  <si>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</si>
  <si>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</si>
  <si>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</si>
  <si>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</si>
  <si>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</si>
  <si>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</si>
  <si>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</si>
  <si>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</si>
  <si>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</si>
  <si>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</si>
  <si>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</si>
  <si>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</si>
  <si>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</si>
  <si>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</si>
  <si>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</si>
  <si>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</si>
  <si>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</si>
  <si>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</si>
  <si>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</si>
  <si>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</si>
  <si>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</si>
  <si>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</si>
  <si>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</si>
  <si>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</si>
  <si>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</si>
  <si>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</si>
  <si>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</si>
  <si>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</si>
  <si>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</si>
  <si>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</si>
  <si>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</si>
  <si>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</si>
  <si>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</si>
  <si>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</si>
  <si>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</si>
  <si>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</si>
  <si>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</si>
  <si>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</si>
  <si>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</si>
  <si>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</si>
  <si>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</si>
  <si>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</si>
  <si>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</si>
  <si>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</si>
  <si>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</si>
  <si>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</si>
  <si>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</si>
  <si>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</si>
  <si>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</si>
  <si>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</si>
  <si>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</si>
  <si>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</si>
  <si>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</si>
  <si>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</si>
  <si>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</si>
  <si>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</si>
  <si>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</si>
  <si>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</si>
  <si>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</si>
  <si>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</si>
  <si>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</si>
  <si>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</si>
  <si>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</si>
  <si>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</si>
  <si>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</si>
  <si>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</si>
  <si>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</si>
  <si>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</si>
  <si>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</si>
  <si>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</si>
  <si>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</si>
  <si>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</si>
  <si>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</si>
  <si>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</si>
  <si>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</si>
  <si>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</si>
  <si>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</si>
  <si>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</si>
  <si>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</si>
  <si>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</si>
  <si>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</si>
  <si>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</si>
  <si>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</si>
  <si>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</si>
  <si>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</si>
  <si>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</si>
  <si>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</si>
  <si>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</si>
  <si>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</si>
  <si>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</si>
  <si>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</si>
  <si>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</si>
  <si>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</si>
  <si>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</si>
  <si>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</si>
  <si>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</si>
  <si>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</si>
  <si>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</si>
  <si>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</si>
  <si>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</si>
  <si>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</si>
  <si>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</si>
  <si>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</si>
  <si>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</si>
  <si>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</si>
  <si>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</si>
  <si>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</si>
  <si>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</si>
  <si>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</si>
  <si>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</si>
  <si>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</si>
  <si>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</si>
  <si>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</si>
  <si>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</si>
  <si>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</si>
  <si>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</si>
  <si>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</si>
  <si>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</si>
  <si>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</si>
  <si>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</si>
  <si>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</si>
  <si>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</si>
  <si>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</si>
  <si>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</si>
  <si>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</si>
  <si>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</si>
  <si>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</si>
  <si>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</si>
  <si>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</si>
  <si>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</si>
  <si>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</si>
  <si>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</si>
  <si>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</si>
  <si>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</si>
  <si>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</si>
  <si>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</si>
  <si>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</si>
  <si>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</si>
  <si>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</si>
  <si>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</si>
  <si>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</si>
  <si>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</si>
  <si>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</si>
  <si>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</si>
  <si>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</si>
  <si>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</si>
  <si>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</si>
  <si>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</si>
  <si>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</si>
  <si>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</si>
  <si>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</si>
  <si>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</si>
  <si>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</si>
  <si>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</si>
  <si>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</si>
  <si>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</si>
  <si>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</si>
  <si>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</si>
  <si>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</si>
  <si>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</si>
  <si>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</si>
  <si>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</si>
  <si>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</si>
  <si>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</si>
  <si>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</si>
  <si>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</si>
  <si>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</si>
  <si>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</si>
  <si>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</si>
  <si>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</si>
  <si>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</si>
  <si>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</si>
  <si>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</si>
  <si>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</si>
  <si>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</si>
  <si>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</si>
  <si>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</si>
  <si>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</si>
  <si>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</si>
  <si>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</si>
  <si>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</si>
  <si>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</si>
  <si>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</si>
  <si>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</si>
  <si>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</si>
  <si>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</si>
  <si>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</si>
  <si>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</si>
  <si>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</si>
  <si>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</si>
  <si>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</si>
  <si>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</si>
  <si>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</si>
  <si>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</si>
  <si>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</si>
  <si>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</si>
  <si>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</si>
  <si>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</si>
  <si>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</si>
  <si>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</si>
  <si>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</si>
  <si>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</si>
  <si>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</si>
  <si>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</si>
  <si>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</si>
  <si>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</si>
  <si>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</si>
  <si>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</si>
  <si>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</si>
  <si>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</si>
  <si>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</si>
  <si>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</si>
  <si>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</si>
  <si>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</si>
  <si>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</si>
  <si>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</si>
  <si>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</si>
  <si>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</si>
  <si>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</si>
  <si>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</si>
  <si>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</si>
  <si>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</si>
  <si>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</si>
  <si>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</si>
  <si>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</si>
  <si>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</si>
  <si>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</si>
  <si>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</si>
  <si>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</si>
  <si>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</si>
  <si>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</si>
  <si>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</si>
  <si>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</si>
  <si>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</si>
  <si>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</si>
  <si>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</si>
  <si>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</si>
  <si>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</si>
  <si>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</si>
  <si>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</si>
  <si>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</si>
  <si>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</si>
  <si>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</si>
  <si>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</si>
  <si>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</si>
  <si>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</si>
  <si>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</si>
  <si>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</si>
  <si>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</si>
  <si>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</si>
  <si>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</si>
  <si>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</si>
  <si>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</si>
  <si>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</si>
  <si>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</si>
  <si>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</si>
  <si>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</si>
  <si>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</si>
  <si>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</si>
  <si>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</si>
  <si>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</si>
  <si>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</si>
  <si>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</si>
  <si>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</si>
  <si>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</si>
  <si>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</si>
  <si>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</si>
  <si>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</si>
  <si>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</si>
  <si>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</si>
  <si>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</si>
  <si>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</si>
  <si>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</si>
  <si>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</si>
  <si>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</si>
  <si>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</si>
  <si>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</si>
  <si>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</si>
  <si>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</si>
  <si>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</si>
  <si>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</si>
  <si>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</si>
  <si>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</si>
  <si>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</si>
  <si>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</si>
  <si>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</si>
  <si>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</si>
  <si>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</si>
  <si>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</si>
  <si>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</si>
  <si>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</si>
  <si>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</si>
  <si>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</si>
  <si>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</si>
  <si>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</si>
  <si>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</si>
  <si>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</si>
  <si>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</si>
  <si>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</si>
  <si>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</si>
  <si>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</si>
  <si>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</si>
  <si>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</si>
  <si>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</si>
  <si>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</si>
  <si>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</si>
  <si>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</si>
  <si>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</si>
  <si>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</si>
  <si>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</si>
  <si>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</si>
  <si>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</si>
  <si>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</si>
  <si>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</si>
  <si>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</si>
  <si>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</si>
  <si>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</si>
  <si>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</si>
  <si>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</si>
  <si>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</si>
  <si>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</si>
  <si>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</si>
  <si>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</si>
  <si>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</si>
  <si>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</si>
  <si>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</si>
  <si>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</si>
  <si>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</si>
  <si>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</si>
  <si>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</si>
  <si>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</si>
  <si>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</si>
  <si>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</si>
  <si>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</si>
  <si>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</si>
  <si>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</si>
  <si>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</si>
  <si>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</si>
  <si>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</si>
  <si>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</si>
  <si>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</si>
  <si>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</si>
  <si>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</si>
  <si>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</si>
  <si>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</si>
  <si>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</si>
  <si>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</si>
  <si>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</si>
  <si>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</si>
  <si>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</si>
  <si>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</si>
  <si>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</si>
  <si>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</si>
  <si>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</si>
  <si>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</si>
  <si>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</si>
  <si>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</si>
  <si>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</si>
  <si>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</si>
  <si>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</si>
  <si>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</si>
  <si>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</si>
  <si>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</si>
  <si>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</si>
  <si>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</si>
  <si>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</si>
  <si>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</si>
  <si>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</si>
  <si>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</si>
  <si>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</si>
  <si>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</si>
  <si>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</si>
  <si>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</si>
  <si>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</si>
  <si>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</si>
  <si>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</si>
  <si>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</si>
  <si>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</si>
  <si>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</si>
  <si>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</si>
  <si>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</si>
  <si>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</si>
  <si>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</si>
  <si>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</si>
  <si>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</si>
  <si>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</si>
  <si>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</si>
  <si>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</si>
  <si>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</si>
  <si>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</si>
  <si>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</si>
  <si>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</si>
  <si>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</si>
  <si>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</si>
  <si>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</si>
  <si>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</si>
  <si>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</si>
  <si>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</si>
  <si>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</si>
  <si>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</si>
  <si>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</si>
  <si>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</si>
  <si>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</si>
  <si>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</si>
  <si>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</si>
  <si>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</si>
  <si>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</si>
  <si>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</si>
  <si>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</si>
  <si>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</si>
  <si>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</si>
  <si>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</si>
  <si>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</si>
  <si>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</si>
  <si>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</si>
  <si>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</si>
  <si>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</si>
  <si>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</si>
  <si>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</si>
  <si>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</si>
  <si>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</si>
  <si>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</si>
  <si>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</si>
  <si>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</si>
  <si>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</si>
  <si>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</si>
  <si>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</si>
  <si>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</si>
  <si>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</si>
  <si>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</si>
  <si>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</si>
  <si>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</si>
  <si>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</si>
  <si>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</si>
  <si>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</si>
  <si>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</si>
  <si>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</si>
  <si>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</si>
  <si>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</si>
  <si>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</si>
  <si>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</si>
  <si>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</si>
  <si>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</si>
  <si>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</si>
  <si>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</si>
  <si>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</si>
  <si>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</si>
  <si>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</si>
  <si>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</si>
  <si>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</si>
  <si>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</si>
  <si>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</si>
  <si>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</si>
  <si>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</si>
  <si>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</si>
  <si>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</si>
  <si>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</si>
  <si>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</si>
  <si>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</si>
  <si>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</si>
  <si>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</si>
  <si>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</si>
  <si>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</si>
  <si>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</si>
  <si>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</si>
  <si>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</si>
  <si>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</si>
  <si>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</si>
  <si>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</si>
  <si>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</si>
  <si>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</si>
  <si>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</si>
  <si>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</si>
  <si>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</si>
  <si>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</si>
  <si>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</si>
  <si>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</si>
  <si>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</si>
  <si>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</si>
  <si>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</si>
  <si>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</si>
  <si>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</si>
  <si>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</si>
  <si>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</si>
  <si>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</si>
  <si>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</si>
  <si>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</si>
  <si>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</si>
  <si>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</si>
  <si>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</si>
  <si>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</si>
  <si>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</si>
  <si>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</si>
  <si>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</si>
  <si>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</si>
  <si>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</si>
  <si>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</si>
  <si>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</si>
  <si>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</si>
  <si>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</si>
  <si>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</si>
  <si>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</si>
  <si>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</si>
  <si>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</si>
  <si>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</si>
  <si>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</si>
  <si>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</si>
  <si>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</si>
  <si>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</si>
  <si>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</si>
  <si>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</si>
  <si>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</si>
  <si>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</si>
  <si>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</si>
  <si>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</si>
  <si>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</si>
  <si>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</si>
  <si>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</si>
  <si>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</si>
  <si>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</si>
  <si>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</si>
  <si>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</si>
  <si>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</si>
  <si>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</si>
  <si>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</si>
  <si>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</si>
  <si>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</si>
  <si>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</si>
  <si>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</si>
  <si>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</si>
  <si>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</si>
  <si>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</si>
  <si>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</si>
  <si>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</si>
  <si>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</si>
  <si>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</si>
  <si>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</si>
  <si>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</si>
  <si>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</si>
  <si>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</si>
  <si>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</si>
  <si>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</si>
  <si>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</si>
  <si>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</si>
  <si>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</si>
  <si>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</si>
  <si>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</si>
  <si>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</si>
  <si>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</si>
  <si>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</si>
  <si>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</si>
  <si>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</si>
  <si>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</si>
  <si>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</si>
  <si>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</si>
  <si>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</si>
  <si>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</si>
  <si>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</si>
  <si>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</si>
  <si>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</si>
  <si>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</si>
  <si>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</si>
  <si>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</si>
  <si>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</si>
  <si>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</si>
  <si>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</si>
  <si>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</si>
  <si>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</si>
  <si>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</si>
  <si>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</si>
  <si>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</si>
  <si>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</si>
  <si>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</si>
  <si>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</si>
  <si>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</si>
  <si>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</si>
  <si>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</si>
  <si>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</si>
  <si>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</si>
  <si>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</si>
  <si>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</si>
  <si>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</si>
  <si>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</si>
  <si>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</si>
  <si>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</si>
  <si>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</si>
  <si>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</si>
  <si>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</si>
  <si>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</si>
  <si>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</si>
  <si>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</si>
  <si>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</si>
  <si>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</si>
  <si>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</si>
  <si>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</si>
  <si>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</si>
  <si>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</si>
  <si>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</si>
  <si>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</si>
  <si>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</si>
  <si>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</si>
  <si>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</si>
  <si>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</si>
  <si>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</si>
  <si>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</si>
  <si>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</si>
  <si>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</si>
  <si>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</si>
  <si>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</si>
  <si>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</si>
  <si>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</si>
  <si>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</si>
  <si>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</si>
  <si>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</si>
  <si>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</si>
  <si>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</si>
  <si>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</si>
  <si>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</si>
  <si>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</si>
  <si>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</si>
  <si>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</si>
  <si>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</si>
  <si>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</si>
  <si>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</si>
  <si>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</si>
  <si>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</si>
  <si>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</si>
  <si>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</si>
  <si>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</si>
  <si>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</si>
  <si>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</si>
  <si>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</si>
  <si>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</si>
  <si>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</si>
  <si>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</si>
  <si>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</si>
  <si>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</si>
  <si>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</si>
  <si>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</si>
  <si>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</si>
  <si>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</si>
  <si>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</si>
  <si>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</si>
  <si>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</si>
  <si>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</si>
  <si>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</si>
  <si>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</si>
  <si>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</si>
  <si>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</si>
  <si>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</si>
  <si>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</si>
  <si>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</si>
  <si>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</si>
  <si>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</si>
  <si>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</si>
  <si>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</si>
  <si>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</si>
  <si>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</si>
  <si>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</si>
  <si>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</si>
  <si>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</si>
  <si>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</si>
  <si>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</si>
  <si>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</si>
  <si>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</si>
  <si>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</si>
  <si>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</si>
  <si>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</si>
  <si>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</si>
  <si>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</si>
  <si>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</si>
  <si>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</si>
  <si>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</si>
  <si>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</si>
  <si>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</si>
  <si>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</si>
  <si>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</si>
  <si>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</si>
  <si>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</si>
  <si>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</si>
  <si>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</si>
  <si>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</si>
  <si>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</si>
  <si>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</si>
  <si>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</si>
  <si>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</si>
  <si>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</si>
  <si>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</si>
  <si>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</si>
  <si>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</si>
  <si>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</si>
  <si>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</si>
  <si>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</si>
  <si>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</si>
  <si>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</si>
  <si>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</si>
  <si>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</si>
  <si>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</si>
  <si>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</si>
  <si>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</si>
  <si>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</si>
  <si>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</si>
  <si>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</si>
  <si>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</si>
  <si>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</si>
  <si>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</si>
  <si>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</si>
  <si>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</si>
  <si>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</si>
  <si>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</si>
  <si>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</si>
  <si>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</si>
  <si>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</si>
  <si>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</si>
  <si>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</si>
  <si>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</si>
  <si>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</si>
  <si>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</si>
  <si>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</si>
  <si>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</si>
  <si>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</si>
  <si>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</si>
  <si>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</si>
  <si>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</si>
  <si>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</si>
  <si>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</si>
  <si>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</si>
  <si>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</si>
  <si>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</si>
  <si>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</si>
  <si>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</si>
  <si>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</si>
  <si>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</si>
  <si>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</si>
  <si>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</si>
  <si>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</si>
  <si>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</si>
  <si>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</si>
  <si>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</si>
  <si>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</si>
  <si>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</si>
  <si>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</si>
  <si>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</si>
  <si>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</si>
  <si>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</si>
  <si>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</si>
  <si>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</si>
  <si>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</si>
  <si>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</si>
  <si>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</si>
  <si>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</si>
  <si>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</si>
  <si>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</si>
  <si>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</si>
  <si>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</si>
  <si>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</si>
  <si>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</si>
  <si>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</si>
  <si>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</si>
  <si>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</si>
  <si>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</si>
  <si>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</si>
  <si>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</si>
  <si>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</si>
  <si>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</si>
  <si>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</si>
  <si>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</si>
  <si>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</si>
  <si>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</si>
  <si>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</si>
  <si>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</si>
  <si>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</si>
  <si>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</si>
  <si>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</si>
  <si>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</si>
  <si>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</si>
  <si>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</si>
  <si>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</si>
  <si>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</si>
  <si>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</si>
  <si>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</si>
  <si>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</si>
  <si>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</si>
  <si>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</si>
  <si>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</si>
  <si>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</si>
  <si>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</si>
  <si>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</si>
  <si>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</si>
  <si>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</si>
  <si>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</si>
  <si>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</si>
  <si>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</si>
  <si>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</si>
  <si>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</si>
  <si>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</si>
  <si>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</si>
  <si>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</si>
  <si>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</si>
  <si>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</si>
  <si>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</si>
  <si>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</si>
  <si>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</si>
  <si>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</si>
  <si>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</si>
  <si>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</si>
  <si>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</si>
  <si>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</si>
  <si>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</si>
  <si>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</si>
  <si>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</si>
  <si>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</si>
  <si>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</si>
  <si>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</si>
  <si>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</si>
  <si>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</si>
  <si>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</si>
  <si>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</si>
  <si>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</si>
  <si>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</si>
  <si>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</si>
  <si>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</si>
  <si>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</si>
  <si>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</si>
  <si>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</si>
  <si>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</si>
  <si>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</si>
  <si>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</si>
  <si>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</si>
  <si>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</si>
  <si>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</si>
  <si>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</si>
  <si>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</si>
  <si>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</si>
  <si>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</si>
  <si>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</si>
  <si>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</si>
  <si>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</si>
  <si>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</si>
  <si>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</si>
  <si>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</si>
  <si>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</si>
  <si>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</si>
  <si>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</si>
  <si>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</si>
  <si>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</si>
  <si>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</si>
  <si>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</si>
  <si>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</si>
  <si>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</si>
  <si>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</si>
  <si>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</si>
  <si>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</si>
  <si>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</si>
  <si>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</si>
  <si>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</si>
  <si>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</si>
  <si>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</si>
  <si>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</si>
  <si>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</si>
  <si>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</si>
  <si>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</si>
  <si>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</si>
  <si>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</si>
  <si>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</si>
  <si>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</si>
  <si>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</si>
  <si>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</si>
  <si>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</si>
  <si>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</si>
  <si>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</si>
  <si>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</si>
  <si>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</si>
  <si>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</si>
  <si>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</si>
  <si>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</si>
  <si>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</si>
  <si>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</si>
  <si>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</si>
  <si>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</si>
  <si>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</si>
  <si>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</si>
  <si>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</si>
  <si>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</si>
  <si>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</si>
  <si>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</si>
  <si>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</si>
  <si>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</si>
  <si>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</si>
  <si>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</si>
  <si>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</si>
  <si>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</si>
  <si>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</si>
  <si>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</si>
  <si>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</si>
  <si>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</si>
  <si>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</si>
  <si>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</si>
  <si>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</si>
  <si>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</si>
  <si>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</si>
  <si>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</si>
  <si>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</si>
  <si>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</si>
  <si>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</si>
  <si>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</si>
  <si>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</si>
  <si>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</si>
  <si>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</si>
  <si>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</si>
  <si>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</si>
  <si>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</si>
  <si>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</si>
  <si>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</si>
  <si>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</si>
  <si>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</si>
  <si>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</si>
  <si>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</si>
  <si>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</si>
  <si>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</si>
  <si>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</si>
  <si>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</si>
  <si>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</si>
  <si>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</si>
  <si>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</si>
  <si>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</si>
  <si>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</si>
  <si>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</si>
  <si>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</si>
  <si>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</si>
  <si>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</si>
  <si>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</si>
  <si>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</si>
  <si>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</si>
  <si>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</si>
  <si>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</si>
  <si>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</si>
  <si>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</si>
  <si>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</si>
  <si>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</si>
  <si>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</si>
  <si>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</si>
  <si>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</si>
  <si>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</si>
  <si>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</si>
  <si>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</si>
  <si>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</si>
  <si>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</si>
  <si>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</si>
  <si>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</si>
  <si>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</si>
  <si>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</si>
  <si>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</si>
  <si>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</si>
  <si>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</si>
  <si>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</si>
  <si>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</si>
  <si>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</si>
  <si>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</si>
  <si>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</si>
  <si>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</si>
  <si>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</si>
  <si>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</si>
  <si>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</si>
  <si>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</si>
  <si>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</si>
  <si>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</si>
  <si>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</si>
  <si>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</si>
  <si>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</si>
  <si>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</si>
  <si>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</si>
  <si>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</si>
  <si>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</si>
  <si>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</si>
  <si>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</si>
  <si>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</si>
  <si>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</si>
  <si>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</si>
  <si>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</si>
  <si>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</si>
  <si>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</si>
  <si>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</si>
  <si>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</si>
  <si>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</si>
  <si>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</si>
  <si>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</si>
  <si>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</si>
  <si>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</si>
  <si>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</si>
  <si>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</si>
  <si>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</si>
  <si>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</si>
  <si>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</si>
  <si>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</si>
  <si>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</si>
  <si>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</si>
  <si>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</si>
  <si>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</si>
  <si>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</si>
  <si>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</si>
  <si>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</si>
  <si>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</si>
  <si>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</si>
  <si>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</si>
  <si>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</si>
  <si>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</si>
  <si>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</si>
  <si>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</si>
  <si>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</si>
  <si>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</si>
  <si>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</si>
  <si>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</si>
  <si>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</si>
  <si>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</si>
  <si>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</si>
  <si>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</si>
  <si>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</si>
  <si>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</si>
  <si>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</si>
  <si>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</si>
  <si>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</si>
  <si>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</si>
  <si>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</si>
  <si>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</si>
  <si>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</si>
  <si>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</si>
  <si>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</si>
  <si>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</si>
  <si>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</si>
  <si>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</si>
  <si>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</si>
  <si>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</si>
  <si>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</si>
  <si>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</si>
  <si>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</si>
  <si>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</si>
  <si>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</si>
  <si>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</si>
  <si>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</si>
  <si>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</si>
  <si>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</si>
  <si>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</si>
  <si>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</si>
  <si>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</si>
  <si>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</si>
  <si>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</si>
  <si>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</si>
  <si>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</si>
  <si>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</si>
  <si>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</si>
  <si>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</si>
  <si>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</si>
  <si>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</si>
  <si>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</si>
  <si>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</si>
  <si>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</si>
  <si>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</si>
  <si>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</si>
  <si>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</si>
  <si>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</si>
  <si>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</si>
  <si>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</si>
  <si>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</si>
  <si>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</si>
  <si>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</si>
  <si>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</si>
  <si>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</si>
  <si>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</si>
  <si>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</si>
  <si>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</si>
  <si>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</si>
  <si>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</si>
  <si>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</si>
  <si>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</si>
  <si>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</si>
  <si>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</si>
  <si>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</si>
  <si>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</si>
  <si>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</si>
  <si>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</si>
  <si>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</si>
  <si>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</si>
  <si>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</si>
  <si>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</si>
  <si>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</si>
  <si>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</si>
  <si>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</si>
  <si>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</si>
  <si>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</si>
  <si>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</si>
  <si>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</si>
  <si>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</si>
  <si>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</si>
  <si>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</si>
  <si>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</si>
  <si>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</si>
  <si>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</si>
  <si>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</si>
  <si>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</si>
  <si>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</si>
  <si>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</si>
  <si>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</si>
  <si>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</si>
  <si>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</si>
  <si>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</si>
  <si>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</si>
  <si>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</si>
  <si>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</si>
  <si>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</si>
  <si>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</si>
  <si>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</si>
  <si>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</si>
  <si>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</si>
  <si>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</si>
  <si>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</si>
  <si>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</si>
  <si>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</si>
  <si>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</si>
  <si>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</si>
  <si>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</si>
  <si>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</si>
  <si>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</si>
  <si>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</si>
  <si>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</si>
  <si>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</si>
  <si>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</si>
  <si>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</si>
  <si>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</si>
  <si>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</si>
  <si>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</si>
  <si>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</si>
  <si>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</si>
  <si>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</si>
  <si>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</si>
  <si>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</si>
  <si>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</si>
  <si>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</si>
  <si>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</si>
  <si>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</si>
  <si>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</si>
  <si>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</si>
  <si>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</si>
  <si>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</si>
  <si>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</si>
  <si>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</si>
  <si>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</si>
  <si>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</si>
  <si>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</si>
  <si>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</si>
  <si>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</si>
  <si>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</si>
  <si>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</si>
  <si>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</si>
  <si>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</si>
  <si>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</si>
  <si>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</si>
  <si>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</si>
  <si>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</si>
  <si>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</si>
  <si>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</si>
  <si>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</si>
  <si>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</si>
  <si>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</si>
  <si>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</si>
  <si>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</si>
  <si>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</si>
  <si>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</si>
  <si>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</si>
  <si>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</si>
  <si>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</si>
  <si>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</si>
  <si>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</si>
  <si>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</si>
  <si>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</si>
  <si>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</si>
  <si>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</si>
  <si>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</si>
  <si>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</si>
  <si>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</si>
  <si>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</si>
  <si>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</si>
  <si>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</si>
  <si>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</si>
  <si>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</si>
  <si>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</si>
  <si>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</si>
  <si>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</si>
  <si>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</si>
  <si>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</si>
  <si>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</si>
  <si>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</si>
  <si>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</si>
  <si>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</si>
  <si>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</si>
  <si>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</si>
  <si>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</si>
  <si>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</si>
  <si>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</si>
  <si>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</si>
  <si>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</si>
  <si>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</si>
  <si>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</si>
  <si>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</si>
  <si>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</si>
  <si>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</si>
  <si>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</si>
  <si>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</si>
  <si>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</si>
  <si>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</si>
  <si>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</si>
  <si>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</si>
  <si>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</si>
  <si>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</si>
  <si>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</si>
  <si>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</si>
  <si>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</si>
  <si>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</si>
  <si>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</si>
  <si>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</si>
  <si>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</si>
  <si>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</si>
  <si>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</si>
  <si>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</si>
  <si>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</si>
  <si>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</si>
  <si>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</si>
  <si>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</si>
  <si>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</si>
  <si>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</si>
  <si>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</si>
  <si>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</si>
  <si>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</si>
  <si>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</si>
  <si>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</si>
  <si>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</si>
  <si>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</si>
  <si>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</si>
  <si>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</si>
  <si>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</si>
  <si>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</si>
  <si>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</si>
  <si>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</si>
  <si>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</si>
  <si>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</si>
  <si>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</si>
  <si>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</si>
  <si>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</si>
  <si>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</si>
  <si>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</si>
  <si>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</si>
  <si>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</si>
  <si>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</si>
  <si>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</si>
  <si>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</si>
  <si>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</si>
  <si>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</si>
  <si>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</si>
  <si>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</si>
  <si>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</si>
  <si>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</si>
  <si>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</si>
  <si>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</si>
  <si>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</si>
  <si>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</si>
  <si>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</si>
  <si>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</si>
  <si>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</si>
  <si>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</si>
  <si>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</si>
  <si>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</si>
  <si>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</si>
  <si>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</si>
  <si>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</si>
  <si>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</si>
  <si>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</si>
  <si>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</si>
  <si>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</si>
  <si>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</si>
  <si>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</si>
  <si>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</si>
  <si>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</si>
  <si>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</si>
  <si>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</si>
  <si>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</si>
  <si>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</si>
  <si>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</si>
  <si>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</si>
  <si>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</si>
  <si>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</si>
  <si>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</si>
  <si>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</si>
  <si>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</si>
  <si>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</si>
  <si>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</si>
  <si>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</si>
  <si>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</si>
  <si>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</si>
  <si>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</si>
  <si>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</si>
  <si>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</si>
  <si>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</si>
  <si>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</si>
  <si>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</si>
  <si>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</si>
  <si>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</si>
  <si>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</si>
  <si>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</si>
  <si>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</si>
  <si>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</si>
  <si>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</si>
  <si>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</si>
  <si>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</si>
  <si>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</si>
  <si>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</si>
  <si>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</si>
  <si>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</si>
  <si>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</si>
  <si>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</si>
  <si>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</si>
  <si>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</si>
  <si>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</si>
  <si>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</si>
  <si>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</si>
  <si>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</si>
  <si>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</si>
  <si>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</si>
  <si>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</si>
  <si>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</si>
  <si>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</si>
  <si>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</si>
  <si>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</si>
  <si>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</si>
  <si>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</si>
  <si>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</si>
  <si>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</si>
  <si>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</si>
  <si>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</si>
  <si>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</si>
  <si>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</si>
  <si>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</si>
  <si>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</si>
  <si>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</si>
  <si>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</si>
  <si>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</si>
  <si>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</si>
  <si>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</si>
  <si>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</si>
  <si>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</si>
  <si>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</si>
  <si>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</si>
  <si>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</si>
  <si>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</si>
  <si>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</si>
  <si>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</si>
  <si>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</si>
  <si>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</si>
  <si>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</si>
  <si>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</si>
  <si>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</si>
  <si>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</si>
  <si>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</si>
  <si>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</si>
  <si>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</si>
  <si>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</si>
  <si>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</si>
  <si>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</si>
  <si>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</si>
  <si>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</si>
  <si>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</si>
  <si>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</si>
  <si>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</si>
  <si>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</si>
  <si>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</si>
  <si>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</si>
  <si>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</si>
  <si>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</si>
  <si>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</si>
  <si>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</si>
  <si>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</si>
  <si>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</si>
  <si>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</si>
  <si>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</si>
  <si>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</si>
  <si>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</si>
  <si>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</si>
  <si>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</si>
  <si>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</si>
  <si>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</si>
  <si>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</si>
  <si>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</si>
  <si>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</si>
  <si>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</si>
  <si>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</si>
  <si>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</si>
  <si>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</si>
  <si>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</si>
  <si>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</si>
  <si>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</si>
  <si>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</si>
  <si>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</si>
  <si>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</si>
  <si>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</si>
  <si>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</si>
  <si>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</si>
  <si>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</si>
  <si>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</si>
  <si>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</si>
  <si>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</si>
  <si>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</si>
  <si>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</si>
  <si>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</si>
  <si>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</si>
  <si>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</si>
  <si>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</si>
  <si>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</si>
  <si>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</si>
  <si>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</si>
  <si>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</si>
  <si>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</si>
  <si>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</si>
  <si>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</si>
  <si>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</si>
  <si>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</si>
  <si>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</si>
  <si>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</si>
  <si>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</si>
  <si>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</si>
  <si>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</si>
  <si>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</si>
  <si>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</si>
  <si>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</si>
  <si>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</si>
  <si>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</si>
  <si>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</si>
  <si>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</si>
  <si>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</si>
  <si>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</si>
  <si>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</si>
  <si>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</si>
  <si>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</si>
  <si>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</si>
  <si>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</si>
  <si>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</si>
  <si>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</si>
  <si>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</si>
  <si>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</si>
  <si>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</si>
  <si>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</si>
  <si>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</si>
  <si>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</si>
  <si>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</si>
  <si>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</si>
  <si>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</si>
  <si>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</si>
  <si>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</si>
  <si>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</si>
  <si>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</si>
  <si>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</si>
  <si>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</si>
  <si>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</si>
  <si>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</si>
  <si>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</si>
  <si>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</si>
  <si>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</si>
  <si>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</si>
  <si>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</si>
  <si>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</si>
  <si>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</si>
  <si>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</si>
  <si>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</si>
  <si>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</si>
  <si>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</si>
  <si>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</si>
  <si>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</si>
  <si>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</si>
  <si>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</si>
  <si>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</si>
  <si>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</si>
  <si>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</si>
  <si>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</si>
  <si>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</si>
  <si>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</si>
  <si>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</si>
  <si>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</si>
  <si>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</si>
  <si>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</si>
  <si>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</si>
  <si>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</si>
  <si>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</si>
  <si>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</si>
  <si>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</si>
  <si>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</si>
  <si>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</si>
  <si>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</si>
  <si>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</si>
  <si>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</si>
  <si>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</si>
  <si>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</si>
  <si>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</si>
  <si>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</si>
  <si>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</si>
  <si>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</si>
  <si>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</si>
  <si>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</si>
  <si>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</si>
  <si>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</si>
  <si>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</si>
  <si>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</si>
  <si>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</si>
  <si>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</si>
  <si>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</si>
  <si>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</si>
  <si>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</si>
  <si>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</si>
  <si>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</si>
  <si>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</si>
  <si>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</si>
  <si>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</si>
  <si>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</si>
  <si>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</si>
  <si>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</si>
  <si>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</si>
  <si>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</si>
  <si>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</si>
  <si>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</si>
  <si>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</si>
  <si>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</si>
  <si>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</si>
  <si>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</si>
  <si>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</si>
  <si>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</si>
  <si>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</si>
  <si>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</si>
  <si>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</si>
  <si>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</si>
  <si>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</si>
  <si>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</si>
  <si>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</si>
  <si>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</si>
  <si>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</si>
  <si>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</si>
  <si>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</si>
  <si>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</si>
  <si>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</si>
  <si>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</si>
  <si>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</si>
  <si>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</si>
  <si>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</si>
  <si>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</si>
  <si>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</si>
  <si>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</si>
  <si>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</si>
  <si>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</si>
  <si>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</si>
  <si>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</si>
  <si>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</si>
  <si>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</si>
  <si>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</si>
  <si>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</si>
  <si>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</si>
  <si>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</si>
  <si>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</si>
  <si>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</si>
  <si>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</si>
  <si>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</si>
  <si>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</si>
  <si>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</si>
  <si>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</si>
  <si>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</si>
  <si>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</si>
  <si>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</si>
  <si>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</si>
  <si>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</si>
  <si>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</si>
  <si>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</si>
  <si>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</si>
  <si>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</si>
  <si>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</si>
  <si>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</si>
  <si>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</si>
  <si>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</si>
  <si>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</si>
  <si>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</si>
  <si>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</si>
  <si>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</si>
  <si>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</si>
  <si>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</si>
  <si>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</si>
  <si>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</si>
  <si>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</si>
  <si>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</si>
  <si>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</si>
  <si>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</si>
  <si>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</si>
  <si>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</si>
  <si>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</si>
  <si>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</si>
  <si>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</si>
  <si>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</si>
  <si>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</si>
  <si>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</si>
  <si>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</si>
  <si>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</si>
  <si>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</si>
  <si>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</si>
  <si>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</si>
  <si>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</si>
  <si>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</si>
  <si>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</si>
  <si>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</si>
  <si>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</si>
  <si>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</si>
  <si>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</si>
  <si>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</si>
  <si>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</si>
  <si>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</si>
  <si>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</si>
  <si>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</si>
  <si>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</si>
  <si>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</si>
  <si>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</si>
  <si>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</si>
  <si>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</si>
  <si>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</si>
  <si>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</si>
  <si>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</si>
  <si>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</si>
  <si>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</si>
  <si>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</si>
  <si>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</si>
  <si>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</si>
  <si>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</si>
  <si>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</si>
  <si>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</si>
  <si>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</si>
  <si>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</si>
  <si>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</si>
  <si>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</si>
  <si>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</si>
  <si>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</si>
  <si>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</si>
  <si>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</si>
  <si>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</si>
  <si>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</si>
  <si>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</si>
  <si>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</si>
  <si>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</si>
  <si>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</si>
  <si>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</si>
  <si>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</si>
  <si>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</si>
  <si>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</si>
  <si>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</si>
  <si>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</si>
  <si>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</si>
  <si>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</si>
  <si>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</si>
  <si>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</si>
  <si>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</si>
  <si>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</si>
  <si>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</si>
  <si>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</si>
  <si>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</si>
  <si>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</si>
  <si>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</si>
  <si>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</si>
  <si>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</si>
  <si>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</si>
  <si>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</si>
  <si>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</si>
  <si>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</si>
  <si>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</si>
  <si>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</si>
  <si>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</si>
  <si>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</si>
  <si>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</si>
  <si>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</si>
  <si>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</si>
  <si>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</si>
  <si>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</si>
  <si>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</si>
  <si>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</si>
  <si>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</si>
  <si>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</si>
  <si>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</si>
  <si>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</si>
  <si>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</si>
  <si>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</si>
  <si>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</si>
  <si>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</si>
  <si>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</si>
  <si>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</si>
  <si>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</si>
  <si>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</si>
  <si>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</si>
  <si>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</si>
  <si>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</si>
  <si>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</si>
  <si>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</si>
  <si>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</si>
  <si>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</si>
  <si>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</si>
  <si>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</si>
  <si>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</si>
  <si>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</si>
  <si>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</si>
  <si>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</si>
  <si>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</si>
  <si>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</si>
  <si>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</si>
  <si>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</si>
  <si>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</si>
  <si>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</si>
  <si>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</si>
  <si>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</si>
  <si>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</si>
  <si>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</si>
  <si>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</si>
  <si>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</si>
  <si>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</si>
  <si>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</si>
  <si>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</si>
  <si>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</si>
  <si>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</si>
  <si>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</si>
  <si>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</si>
  <si>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</si>
  <si>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</si>
  <si>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</si>
  <si>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</si>
  <si>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</si>
  <si>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</si>
  <si>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</si>
  <si>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</si>
  <si>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</si>
  <si>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</si>
  <si>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</si>
  <si>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</si>
  <si>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</si>
  <si>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</si>
  <si>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</si>
  <si>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</si>
  <si>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</si>
  <si>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</si>
  <si>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</si>
  <si>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</si>
  <si>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</si>
  <si>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</si>
  <si>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</si>
  <si>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</si>
  <si>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</si>
  <si>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</si>
  <si>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</si>
  <si>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</si>
  <si>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</si>
  <si>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</si>
  <si>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</si>
  <si>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</si>
  <si>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</si>
  <si>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</si>
  <si>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</si>
  <si>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</si>
  <si>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</si>
  <si>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</si>
  <si>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</si>
  <si>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</si>
  <si>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</si>
  <si>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</si>
  <si>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</si>
  <si>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</si>
  <si>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</si>
  <si>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</si>
  <si>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</si>
  <si>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</si>
  <si>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</si>
  <si>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</si>
  <si>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</si>
  <si>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</si>
  <si>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</si>
  <si>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</si>
  <si>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</si>
  <si>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</si>
  <si>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</si>
  <si>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</si>
  <si>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</si>
  <si>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</si>
  <si>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</si>
  <si>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</si>
  <si>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</si>
  <si>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</si>
  <si>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</si>
  <si>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</si>
  <si>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</si>
  <si>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</si>
  <si>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</si>
  <si>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</si>
  <si>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</si>
  <si>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</si>
  <si>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</si>
  <si>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</si>
  <si>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</si>
  <si>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</si>
  <si>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</si>
  <si>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</si>
  <si>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</si>
  <si>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</si>
  <si>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</si>
  <si>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</si>
  <si>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</si>
  <si>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</si>
  <si>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</si>
  <si>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</si>
  <si>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</si>
  <si>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</si>
  <si>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</si>
  <si>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</si>
  <si>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</si>
  <si>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</si>
  <si>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</si>
  <si>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</si>
  <si>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</si>
  <si>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</si>
  <si>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</si>
  <si>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</si>
  <si>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</si>
  <si>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</si>
  <si>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</si>
  <si>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</si>
  <si>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</si>
  <si>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</si>
  <si>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</si>
  <si>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</si>
  <si>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</si>
  <si>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</si>
  <si>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</si>
  <si>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</si>
  <si>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</si>
  <si>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</si>
  <si>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</si>
  <si>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</si>
  <si>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</si>
  <si>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</si>
  <si>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</si>
  <si>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</si>
  <si>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</si>
  <si>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</si>
  <si>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</si>
  <si>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</si>
  <si>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</si>
  <si>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</si>
  <si>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</si>
  <si>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</si>
  <si>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</si>
  <si>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</si>
  <si>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</si>
  <si>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</si>
  <si>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</si>
  <si>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</si>
  <si>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</si>
  <si>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</si>
  <si>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</si>
  <si>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</si>
  <si>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</si>
  <si>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</si>
  <si>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</si>
  <si>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</si>
  <si>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</si>
  <si>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</si>
  <si>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</si>
  <si>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</si>
  <si>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</si>
  <si>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</si>
  <si>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</si>
  <si>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</si>
  <si>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</si>
  <si>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</si>
  <si>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</si>
  <si>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</si>
  <si>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</si>
  <si>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</si>
  <si>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</si>
  <si>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</si>
  <si>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</si>
  <si>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</si>
  <si>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</si>
  <si>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</si>
  <si>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</si>
  <si>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</si>
  <si>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</si>
  <si>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</si>
  <si>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</si>
  <si>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</si>
  <si>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</si>
  <si>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</si>
  <si>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</si>
  <si>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</si>
  <si>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</si>
  <si>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</si>
  <si>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</si>
  <si>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</si>
  <si>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</si>
  <si>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</si>
  <si>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</si>
  <si>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</si>
  <si>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</si>
  <si>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</si>
  <si>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</si>
  <si>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</si>
  <si>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</si>
  <si>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</si>
  <si>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</si>
  <si>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</si>
  <si>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</si>
  <si>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</si>
  <si>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</si>
  <si>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</si>
  <si>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</si>
  <si>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</si>
  <si>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</si>
  <si>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</si>
  <si>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</si>
  <si>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</si>
  <si>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</si>
  <si>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</si>
  <si>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</si>
  <si>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</si>
  <si>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</si>
  <si>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</si>
  <si>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</si>
  <si>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</si>
  <si>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</si>
  <si>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</si>
  <si>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</si>
  <si>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</si>
  <si>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</si>
  <si>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</si>
  <si>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</si>
  <si>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</si>
  <si>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</si>
  <si>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</si>
  <si>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</si>
  <si>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</si>
  <si>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</si>
  <si>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</si>
  <si>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</si>
  <si>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</si>
  <si>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</si>
  <si>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</si>
  <si>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</si>
  <si>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</si>
  <si>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</si>
  <si>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</si>
  <si>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</si>
  <si>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</si>
  <si>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</si>
  <si>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</si>
  <si>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</si>
  <si>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</si>
  <si>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</si>
  <si>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</si>
  <si>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</si>
  <si>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</si>
  <si>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</si>
  <si>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</si>
  <si>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</si>
  <si>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</si>
  <si>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</si>
  <si>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</si>
  <si>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</si>
  <si>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</si>
  <si>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</si>
  <si>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</si>
  <si>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</si>
  <si>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</si>
  <si>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</si>
  <si>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</si>
  <si>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</si>
  <si>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</si>
  <si>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</si>
  <si>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</si>
  <si>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</si>
  <si>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</si>
  <si>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</si>
  <si>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</si>
  <si>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</si>
  <si>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</si>
  <si>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</si>
  <si>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</si>
  <si>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</si>
  <si>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</si>
  <si>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</si>
  <si>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</si>
  <si>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</si>
  <si>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</si>
  <si>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</si>
  <si>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</si>
  <si>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</si>
  <si>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</si>
  <si>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</si>
  <si>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</si>
  <si>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</si>
  <si>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</si>
  <si>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</si>
  <si>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</si>
  <si>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</si>
  <si>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</si>
  <si>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</si>
  <si>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</si>
  <si>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</si>
  <si>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</si>
  <si>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</si>
  <si>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</si>
  <si>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</si>
  <si>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</si>
  <si>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</si>
  <si>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</si>
  <si>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</si>
  <si>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</si>
  <si>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</si>
  <si>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</si>
  <si>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</si>
  <si>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</si>
  <si>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</si>
  <si>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</si>
  <si>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</si>
  <si>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</si>
  <si>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</si>
  <si>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</si>
  <si>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</si>
  <si>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</si>
  <si>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</si>
  <si>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</si>
  <si>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</si>
  <si>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</si>
  <si>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</si>
  <si>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</si>
  <si>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</si>
  <si>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</si>
  <si>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</si>
  <si>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</si>
  <si>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</si>
  <si>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</si>
  <si>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</si>
  <si>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</si>
  <si>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</si>
  <si>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</si>
  <si>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</si>
  <si>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</si>
  <si>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</si>
  <si>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</si>
  <si>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</si>
  <si>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</si>
  <si>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</si>
  <si>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</si>
  <si>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</si>
  <si>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</si>
  <si>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</si>
  <si>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</si>
  <si>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</si>
  <si>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</si>
  <si>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</si>
  <si>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</si>
  <si>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</si>
  <si>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</si>
  <si>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</si>
  <si>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</si>
  <si>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</si>
  <si>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</si>
  <si>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</si>
  <si>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</si>
  <si>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</si>
  <si>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</si>
  <si>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</si>
  <si>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</si>
  <si>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</si>
  <si>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</si>
  <si>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</si>
  <si>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</si>
  <si>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</si>
  <si>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</si>
  <si>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</si>
  <si>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</si>
  <si>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</si>
  <si>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</si>
  <si>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</si>
  <si>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</si>
  <si>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</si>
  <si>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</si>
  <si>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</si>
  <si>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</si>
  <si>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</si>
  <si>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</si>
  <si>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</si>
  <si>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</si>
  <si>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</si>
  <si>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</si>
  <si>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</si>
  <si>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</si>
  <si>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</si>
  <si>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</si>
  <si>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</si>
  <si>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</si>
  <si>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</si>
  <si>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</si>
  <si>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</si>
  <si>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</si>
  <si>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</si>
  <si>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</si>
  <si>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</si>
  <si>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</si>
  <si>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</si>
  <si>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</si>
  <si>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</si>
  <si>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</si>
  <si>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</si>
  <si>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</si>
  <si>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</si>
  <si>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</si>
  <si>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</si>
  <si>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</si>
  <si>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</si>
  <si>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</si>
  <si>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</si>
  <si>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</si>
  <si>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</si>
  <si>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</si>
  <si>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</si>
  <si>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</si>
  <si>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</si>
  <si>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</si>
  <si>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</si>
  <si>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</si>
  <si>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</si>
  <si>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</si>
  <si>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</si>
  <si>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</si>
  <si>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</si>
  <si>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</si>
  <si>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</si>
  <si>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</si>
  <si>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</si>
  <si>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</si>
  <si>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</si>
  <si>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</si>
  <si>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</si>
  <si>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</si>
  <si>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</si>
  <si>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</si>
  <si>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</si>
  <si>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</si>
  <si>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</si>
  <si>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</si>
  <si>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</si>
  <si>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</si>
  <si>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</si>
  <si>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</si>
  <si>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梁津</t>
  </si>
  <si>
    <t>王鹏</t>
  </si>
  <si>
    <t>汕头蓝水星乐园有限公司</t>
    <phoneticPr fontId="6" type="noConversion"/>
  </si>
  <si>
    <t>中诚信托有限责任公司</t>
    <phoneticPr fontId="6" type="noConversion"/>
  </si>
  <si>
    <t>核定资产</t>
  </si>
  <si>
    <t>市场价格</t>
  </si>
  <si>
    <t>其他：</t>
  </si>
  <si>
    <t>广东省汕头市</t>
    <phoneticPr fontId="6" type="noConversion"/>
  </si>
  <si>
    <t>企业</t>
  </si>
  <si>
    <t>商业、游乐（兼容酒店）和住宅</t>
    <phoneticPr fontId="6" type="noConversion"/>
  </si>
  <si>
    <t>商业</t>
  </si>
  <si>
    <t>出让</t>
  </si>
  <si>
    <t>一致</t>
  </si>
  <si>
    <t>符合</t>
  </si>
  <si>
    <t>否</t>
  </si>
  <si>
    <t>《国有土地使用证》</t>
  </si>
  <si>
    <t>商业项目</t>
  </si>
  <si>
    <t>无</t>
  </si>
  <si>
    <t>场地平整</t>
  </si>
  <si>
    <t>平整</t>
  </si>
  <si>
    <t>通路</t>
  </si>
  <si>
    <t>通电</t>
  </si>
  <si>
    <t>通讯</t>
  </si>
  <si>
    <t>通上水</t>
  </si>
  <si>
    <t>通下水</t>
  </si>
  <si>
    <t>燃气</t>
  </si>
  <si>
    <t>地上</t>
  </si>
  <si>
    <t>独立商业</t>
  </si>
  <si>
    <t>不动产收益法</t>
  </si>
  <si>
    <t>临海情况</t>
    <phoneticPr fontId="26" type="noConversion"/>
  </si>
  <si>
    <t>楼面地价</t>
  </si>
  <si>
    <t>住宅、商业35.56年</t>
    <phoneticPr fontId="6" type="noConversion"/>
  </si>
  <si>
    <t>正常</t>
  </si>
  <si>
    <t>住宅、商业</t>
  </si>
  <si>
    <t>住宅、商业</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</si>
  <si>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</si>
  <si>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</si>
  <si>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</si>
  <si>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</si>
  <si>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</si>
  <si>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</si>
  <si>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</si>
  <si>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</si>
  <si>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</si>
  <si>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</si>
  <si>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</si>
  <si>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</si>
  <si>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</si>
  <si>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</si>
  <si>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</si>
  <si>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</si>
  <si>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</si>
  <si>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</si>
  <si>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</si>
  <si>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</si>
  <si>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</si>
  <si>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一线临海</t>
    <phoneticPr fontId="26" type="noConversion"/>
  </si>
  <si>
    <t>临近</t>
    <phoneticPr fontId="26" type="noConversion"/>
  </si>
  <si>
    <t>较远</t>
    <phoneticPr fontId="26" type="noConversion"/>
  </si>
  <si>
    <t>远</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</si>
  <si>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</si>
  <si>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汕头监测指标情况一览表</t>
  </si>
  <si>
    <t>时间</t>
  </si>
  <si>
    <t>水平值</t>
  </si>
  <si>
    <t>环比增长率</t>
  </si>
  <si>
    <t>指数</t>
  </si>
  <si>
    <t>东海岸新城新津片区E组团</t>
    <phoneticPr fontId="3" type="noConversion"/>
  </si>
  <si>
    <t>汕头市东海岸新城</t>
    <phoneticPr fontId="3" type="noConversion"/>
  </si>
  <si>
    <t>临近</t>
    <phoneticPr fontId="26" type="noConversion"/>
  </si>
  <si>
    <t>汕头市东海岸新城新津片区A组团A01-08</t>
    <phoneticPr fontId="3" type="noConversion"/>
  </si>
  <si>
    <t>土地（套用方法）</t>
  </si>
  <si>
    <t>钢混</t>
  </si>
  <si>
    <t>按租金收入计税</t>
  </si>
  <si>
    <t>项目全部</t>
  </si>
  <si>
    <t>土地</t>
  </si>
  <si>
    <t>比较法-住宅、综合</t>
  </si>
  <si>
    <t>剩余法-待开发</t>
  </si>
  <si>
    <t>双面临街</t>
  </si>
  <si>
    <t>9号地</t>
    <phoneticPr fontId="3" type="noConversion"/>
  </si>
  <si>
    <t>龙湖区海湾公园片区（335-00-02-112）</t>
    <phoneticPr fontId="6" type="noConversion"/>
  </si>
  <si>
    <t>9号商业用地</t>
  </si>
  <si>
    <t>9号商业用地</t>
    <phoneticPr fontId="7" type="noConversion"/>
  </si>
  <si>
    <t>《国有土地使用证》[汕国用（2013）第10700254号]</t>
  </si>
  <si>
    <t>《国有土地使用证》[汕国用（2013）第10700254号]</t>
    <phoneticPr fontId="6" type="noConversion"/>
  </si>
  <si>
    <t>《建设用地规划许可证》[[2013]汕规地字第020号]</t>
    <phoneticPr fontId="3" type="noConversion"/>
  </si>
  <si>
    <t>押一</t>
  </si>
  <si>
    <t>不规则</t>
  </si>
  <si>
    <t>非个人房产</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</si>
</sst>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84" fillId="19" borderId="1" xfId="0" applyNumberFormat="1" applyFont="1" applyFill="1" applyBorder="1" applyAlignment="1" applyProtection="1">
      <alignment horizontal="center" vertical="center" wrapText="1"/>
      <protection locked="0"/>
    </xf>
    <xf numFmtId="0" fontId="84" fillId="19" borderId="50" xfId="0" applyNumberFormat="1" applyFont="1" applyFill="1" applyBorder="1" applyAlignment="1" applyProtection="1">
      <alignment horizontal="center" vertical="center" wrapText="1"/>
      <protection locked="0"/>
    </xf>
    <xf numFmtId="0" fontId="84" fillId="19" borderId="20" xfId="0" applyNumberFormat="1"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184" fontId="76" fillId="19" borderId="2" xfId="0" applyNumberFormat="1" applyFont="1" applyFill="1" applyBorder="1" applyAlignment="1" applyProtection="1">
      <alignment horizontal="center" vertical="center"/>
      <protection locked="0"/>
    </xf>
    <xf numFmtId="181" fontId="71" fillId="19" borderId="12" xfId="0" applyNumberFormat="1" applyFont="1" applyFill="1" applyBorder="1" applyAlignment="1" applyProtection="1">
      <alignment vertical="center"/>
      <protection locked="0"/>
    </xf>
    <xf numFmtId="176" fontId="11" fillId="19" borderId="2" xfId="0" applyNumberFormat="1" applyFont="1" applyFill="1" applyBorder="1" applyAlignment="1" applyProtection="1">
      <alignment vertical="center" wrapText="1"/>
      <protection locked="0"/>
    </xf>
    <xf numFmtId="181" fontId="152" fillId="19" borderId="2" xfId="0"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9" borderId="10"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0" xfId="0" applyFont="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2655</v>
      </c>
      <c r="B1" s="2916" t="s">
        <v>2752</v>
      </c>
    </row>
    <row r="2" spans="1:55" s="2920" customFormat="1" ht="15" thickTop="1">
      <c r="A2" s="2918" t="s">
        <v>2659</v>
      </c>
      <c r="B2" s="2919" t="str">
        <f>'预评函-封皮'!B37</f>
        <v>广东省汕头市龙湖区海湾公园片区（335-00-02-112）出让国有建设用地使用权市场价格预评估</v>
      </c>
      <c r="AX2" s="2921"/>
      <c r="AZ2" s="2921"/>
      <c r="BA2" s="2922"/>
      <c r="BC2" s="2922"/>
    </row>
    <row r="3" spans="1:55" s="2923" customFormat="1">
      <c r="A3" s="2902" t="s">
        <v>2660</v>
      </c>
      <c r="B3" s="2905" t="str">
        <f>'预评函-封皮'!B40</f>
        <v>汕头蓝水星乐园有限公司</v>
      </c>
    </row>
    <row r="4" spans="1:55" s="2904" customFormat="1">
      <c r="A4" s="2902" t="s">
        <v>2661</v>
      </c>
      <c r="B4" s="2903" t="str">
        <f>'预评函-封皮'!B46</f>
        <v>梁津、王鹏</v>
      </c>
      <c r="N4" s="2904" t="str">
        <f>'预评函-1'!A28</f>
        <v>——</v>
      </c>
    </row>
    <row r="5" spans="1:55" s="2917" customFormat="1" ht="15" thickBot="1">
      <c r="A5" s="2924" t="s">
        <v>2662</v>
      </c>
      <c r="B5" s="2925" t="str">
        <f>'预评函-封皮'!B49</f>
        <v>康正预评字号</v>
      </c>
    </row>
    <row r="6" spans="1:55" s="2926" customFormat="1" ht="15" thickTop="1">
      <c r="A6" s="2918" t="s">
        <v>2704</v>
      </c>
      <c r="B6" s="2919" t="str">
        <f>'预评函-1'!A4</f>
        <v>受贵公司委托，我公司对广东省汕头市龙湖区海湾公园片区（335-00-02-112）出让国有建设用地使用权市场价格进行了预评估。</v>
      </c>
      <c r="AM6" s="2927"/>
    </row>
    <row r="7" spans="1:55" s="2901" customFormat="1">
      <c r="A7" s="2902" t="s">
        <v>2656</v>
      </c>
      <c r="B7" s="2903" t="str">
        <f>'预评函-1'!A6</f>
        <v>估价对象为使用的、位于广东省汕头市龙湖区海湾公园片区（335-00-02-112）出让国有建设用地使用权。根据《国有土地使用证》[汕国用（2013）第10700254号]，估价对象（分摊）出让国有建设用地使用权面积为7876.6平方米。根据《建设用地规划许可证》[[2013]汕规地字第020号]，估价对象规划建筑面积为59074.5平方米。</v>
      </c>
    </row>
    <row r="8" spans="1:55" s="2901" customFormat="1">
      <c r="A8" s="2902" t="s">
        <v>2657</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2707</v>
      </c>
      <c r="B9" s="2903" t="str">
        <f>'预评函-1'!A9</f>
        <v>本次评估为委托估价方了解标的物之市场价格提供参考依据而评估出让国有建设用地使用权市场价格。</v>
      </c>
    </row>
    <row r="10" spans="1:55" s="2901" customFormat="1">
      <c r="A10" s="2902" t="s">
        <v>2658</v>
      </c>
      <c r="B10" s="2903" t="str">
        <f>'预评函-1'!A11</f>
        <v>2018年5月24日（评估专业人员勘察现场之日）</v>
      </c>
    </row>
    <row r="11" spans="1:55" s="2901" customFormat="1">
      <c r="A11" s="2902" t="s">
        <v>2664</v>
      </c>
      <c r="B11" s="2903" t="str">
        <f>'预评函-1'!A14</f>
        <v>根据《国有土地使用证》[汕国用（2013）第10700254号]，本次评估估价对象证载（地类）用途为商业、游乐（兼容酒店）和住宅。</v>
      </c>
    </row>
    <row r="12" spans="1:55" s="2901" customFormat="1">
      <c r="A12" s="2902" t="s">
        <v>2665</v>
      </c>
      <c r="B12" s="2903" t="str">
        <f>'预评函-1'!A15</f>
        <v>本次评估设定用途即为证载用途商业、游乐（兼容酒店）和住宅。</v>
      </c>
    </row>
    <row r="13" spans="1:55" s="2901" customFormat="1">
      <c r="A13" s="2902" t="s">
        <v>2666</v>
      </c>
      <c r="B13" s="2903" t="str">
        <f>'预评函-1'!A17</f>
        <v>根据委托估价方介绍及评估专业人员现场勘查，本次评估估价对象实际土地开发程度为红线外市政基础设施达“七通”（即通路、通电、通讯、通上水、通下水、燃气、）、宗地红线内场地平整。</v>
      </c>
    </row>
    <row r="14" spans="1:55" s="2901" customFormat="1">
      <c r="A14" s="2902" t="s">
        <v>2667</v>
      </c>
      <c r="B14" s="2903" t="str">
        <f>'预评函-1'!A18</f>
        <v>本次评估设定土地开发程度为红线外市政基础设施达“七通”、宗地红线内场地平整。</v>
      </c>
    </row>
    <row r="15" spans="1:55" s="2901" customFormat="1">
      <c r="A15" s="2902" t="s">
        <v>2663</v>
      </c>
      <c r="B15" s="2903" t="str">
        <f>'预评函-1'!A20</f>
        <v>根据《国有土地使用证》[汕国用（2013）第10700254号]，估价对象（分摊）出让国有建设用地使用权面积为7876.6平方米。根据《建设用地规划许可证》[[2013]汕规地字第020号]，估价对象规划建筑面积为59074.5平方米。</v>
      </c>
    </row>
    <row r="16" spans="1:55" s="2901" customFormat="1">
      <c r="A16" s="2902" t="s">
        <v>2668</v>
      </c>
      <c r="B16" s="2903" t="str">
        <f>'预评函-1'!A22</f>
        <v>本次估价对象为出让国有建设用地使用权，《国有土地使用证》[汕国用（2013）第10700254号]证载土地终止日期为商业2053年11月30日。截至估价期日，出让国有建设用地使用权剩余土地使用年限为住宅、商业35.56年。</v>
      </c>
    </row>
    <row r="17" spans="1:48" s="2901" customFormat="1">
      <c r="A17" s="2902" t="s">
        <v>2669</v>
      </c>
      <c r="B17" s="2903" t="str">
        <f>'预评函-1'!A23</f>
        <v>本次评估设定估价对象剩余土地使用年限为住宅、商业35.56年。</v>
      </c>
    </row>
    <row r="18" spans="1:48" s="2901" customFormat="1">
      <c r="A18" s="2902" t="s">
        <v>2670</v>
      </c>
      <c r="B18" s="2903"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row>
    <row r="19" spans="1:48" s="2901" customFormat="1">
      <c r="A19" s="2902" t="s">
        <v>2671</v>
      </c>
      <c r="B19" s="2903" t="str">
        <f>'预评函-1'!A26</f>
        <v>——</v>
      </c>
    </row>
    <row r="20" spans="1:48" s="2901" customFormat="1">
      <c r="A20" s="2902" t="s">
        <v>2672</v>
      </c>
      <c r="B20" s="2903" t="str">
        <f>'预评函-1'!A27</f>
        <v>——</v>
      </c>
    </row>
    <row r="21" spans="1:48" s="2917" customFormat="1" ht="15" thickBot="1">
      <c r="A21" s="2924" t="s">
        <v>2673</v>
      </c>
      <c r="B21" s="2925" t="str">
        <f>'预评函-1'!A28</f>
        <v>——</v>
      </c>
    </row>
    <row r="22" spans="1:48" ht="15" thickTop="1">
      <c r="A22" s="2913" t="s">
        <v>2674</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2675</v>
      </c>
      <c r="B23" s="2903" t="str">
        <f>'预评函-2'!K2</f>
        <v>估价期日：2018年5月24日</v>
      </c>
    </row>
    <row r="24" spans="1:48">
      <c r="A24" s="2902" t="s">
        <v>2676</v>
      </c>
      <c r="B24" s="2903" t="str">
        <f>'预评函-2'!R2</f>
        <v>估价期日的国有建设用地使用权性质：出让</v>
      </c>
    </row>
    <row r="25" spans="1:48">
      <c r="A25" s="2902" t="s">
        <v>2732</v>
      </c>
      <c r="B25" s="2903" t="str">
        <f>'预评函-2'!A3</f>
        <v>估价期日土地使用者</v>
      </c>
    </row>
    <row r="26" spans="1:48">
      <c r="A26" s="2902" t="s">
        <v>2708</v>
      </c>
      <c r="B26" s="2903" t="str">
        <f>'预评函-2'!A5</f>
        <v>中信开发</v>
      </c>
    </row>
    <row r="27" spans="1:48">
      <c r="A27" s="2902" t="s">
        <v>2733</v>
      </c>
      <c r="B27" s="2903" t="str">
        <f>'预评函-2'!B3</f>
        <v>宗地编号/不动产单元号</v>
      </c>
    </row>
    <row r="28" spans="1:48">
      <c r="A28" s="2902" t="s">
        <v>2709</v>
      </c>
      <c r="B28" s="2903" t="str">
        <f>'预评函-2'!B5</f>
        <v>11111111111</v>
      </c>
    </row>
    <row r="29" spans="1:48">
      <c r="A29" s="2902" t="s">
        <v>2735</v>
      </c>
      <c r="B29" s="2903">
        <f>'预评函-2'!C5</f>
        <v>22</v>
      </c>
    </row>
    <row r="30" spans="1:48">
      <c r="A30" s="2902" t="s">
        <v>2736</v>
      </c>
      <c r="B30" s="2903" t="str">
        <f>'预评函-2'!D3</f>
        <v>土地使用证编号/不动产权证书编号</v>
      </c>
    </row>
    <row r="31" spans="1:48">
      <c r="A31" s="2902" t="s">
        <v>2710</v>
      </c>
      <c r="B31" s="2903" t="str">
        <f>'预评函-2'!D5</f>
        <v>京国土字第111号</v>
      </c>
    </row>
    <row r="32" spans="1:48">
      <c r="A32" s="2902" t="s">
        <v>2711</v>
      </c>
      <c r="B32" s="2903" t="str">
        <f>'预评函-2'!E5</f>
        <v>商业、游乐（兼容酒店）和住宅</v>
      </c>
      <c r="AV32" s="2907"/>
    </row>
    <row r="33" spans="1:2">
      <c r="A33" s="2902" t="s">
        <v>2712</v>
      </c>
      <c r="B33" s="2903">
        <f>'预评函-2'!F5</f>
        <v>258</v>
      </c>
    </row>
    <row r="34" spans="1:2">
      <c r="A34" s="2902" t="s">
        <v>2713</v>
      </c>
      <c r="B34" s="2903" t="str">
        <f>'预评函-2'!G5</f>
        <v>商业、游乐（兼容酒店）和住宅</v>
      </c>
    </row>
    <row r="35" spans="1:2">
      <c r="A35" s="2902" t="s">
        <v>2714</v>
      </c>
      <c r="B35" s="2903">
        <f>'预评函-2'!H5</f>
        <v>1.5</v>
      </c>
    </row>
    <row r="36" spans="1:2">
      <c r="A36" s="2902" t="s">
        <v>2715</v>
      </c>
      <c r="B36" s="2903">
        <f>'预评函-2'!I5</f>
        <v>1.5</v>
      </c>
    </row>
    <row r="37" spans="1:2">
      <c r="A37" s="2902" t="s">
        <v>2716</v>
      </c>
      <c r="B37" s="2903">
        <f>'预评函-2'!J5</f>
        <v>1.5</v>
      </c>
    </row>
    <row r="38" spans="1:2">
      <c r="A38" s="2902" t="s">
        <v>2717</v>
      </c>
      <c r="B38" s="2903" t="str">
        <f>'预评函-2'!K5</f>
        <v>红线外七通、宗地红线内场地平整</v>
      </c>
    </row>
    <row r="39" spans="1:2">
      <c r="A39" s="2902" t="s">
        <v>2718</v>
      </c>
      <c r="B39" s="2903" t="str">
        <f>'预评函-2'!L5</f>
        <v>红线外七通、宗地红线内场地平整</v>
      </c>
    </row>
    <row r="40" spans="1:2">
      <c r="A40" s="2902" t="s">
        <v>2737</v>
      </c>
      <c r="B40" s="2903" t="str">
        <f>'预评函-2'!M3</f>
        <v>（剩余）土地使用年限/年</v>
      </c>
    </row>
    <row r="41" spans="1:2">
      <c r="A41" s="2902" t="s">
        <v>2719</v>
      </c>
      <c r="B41" s="2903" t="str">
        <f>'预评函-2'!M5</f>
        <v>住宅、商业35.56年</v>
      </c>
    </row>
    <row r="42" spans="1:2">
      <c r="A42" s="2902" t="s">
        <v>2738</v>
      </c>
      <c r="B42" s="2903" t="str">
        <f>'预评函-2'!N3</f>
        <v>（分摊）出让国有建设用地使用权面积/㎡</v>
      </c>
    </row>
    <row r="43" spans="1:2">
      <c r="A43" s="2902" t="s">
        <v>2720</v>
      </c>
      <c r="B43" s="2903">
        <f>'预评函-2'!N5</f>
        <v>7876.6</v>
      </c>
    </row>
    <row r="44" spans="1:2">
      <c r="A44" s="2902" t="s">
        <v>2739</v>
      </c>
      <c r="B44" s="2903" t="str">
        <f>'预评函-2'!O3</f>
        <v>规划建筑面积/㎡</v>
      </c>
    </row>
    <row r="45" spans="1:2">
      <c r="A45" s="2902" t="s">
        <v>2721</v>
      </c>
      <c r="B45" s="2903">
        <f>'预评函-2'!O5</f>
        <v>59074.5</v>
      </c>
    </row>
    <row r="46" spans="1:2">
      <c r="A46" s="2902" t="s">
        <v>2722</v>
      </c>
      <c r="B46" s="2903">
        <f ca="1">'预评函-2'!P5</f>
        <v>64160</v>
      </c>
    </row>
    <row r="47" spans="1:2">
      <c r="A47" s="2902" t="s">
        <v>2723</v>
      </c>
      <c r="B47" s="2903">
        <f ca="1">'预评函-2'!Q5</f>
        <v>8555</v>
      </c>
    </row>
    <row r="48" spans="1:2">
      <c r="A48" s="2902" t="s">
        <v>2724</v>
      </c>
      <c r="B48" s="2903">
        <f ca="1">'预评函-2'!R5</f>
        <v>50536</v>
      </c>
    </row>
    <row r="49" spans="1:2">
      <c r="A49" s="2902" t="s">
        <v>2740</v>
      </c>
      <c r="B49" s="2903" t="str">
        <f>'预评函-2'!A6</f>
        <v>——</v>
      </c>
    </row>
    <row r="50" spans="1:2">
      <c r="A50" s="2902" t="s">
        <v>2725</v>
      </c>
      <c r="B50" s="2903" t="str">
        <f>'预评函-2'!R6</f>
        <v>——</v>
      </c>
    </row>
    <row r="51" spans="1:2">
      <c r="A51" s="2902" t="s">
        <v>2741</v>
      </c>
      <c r="B51" s="2903" t="str">
        <f>'预评函-2'!A7</f>
        <v>——</v>
      </c>
    </row>
    <row r="52" spans="1:2">
      <c r="A52" s="2902" t="s">
        <v>2726</v>
      </c>
      <c r="B52" s="2903" t="str">
        <f>'预评函-2'!R7</f>
        <v>——</v>
      </c>
    </row>
    <row r="53" spans="1:2">
      <c r="A53" s="2902" t="s">
        <v>2742</v>
      </c>
      <c r="B53" s="2903" t="str">
        <f>'预评函-2'!A8</f>
        <v>——</v>
      </c>
    </row>
    <row r="54" spans="1:2" s="2917" customFormat="1" ht="15" thickBot="1">
      <c r="A54" s="2924" t="s">
        <v>2727</v>
      </c>
      <c r="B54" s="2925" t="str">
        <f>'预评函-2'!R8</f>
        <v>——</v>
      </c>
    </row>
    <row r="55" spans="1:2" ht="15" thickTop="1">
      <c r="A55" s="2913" t="s">
        <v>2677</v>
      </c>
      <c r="B55" s="2914" t="str">
        <f>'预评函-3'!A2</f>
        <v>1.权利限制：根据估价对象《国有土地使用证》复印件，截至估价期日，估价对象已设定抵押。未设定租赁等其他他项权利。</v>
      </c>
    </row>
    <row r="56" spans="1:2">
      <c r="A56" s="2902" t="s">
        <v>2678</v>
      </c>
      <c r="B56" s="2903" t="str">
        <f>'预评函-3'!A3</f>
        <v>2.基础设施条件：估价对象实际开发程度为红线外七通、宗地红线内场地平整；本次评估设定开发程度为红线外七通、宗地红线内场地平整。</v>
      </c>
    </row>
    <row r="57" spans="1:2">
      <c r="A57" s="2902" t="s">
        <v>2679</v>
      </c>
      <c r="B57" s="2903" t="str">
        <f>'预评函-3'!A4</f>
        <v>3.估价规划限制条件：详见《建设用地规划许可证》[[2013]汕规地字第020号]。</v>
      </c>
    </row>
    <row r="58" spans="1:2" s="2917" customFormat="1" ht="15" thickBot="1">
      <c r="A58" s="2924" t="s">
        <v>2728</v>
      </c>
      <c r="B58" s="2925" t="str">
        <f>'预评函-3'!A5</f>
        <v>4.影响价格的其他限定条件：无。</v>
      </c>
    </row>
    <row r="59" spans="1:2" ht="15" thickTop="1">
      <c r="A59" s="2913" t="s">
        <v>2680</v>
      </c>
      <c r="B59" s="2914" t="str">
        <f>'预评函-3'!A8</f>
        <v>2.本次评估设定估价对象宗地权属无争议，未被查封或者以其他形式限制其房地产权利，未设定抵押权等他项权利，不涉及第三方权利义务。</v>
      </c>
    </row>
    <row r="60" spans="1:2">
      <c r="A60" s="2902" t="s">
        <v>2681</v>
      </c>
      <c r="B60" s="2903" t="str">
        <f>'预评函-3'!A9</f>
        <v>——</v>
      </c>
    </row>
    <row r="61" spans="1:2">
      <c r="A61" s="2902" t="s">
        <v>2683</v>
      </c>
      <c r="B61" s="2903" t="str">
        <f>'预评函-3'!A10</f>
        <v>——</v>
      </c>
    </row>
    <row r="62" spans="1:2">
      <c r="A62" s="2902" t="s">
        <v>2682</v>
      </c>
      <c r="B62" s="2903" t="str">
        <f>'预评函-3'!A11</f>
        <v>——</v>
      </c>
    </row>
    <row r="63" spans="1:2">
      <c r="A63" s="2902" t="s">
        <v>2684</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2685</v>
      </c>
      <c r="B64" s="2908" t="str">
        <f>'预评函-3'!A13</f>
        <v>（3）。</v>
      </c>
    </row>
    <row r="65" spans="1:2">
      <c r="A65" s="2902" t="s">
        <v>2686</v>
      </c>
      <c r="B65" s="2909" t="str">
        <f>'预评函-3'!A14</f>
        <v>——</v>
      </c>
    </row>
    <row r="66" spans="1:2">
      <c r="A66" s="2902" t="s">
        <v>2687</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2688</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2691</v>
      </c>
      <c r="B68" s="2928">
        <f>'预评函-3'!D30</f>
        <v>42558</v>
      </c>
    </row>
    <row r="69" spans="1:2" ht="15" thickTop="1">
      <c r="A69" s="2913" t="s">
        <v>2689</v>
      </c>
      <c r="B69" s="2914" t="str">
        <f>'预评函-3'!A20</f>
        <v>梁津</v>
      </c>
    </row>
    <row r="70" spans="1:2">
      <c r="A70" s="2902" t="s">
        <v>2689</v>
      </c>
      <c r="B70" s="2909">
        <f ca="1">'预评函-3'!B20</f>
        <v>96010014</v>
      </c>
    </row>
    <row r="71" spans="1:2">
      <c r="A71" s="2902" t="s">
        <v>2690</v>
      </c>
      <c r="B71" s="2903" t="str">
        <f>'预评函-3'!A21</f>
        <v>王鹏</v>
      </c>
    </row>
    <row r="72" spans="1:2" s="2917" customFormat="1" ht="15" thickBot="1">
      <c r="A72" s="2924" t="s">
        <v>2690</v>
      </c>
      <c r="B72" s="2930">
        <f ca="1">'预评函-3'!B21</f>
        <v>2002110030</v>
      </c>
    </row>
    <row r="73" spans="1:2" ht="15" thickTop="1">
      <c r="A73" s="2913" t="s">
        <v>2749</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2750</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2751</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2786</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K10" sqref="K1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3" t="str">
        <f>IF(B10="北京市","北京市",C10)&amp;F10&amp;B16&amp;"国有建设用地使用权"&amp;B9&amp;"预评估"</f>
        <v>广东省汕头市龙湖区海湾公园片区（335-00-02-112）出让国有建设用地使用权市场价格预评估</v>
      </c>
      <c r="C1" s="3234"/>
      <c r="D1" s="3234"/>
      <c r="E1" s="3234"/>
      <c r="F1" s="3234"/>
      <c r="G1" s="3234"/>
      <c r="H1" s="3234"/>
      <c r="I1" s="3235"/>
      <c r="J1" s="1694"/>
      <c r="K1" s="2479" t="str">
        <f>IF(B10="北京市","北京市",C10)&amp;F10&amp;B16&amp;"国有建设用地使用权"&amp;B9</f>
        <v>广东省汕头市龙湖区海湾公园片区（335-00-02-112）出让国有建设用地使用权市场价格</v>
      </c>
      <c r="L1" s="1722"/>
      <c r="M1" s="1722"/>
      <c r="N1" s="1694"/>
      <c r="O1" s="1695"/>
      <c r="P1" s="1694"/>
      <c r="Q1" s="1694"/>
      <c r="R1" s="1694"/>
      <c r="S1" s="1694"/>
      <c r="T1" s="1694"/>
      <c r="U1" s="1694"/>
    </row>
    <row r="2" spans="1:21">
      <c r="A2" s="1660" t="s">
        <v>1941</v>
      </c>
      <c r="B2" s="1841"/>
      <c r="D2" s="1694"/>
      <c r="E2" s="1694"/>
      <c r="F2" s="1694"/>
      <c r="G2" s="1694"/>
      <c r="H2" s="1660"/>
      <c r="I2" s="1695"/>
      <c r="J2" s="1694"/>
      <c r="K2" s="2479" t="str">
        <f>IF(B10="北京市","北京市",C10)&amp;F10&amp;B16&amp;"国有建设用地使用权"</f>
        <v>广东省汕头市龙湖区海湾公园片区（335-00-02-112）出让国有建设用地使用权</v>
      </c>
      <c r="L2" s="1722"/>
      <c r="M2" s="1722"/>
      <c r="N2" s="1694"/>
      <c r="O2" s="1695"/>
      <c r="P2" s="1694"/>
      <c r="Q2" s="1694"/>
      <c r="R2" s="1694"/>
      <c r="S2" s="1694"/>
      <c r="T2" s="1694"/>
      <c r="U2" s="1694"/>
    </row>
    <row r="3" spans="1:21">
      <c r="A3" s="1661" t="s">
        <v>1942</v>
      </c>
      <c r="B3" s="1662">
        <v>43244</v>
      </c>
      <c r="C3" s="1663" t="s">
        <v>1996</v>
      </c>
      <c r="D3" s="1662">
        <f>B3</f>
        <v>43244</v>
      </c>
      <c r="E3" s="1694"/>
      <c r="F3" s="1694"/>
      <c r="G3" s="1694"/>
      <c r="H3" s="1660"/>
      <c r="I3" s="1695"/>
      <c r="J3" s="1694"/>
      <c r="K3" s="1773"/>
      <c r="L3" s="1722"/>
      <c r="M3" s="1722"/>
      <c r="N3" s="1694"/>
      <c r="O3" s="1695"/>
      <c r="P3" s="1694"/>
      <c r="Q3" s="1694"/>
      <c r="R3" s="1694"/>
      <c r="S3" s="1694"/>
      <c r="T3" s="1694"/>
      <c r="U3" s="1694"/>
    </row>
    <row r="4" spans="1:21" ht="15" thickBot="1">
      <c r="A4" s="1664" t="s">
        <v>1943</v>
      </c>
      <c r="B4" s="1842" t="s">
        <v>2978</v>
      </c>
      <c r="C4" s="1845">
        <f ca="1">SUMIF(土地估价师,B4,估价师及机构信息!E3:E24)</f>
        <v>96010014</v>
      </c>
      <c r="D4" s="1842" t="s">
        <v>2979</v>
      </c>
      <c r="E4" s="1845">
        <f ca="1">SUMIF(土地估价师,D4,估价师及机构信息!E3:E24)</f>
        <v>2002110030</v>
      </c>
      <c r="F4" s="1842" t="s">
        <v>952</v>
      </c>
      <c r="G4" s="1845">
        <f>SUMIF(土地估价师,F4,估价师及机构信息!E3:E24)</f>
        <v>0</v>
      </c>
      <c r="H4" s="1842" t="s">
        <v>952</v>
      </c>
      <c r="I4" s="1845">
        <f>SUMIF(土地估价师,H4,估价师及机构信息!E3:E24)</f>
        <v>0</v>
      </c>
      <c r="J4" s="1694"/>
      <c r="K4" s="2479" t="str">
        <f>IF(AND(F4="——",H4="——"),B4&amp;"、"&amp;D4,IF(AND(F4&lt;&gt;"——",H4="——"),B4&amp;"、"&amp;D4&amp;"、"&amp;F4,B4&amp;"、"&amp;D4&amp;"、"&amp;F4&amp;"、"&amp;H4))</f>
        <v>梁津、王鹏</v>
      </c>
      <c r="L4" s="1722"/>
      <c r="M4" s="1722"/>
      <c r="N4" s="1694"/>
      <c r="O4" s="1695"/>
      <c r="P4" s="1694"/>
      <c r="Q4" s="1694"/>
      <c r="R4" s="1694"/>
      <c r="S4" s="1694"/>
      <c r="T4" s="1694"/>
      <c r="U4" s="1694"/>
    </row>
    <row r="5" spans="1:21" ht="15" thickTop="1">
      <c r="A5" s="1665" t="s">
        <v>1944</v>
      </c>
      <c r="B5" s="1788" t="s">
        <v>2980</v>
      </c>
      <c r="C5" s="1666"/>
      <c r="D5" s="1667"/>
      <c r="E5" s="1694"/>
      <c r="F5" s="1694"/>
      <c r="G5" s="1694"/>
      <c r="H5" s="1660"/>
      <c r="I5" s="1695"/>
      <c r="J5" s="1694"/>
      <c r="K5" s="1773"/>
      <c r="L5" s="1722"/>
      <c r="M5" s="1722"/>
      <c r="N5" s="1694"/>
      <c r="O5" s="1695"/>
      <c r="P5" s="1694"/>
      <c r="Q5" s="1694"/>
      <c r="R5" s="1694"/>
      <c r="S5" s="1694"/>
      <c r="T5" s="1694"/>
      <c r="U5" s="1694"/>
    </row>
    <row r="6" spans="1:21" ht="26.25">
      <c r="A6" s="1663" t="s">
        <v>2705</v>
      </c>
      <c r="B6" s="1788" t="s">
        <v>2981</v>
      </c>
      <c r="C6" s="1760"/>
      <c r="D6" s="1668"/>
      <c r="E6" s="1694"/>
      <c r="F6" s="1694"/>
      <c r="G6" s="1694"/>
      <c r="H6" s="1660"/>
      <c r="I6" s="1695"/>
      <c r="J6" s="1694"/>
      <c r="K6" s="3080" t="str">
        <f>IF(COUNTIF(B6,"*上海银行*"),"上海银行","")</f>
        <v/>
      </c>
      <c r="L6" s="1722"/>
      <c r="M6" s="1722"/>
      <c r="N6" s="1694"/>
      <c r="O6" s="1695"/>
      <c r="P6" s="1694"/>
      <c r="Q6" s="1694"/>
      <c r="R6" s="1694"/>
      <c r="S6" s="1694"/>
      <c r="T6" s="1694"/>
      <c r="U6" s="1694"/>
    </row>
    <row r="7" spans="1:21">
      <c r="A7" s="1669" t="s">
        <v>2706</v>
      </c>
      <c r="B7" s="1788" t="s">
        <v>2980</v>
      </c>
      <c r="C7" s="1760"/>
      <c r="D7" s="1668"/>
      <c r="E7" s="1694"/>
      <c r="F7" s="1694"/>
      <c r="G7" s="1694"/>
      <c r="H7" s="1660"/>
      <c r="I7" s="1695"/>
      <c r="J7" s="1694"/>
      <c r="K7" s="1773"/>
      <c r="L7" s="1722"/>
      <c r="M7" s="1722"/>
      <c r="N7" s="1694"/>
      <c r="O7" s="1695"/>
      <c r="P7" s="1694"/>
      <c r="Q7" s="1694"/>
      <c r="R7" s="1694"/>
      <c r="S7" s="1694"/>
      <c r="T7" s="1694"/>
      <c r="U7" s="1694"/>
    </row>
    <row r="8" spans="1:21">
      <c r="A8" s="1669" t="s">
        <v>1945</v>
      </c>
      <c r="B8" s="1670" t="s">
        <v>2982</v>
      </c>
      <c r="C8" s="1671"/>
      <c r="D8" s="3239" t="s">
        <v>1947</v>
      </c>
      <c r="E8" s="1843"/>
      <c r="F8" s="1672"/>
      <c r="G8" s="1660"/>
      <c r="H8" s="1660"/>
      <c r="I8" s="1707"/>
      <c r="J8" s="1694"/>
      <c r="K8" s="1773"/>
      <c r="L8" s="1722"/>
      <c r="M8" s="1722"/>
      <c r="N8" s="1694"/>
      <c r="O8" s="1695"/>
      <c r="P8" s="1694"/>
      <c r="Q8" s="1694"/>
      <c r="R8" s="1694"/>
      <c r="S8" s="1694"/>
      <c r="T8" s="1694"/>
      <c r="U8" s="1694"/>
    </row>
    <row r="9" spans="1:21" ht="15" thickBot="1">
      <c r="A9" s="1673" t="s">
        <v>1946</v>
      </c>
      <c r="B9" s="1674" t="s">
        <v>2983</v>
      </c>
      <c r="C9" s="1675"/>
      <c r="D9" s="3240"/>
      <c r="E9" s="1674"/>
      <c r="F9" s="1746"/>
      <c r="G9" s="1741"/>
      <c r="H9" s="1741"/>
      <c r="I9" s="1742"/>
      <c r="J9" s="1694"/>
      <c r="K9" s="1773"/>
      <c r="L9" s="1722"/>
      <c r="M9" s="1722"/>
      <c r="N9" s="1694"/>
      <c r="O9" s="1695"/>
      <c r="P9" s="1694"/>
      <c r="Q9" s="1694"/>
      <c r="R9" s="1694"/>
      <c r="S9" s="1694"/>
      <c r="T9" s="1694"/>
      <c r="U9" s="1694"/>
    </row>
    <row r="10" spans="1:21" ht="15" thickTop="1">
      <c r="A10" s="1743" t="s">
        <v>1999</v>
      </c>
      <c r="B10" s="3182" t="s">
        <v>2984</v>
      </c>
      <c r="C10" s="1676" t="s">
        <v>2985</v>
      </c>
      <c r="D10" s="1667"/>
      <c r="E10" s="1677" t="s">
        <v>1949</v>
      </c>
      <c r="F10" s="1678" t="s">
        <v>3057</v>
      </c>
      <c r="G10" s="1744"/>
      <c r="H10" s="1745"/>
      <c r="I10" s="1667"/>
      <c r="J10" s="1694"/>
      <c r="K10" s="1773"/>
      <c r="L10" s="1722"/>
      <c r="M10" s="1722"/>
      <c r="N10" s="1694"/>
      <c r="O10" s="1695"/>
      <c r="P10" s="1694"/>
      <c r="Q10" s="1694"/>
      <c r="R10" s="1694"/>
      <c r="S10" s="1694"/>
      <c r="T10" s="1694"/>
      <c r="U10" s="1694"/>
    </row>
    <row r="11" spans="1:21">
      <c r="A11" s="1697" t="s">
        <v>2000</v>
      </c>
      <c r="B11" s="1698" t="s">
        <v>2986</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2058</v>
      </c>
      <c r="B12" s="3236" t="s">
        <v>2987</v>
      </c>
      <c r="C12" s="3237"/>
      <c r="D12" s="3238"/>
      <c r="E12" s="1699" t="s">
        <v>2061</v>
      </c>
      <c r="F12" s="3254" t="s">
        <v>3061</v>
      </c>
      <c r="G12" s="3255"/>
      <c r="H12" s="3255"/>
      <c r="I12" s="3256"/>
      <c r="J12" s="1694"/>
      <c r="K12" s="1773"/>
      <c r="L12" s="1722"/>
      <c r="M12" s="1722"/>
      <c r="N12" s="1694"/>
      <c r="O12" s="1695"/>
      <c r="P12" s="1694"/>
      <c r="Q12" s="1694"/>
      <c r="R12" s="1694"/>
      <c r="S12" s="1694"/>
      <c r="T12" s="1694"/>
      <c r="U12" s="1694"/>
    </row>
    <row r="13" spans="1:21">
      <c r="A13" s="1687" t="s">
        <v>2059</v>
      </c>
      <c r="B13" s="3236" t="s">
        <v>2987</v>
      </c>
      <c r="C13" s="3237"/>
      <c r="D13" s="3238"/>
      <c r="E13" s="1699" t="s">
        <v>2061</v>
      </c>
      <c r="F13" s="3254" t="s">
        <v>3061</v>
      </c>
      <c r="G13" s="3255"/>
      <c r="H13" s="3255"/>
      <c r="I13" s="3256"/>
      <c r="J13" s="1694"/>
      <c r="K13" s="1773"/>
      <c r="L13" s="1722"/>
      <c r="M13" s="1722"/>
      <c r="N13" s="1694"/>
      <c r="O13" s="1695"/>
      <c r="P13" s="1694"/>
      <c r="Q13" s="1694"/>
      <c r="R13" s="1694"/>
      <c r="S13" s="1694"/>
      <c r="T13" s="1694"/>
      <c r="U13" s="1694"/>
    </row>
    <row r="14" spans="1:21">
      <c r="A14" s="1661" t="s">
        <v>2062</v>
      </c>
      <c r="B14" s="1699"/>
      <c r="C14" s="1844" t="s">
        <v>2990</v>
      </c>
      <c r="D14" s="1732" t="str">
        <f>IF(C14="不一致","是否符合证载地类范围","")</f>
        <v/>
      </c>
      <c r="E14" s="1699"/>
      <c r="F14" s="1789" t="s">
        <v>2991</v>
      </c>
      <c r="G14" s="1727"/>
      <c r="H14" s="1727"/>
      <c r="I14" s="1836"/>
      <c r="J14" s="1694"/>
      <c r="K14" s="1773"/>
      <c r="L14" s="1722"/>
      <c r="M14" s="1722"/>
      <c r="N14" s="1694"/>
      <c r="O14" s="1695"/>
      <c r="P14" s="1694"/>
      <c r="Q14" s="1694"/>
      <c r="R14" s="1694"/>
      <c r="S14" s="1694"/>
      <c r="T14" s="1694"/>
      <c r="U14" s="1694"/>
    </row>
    <row r="15" spans="1:21" hidden="1">
      <c r="A15" s="2669"/>
      <c r="B15" s="1663"/>
      <c r="C15" s="1663"/>
      <c r="D15" s="1765" t="s">
        <v>1952</v>
      </c>
      <c r="E15" s="1765" t="s">
        <v>1953</v>
      </c>
      <c r="F15" s="1765" t="s">
        <v>1954</v>
      </c>
      <c r="G15" s="1686" t="s">
        <v>1955</v>
      </c>
      <c r="H15" s="1686" t="s">
        <v>1956</v>
      </c>
      <c r="I15" s="1686" t="s">
        <v>1957</v>
      </c>
      <c r="J15" s="1694"/>
      <c r="K15" s="1773"/>
      <c r="L15" s="1722"/>
      <c r="M15" s="1722"/>
      <c r="N15" s="1694"/>
      <c r="O15" s="1695"/>
      <c r="P15" s="1694"/>
      <c r="Q15" s="1694"/>
      <c r="R15" s="1694"/>
      <c r="S15" s="1694"/>
      <c r="T15" s="1694"/>
      <c r="U15" s="1694"/>
    </row>
    <row r="16" spans="1:21" ht="42.75">
      <c r="A16" s="1680" t="s">
        <v>1950</v>
      </c>
      <c r="B16" s="1681" t="s">
        <v>2989</v>
      </c>
      <c r="C16" s="1699" t="s">
        <v>1951</v>
      </c>
      <c r="D16" s="2670" t="s">
        <v>1952</v>
      </c>
      <c r="E16" s="1721" t="s">
        <v>2988</v>
      </c>
      <c r="F16" s="1721"/>
      <c r="G16" s="1721"/>
      <c r="H16" s="1721"/>
      <c r="I16" s="1686" t="s">
        <v>1957</v>
      </c>
      <c r="J16" s="1694"/>
      <c r="K16" s="2480" t="str">
        <f>IF(D17="","",D16&amp;TEXT(D17,"yyyy年m月d日;;"))</f>
        <v/>
      </c>
      <c r="L16" s="1699" t="str">
        <f>IF(OR(K16="",M16=""),"","、")</f>
        <v/>
      </c>
      <c r="M16" s="2480" t="str">
        <f>IF(E17="","",E16&amp;TEXT(E17,"yyyy年m月d日;;"))</f>
        <v>商业2053年11月30日</v>
      </c>
      <c r="N16" s="1699" t="str">
        <f>IF(OR(M16="",O16=""),"","、")</f>
        <v/>
      </c>
      <c r="O16" s="2480" t="str">
        <f>IF(F17="","",F16&amp;TEXT(F17,"yyyy年m月d日;;"))</f>
        <v/>
      </c>
      <c r="P16" s="1699" t="str">
        <f>IF(OR(O16="",Q16=""),"","、")</f>
        <v/>
      </c>
      <c r="Q16" s="2480" t="str">
        <f>IF(G17="","",G16&amp;TEXT(G17,"yyyy年m月d日;;"))</f>
        <v/>
      </c>
      <c r="R16" s="1699" t="str">
        <f>IF(OR(Q16="",S16=""),"","、")</f>
        <v/>
      </c>
      <c r="S16" s="2480" t="str">
        <f>IF(H17="","",H16&amp;TEXT(H17,"yyyy年m月d日;;"))</f>
        <v/>
      </c>
      <c r="T16" s="1699" t="str">
        <f>IF(OR(S16="",U16=""),"","、")</f>
        <v/>
      </c>
      <c r="U16" s="2480" t="str">
        <f>IF(I17="","",I16&amp;TEXT(I17,"yyyy年m月d日;;"))</f>
        <v/>
      </c>
    </row>
    <row r="17" spans="1:21">
      <c r="A17" s="1762"/>
      <c r="B17" s="1682"/>
      <c r="C17" s="1683" t="s">
        <v>1958</v>
      </c>
      <c r="D17" s="1700"/>
      <c r="E17" s="1700">
        <v>56218</v>
      </c>
      <c r="F17" s="1700"/>
      <c r="G17" s="1700"/>
      <c r="H17" s="1700"/>
      <c r="I17" s="1700"/>
      <c r="J17" s="1694"/>
      <c r="K17" s="2479" t="str">
        <f>CONCATENATE(K16,L16,M16,N16,O16,P16,Q16,R16,S16,T16,,U16)</f>
        <v>商业2053年11月30日</v>
      </c>
      <c r="L17" s="1722"/>
      <c r="M17" s="1722"/>
      <c r="N17" s="1694"/>
      <c r="O17" s="1695"/>
      <c r="P17" s="1694"/>
      <c r="Q17" s="1694"/>
      <c r="R17" s="1694"/>
      <c r="S17" s="1694"/>
      <c r="T17" s="1694"/>
      <c r="U17" s="1694"/>
    </row>
    <row r="18" spans="1:21">
      <c r="A18" s="1762"/>
      <c r="B18" s="1682"/>
      <c r="C18" s="1683" t="s">
        <v>1959</v>
      </c>
      <c r="D18" s="1684"/>
      <c r="E18" s="1684">
        <v>50</v>
      </c>
      <c r="F18" s="1684"/>
      <c r="G18" s="1684"/>
      <c r="H18" s="1684"/>
      <c r="I18" s="1684"/>
      <c r="J18" s="1694"/>
      <c r="K18" s="1773"/>
      <c r="L18" s="1722"/>
      <c r="M18" s="1722"/>
      <c r="N18" s="1694"/>
      <c r="O18" s="1695"/>
      <c r="P18" s="1694"/>
      <c r="Q18" s="1694"/>
      <c r="R18" s="1694"/>
      <c r="S18" s="1694"/>
      <c r="T18" s="1694"/>
      <c r="U18" s="1694"/>
    </row>
    <row r="19" spans="1:21">
      <c r="A19" s="1762"/>
      <c r="B19" s="1682"/>
      <c r="C19" s="1660" t="s">
        <v>1960</v>
      </c>
      <c r="D19" s="1757" t="str">
        <f>IF(B16="出让",IF(D17="","",ROUNDDOWN(MIN((D17-$D$3)/365,D18),2)),D18)</f>
        <v/>
      </c>
      <c r="E19" s="1685">
        <f>IF(B16="出让",IF(E17="","",ROUNDDOWN(MIN((E17-$D$3)/365,E18),2)),E18)</f>
        <v>35.54</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2060</v>
      </c>
      <c r="D20" s="3251" t="s">
        <v>3009</v>
      </c>
      <c r="E20" s="3252"/>
      <c r="F20" s="3252"/>
      <c r="G20" s="3252"/>
      <c r="H20" s="3252"/>
      <c r="I20" s="3253"/>
      <c r="J20" s="1694"/>
      <c r="K20" s="1773"/>
      <c r="L20" s="1722"/>
      <c r="M20" s="1722"/>
      <c r="N20" s="1694"/>
      <c r="O20" s="1695"/>
      <c r="P20" s="1694"/>
      <c r="Q20" s="1694"/>
      <c r="R20" s="1694"/>
      <c r="S20" s="1694"/>
      <c r="T20" s="1694"/>
      <c r="U20" s="1694"/>
    </row>
    <row r="21" spans="1:21">
      <c r="A21" s="1762" t="s">
        <v>1961</v>
      </c>
      <c r="B21" s="1763" t="s">
        <v>1962</v>
      </c>
      <c r="C21" s="1758">
        <f>'数据-汇总表'!E3</f>
        <v>59074.5</v>
      </c>
      <c r="D21" s="1759" t="s">
        <v>1963</v>
      </c>
      <c r="E21" s="3241" t="s">
        <v>3062</v>
      </c>
      <c r="F21" s="3242"/>
      <c r="G21" s="3242"/>
      <c r="H21" s="3242"/>
      <c r="I21" s="3243"/>
      <c r="J21" s="1694"/>
      <c r="K21" s="1773"/>
      <c r="L21" s="1722"/>
      <c r="M21" s="1722"/>
      <c r="N21" s="1694"/>
      <c r="O21" s="1695"/>
      <c r="P21" s="1694"/>
      <c r="Q21" s="1694"/>
      <c r="R21" s="1694"/>
      <c r="S21" s="1694"/>
      <c r="T21" s="1694"/>
      <c r="U21" s="1694"/>
    </row>
    <row r="22" spans="1:21">
      <c r="A22" s="3179" t="s">
        <v>952</v>
      </c>
      <c r="B22" s="1661" t="s">
        <v>1964</v>
      </c>
      <c r="C22" s="1686">
        <f>'数据-汇总表'!D3</f>
        <v>7876.6</v>
      </c>
      <c r="D22" s="1687" t="s">
        <v>1963</v>
      </c>
      <c r="E22" s="3241" t="s">
        <v>3060</v>
      </c>
      <c r="F22" s="3242"/>
      <c r="G22" s="3242"/>
      <c r="H22" s="3242"/>
      <c r="I22" s="3243"/>
      <c r="J22" s="1694"/>
      <c r="K22" s="1773"/>
      <c r="L22" s="1722"/>
      <c r="M22" s="1722"/>
      <c r="N22" s="1694"/>
      <c r="O22" s="1695"/>
      <c r="P22" s="1694"/>
      <c r="Q22" s="1694"/>
      <c r="R22" s="1694"/>
      <c r="S22" s="1694"/>
      <c r="T22" s="1694"/>
      <c r="U22" s="1694"/>
    </row>
    <row r="23" spans="1:21" ht="43.5" thickBot="1">
      <c r="A23" s="1764" t="s">
        <v>1965</v>
      </c>
      <c r="B23" s="1701" t="s">
        <v>1966</v>
      </c>
      <c r="C23" s="1702" t="s">
        <v>1679</v>
      </c>
      <c r="D23" s="1703" t="s">
        <v>1967</v>
      </c>
      <c r="E23" s="1704" t="s">
        <v>2992</v>
      </c>
      <c r="F23" s="1705" t="str">
        <f>IF(AND(C23="是",E23="否"),"是否提供他项权证或相关说明","")</f>
        <v>是否提供他项权证或相关说明</v>
      </c>
      <c r="G23" s="1706" t="s">
        <v>2992</v>
      </c>
      <c r="H23" s="1694"/>
      <c r="I23" s="1707"/>
      <c r="J23" s="1694"/>
      <c r="K23" s="1773"/>
      <c r="L23" s="1722"/>
      <c r="M23" s="1722"/>
      <c r="N23" s="1694"/>
      <c r="O23" s="1695"/>
      <c r="P23" s="1694"/>
      <c r="Q23" s="1694"/>
      <c r="R23" s="1694"/>
      <c r="S23" s="1694"/>
      <c r="T23" s="1694"/>
      <c r="U23" s="1694"/>
    </row>
    <row r="24" spans="1:21">
      <c r="A24" s="1749" t="s">
        <v>1968</v>
      </c>
      <c r="B24" s="3244" t="s">
        <v>1969</v>
      </c>
      <c r="C24" s="3245"/>
      <c r="D24" s="3246" t="s">
        <v>1970</v>
      </c>
      <c r="E24" s="3247"/>
      <c r="F24" s="1708" t="s">
        <v>1971</v>
      </c>
      <c r="G24" s="1694"/>
      <c r="H24" s="1694"/>
      <c r="I24" s="1707"/>
      <c r="J24" s="1694"/>
      <c r="K24" s="3232" t="s">
        <v>1972</v>
      </c>
      <c r="L24" s="2481"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2"/>
      <c r="N24" s="1694"/>
      <c r="O24" s="1695"/>
      <c r="P24" s="1694"/>
      <c r="Q24" s="1694"/>
      <c r="R24" s="1694"/>
      <c r="S24" s="1694"/>
      <c r="T24" s="1694"/>
      <c r="U24" s="1694"/>
    </row>
    <row r="25" spans="1:21" ht="28.5">
      <c r="A25" s="1750"/>
      <c r="B25" s="1747" t="s">
        <v>2993</v>
      </c>
      <c r="C25" s="1709" t="s">
        <v>2325</v>
      </c>
      <c r="D25" s="1710"/>
      <c r="E25" s="1711" t="s">
        <v>952</v>
      </c>
      <c r="F25" s="1712"/>
      <c r="G25" s="1694"/>
      <c r="H25" s="1694"/>
      <c r="I25" s="1707"/>
      <c r="J25" s="1694"/>
      <c r="K25" s="323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4"/>
      <c r="O25" s="1695"/>
      <c r="P25" s="1694"/>
      <c r="Q25" s="1694"/>
      <c r="R25" s="1694"/>
      <c r="S25" s="1694"/>
      <c r="T25" s="1694"/>
      <c r="U25" s="1694"/>
    </row>
    <row r="26" spans="1:21" ht="15" thickBot="1">
      <c r="A26" s="1751"/>
      <c r="B26" s="1748" t="s">
        <v>952</v>
      </c>
      <c r="C26" s="1709" t="s">
        <v>952</v>
      </c>
      <c r="D26" s="1660"/>
      <c r="E26" s="1660"/>
      <c r="F26" s="1688"/>
      <c r="G26" s="1694"/>
      <c r="H26" s="1694"/>
      <c r="I26" s="1707"/>
      <c r="J26" s="1694"/>
      <c r="K26" s="323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1973</v>
      </c>
      <c r="B27" s="1752" t="s">
        <v>1974</v>
      </c>
      <c r="C27" s="1713"/>
      <c r="D27" s="2675" t="s">
        <v>1974</v>
      </c>
      <c r="E27" s="1714"/>
      <c r="F27" s="1688"/>
      <c r="G27" s="1694"/>
      <c r="H27" s="1694"/>
      <c r="I27" s="1707"/>
      <c r="J27" s="1694"/>
      <c r="K27" s="1773"/>
      <c r="L27" s="1722"/>
      <c r="M27" s="1722"/>
      <c r="N27" s="1694"/>
      <c r="O27" s="1695"/>
      <c r="P27" s="1694"/>
      <c r="Q27" s="1694"/>
      <c r="R27" s="1694"/>
      <c r="S27" s="1694"/>
      <c r="T27" s="1694"/>
      <c r="U27" s="1694"/>
    </row>
    <row r="28" spans="1:21">
      <c r="A28" s="1755"/>
      <c r="B28" s="1752" t="s">
        <v>1975</v>
      </c>
      <c r="C28" s="1715"/>
      <c r="D28" s="2676" t="s">
        <v>1975</v>
      </c>
      <c r="E28" s="1716"/>
      <c r="F28" s="1688"/>
      <c r="G28" s="1694"/>
      <c r="H28" s="1694"/>
      <c r="I28" s="1707"/>
      <c r="J28" s="1694"/>
      <c r="K28" s="1773"/>
      <c r="L28" s="1722"/>
      <c r="M28" s="1722"/>
      <c r="N28" s="1694"/>
      <c r="O28" s="1695"/>
      <c r="P28" s="1694"/>
      <c r="Q28" s="1694"/>
      <c r="R28" s="1694"/>
      <c r="S28" s="1694"/>
      <c r="T28" s="1694"/>
      <c r="U28" s="1694"/>
    </row>
    <row r="29" spans="1:21">
      <c r="A29" s="1755"/>
      <c r="B29" s="1752" t="s">
        <v>1976</v>
      </c>
      <c r="C29" s="1715"/>
      <c r="D29" s="2676" t="s">
        <v>1976</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1977</v>
      </c>
      <c r="C30" s="1717"/>
      <c r="D30" s="2677" t="s">
        <v>1977</v>
      </c>
      <c r="E30" s="1718"/>
      <c r="F30" s="1689"/>
      <c r="G30" s="1741"/>
      <c r="H30" s="1741"/>
      <c r="I30" s="1742"/>
      <c r="J30" s="1694"/>
      <c r="K30" s="1773"/>
      <c r="L30" s="1722"/>
      <c r="M30" s="1722"/>
      <c r="N30" s="1694"/>
      <c r="O30" s="1695"/>
      <c r="P30" s="1694"/>
      <c r="Q30" s="1694"/>
      <c r="R30" s="1694"/>
      <c r="S30" s="1694"/>
      <c r="T30" s="1694"/>
      <c r="U30" s="1694"/>
    </row>
    <row r="31" spans="1:21" ht="15" thickTop="1">
      <c r="A31" s="3259" t="s">
        <v>2001</v>
      </c>
      <c r="B31" s="1763" t="s">
        <v>2002</v>
      </c>
      <c r="C31" s="3257" t="s">
        <v>2994</v>
      </c>
      <c r="D31" s="3258"/>
      <c r="E31" s="1694"/>
      <c r="F31" s="1694"/>
      <c r="G31" s="1694"/>
      <c r="H31" s="1694"/>
      <c r="I31" s="1707"/>
      <c r="J31" s="1694"/>
      <c r="K31" s="2482"/>
      <c r="L31" s="1694"/>
      <c r="M31" s="1694"/>
      <c r="N31" s="1694"/>
      <c r="O31" s="1694"/>
      <c r="P31" s="1694"/>
      <c r="Q31" s="1694"/>
      <c r="R31" s="1694"/>
      <c r="S31" s="1694"/>
      <c r="T31" s="1694"/>
      <c r="U31" s="1694"/>
    </row>
    <row r="32" spans="1:21">
      <c r="A32" s="3259"/>
      <c r="B32" s="1661" t="s">
        <v>2003</v>
      </c>
      <c r="C32" s="3182" t="s">
        <v>2995</v>
      </c>
      <c r="D32" s="1719"/>
      <c r="E32" s="1694"/>
      <c r="F32" s="1694"/>
      <c r="G32" s="1694"/>
      <c r="H32" s="1694"/>
      <c r="I32" s="1707"/>
      <c r="J32" s="1694"/>
      <c r="K32" s="2482"/>
      <c r="L32" s="1694"/>
      <c r="M32" s="1694"/>
      <c r="N32" s="1694"/>
      <c r="O32" s="1694"/>
      <c r="P32" s="1694"/>
      <c r="Q32" s="1694"/>
      <c r="R32" s="1694"/>
      <c r="S32" s="1694"/>
      <c r="T32" s="1694"/>
      <c r="U32" s="1694"/>
    </row>
    <row r="33" spans="1:21">
      <c r="A33" s="3259"/>
      <c r="B33" s="1661" t="s">
        <v>2004</v>
      </c>
      <c r="C33" s="1720" t="s">
        <v>2992</v>
      </c>
      <c r="D33" s="1837"/>
      <c r="E33" s="1694"/>
      <c r="F33" s="1694"/>
      <c r="G33" s="1694"/>
      <c r="H33" s="1694"/>
      <c r="I33" s="1707"/>
      <c r="J33" s="1694"/>
      <c r="K33" s="2482"/>
      <c r="L33" s="1694"/>
      <c r="M33" s="1694"/>
      <c r="N33" s="1694"/>
      <c r="O33" s="1694"/>
      <c r="P33" s="1694"/>
      <c r="Q33" s="1694"/>
      <c r="R33" s="1694"/>
      <c r="S33" s="1694"/>
      <c r="T33" s="1694"/>
      <c r="U33" s="1694"/>
    </row>
    <row r="34" spans="1:21">
      <c r="A34" s="3260"/>
      <c r="B34" s="1661" t="s">
        <v>2005</v>
      </c>
      <c r="C34" s="3261"/>
      <c r="D34" s="3262"/>
      <c r="E34" s="1694"/>
      <c r="F34" s="1694"/>
      <c r="G34" s="1694"/>
      <c r="H34" s="1694"/>
      <c r="I34" s="1707"/>
      <c r="J34" s="1694"/>
      <c r="K34" s="2482"/>
      <c r="L34" s="1694"/>
      <c r="M34" s="1694"/>
      <c r="N34" s="1694"/>
      <c r="O34" s="1694"/>
      <c r="P34" s="1694"/>
      <c r="Q34" s="1694"/>
      <c r="R34" s="1694"/>
      <c r="S34" s="1694"/>
      <c r="T34" s="1694"/>
      <c r="U34" s="1694"/>
    </row>
    <row r="35" spans="1:21">
      <c r="A35" s="3263" t="s">
        <v>847</v>
      </c>
      <c r="B35" s="1721" t="s">
        <v>2996</v>
      </c>
      <c r="C35" s="1775" t="str">
        <f>IF(B35="场地平整","——","具体情况：")</f>
        <v>——</v>
      </c>
      <c r="D35" s="3265"/>
      <c r="E35" s="3266"/>
      <c r="F35" s="3266"/>
      <c r="G35" s="3266"/>
      <c r="H35" s="3266"/>
      <c r="I35" s="3267"/>
      <c r="J35" s="1694"/>
      <c r="K35" s="1774"/>
      <c r="L35" s="1722"/>
      <c r="M35" s="1722"/>
      <c r="N35" s="1694"/>
      <c r="O35" s="1695"/>
      <c r="P35" s="1694"/>
      <c r="Q35" s="1694"/>
      <c r="R35" s="1694"/>
      <c r="S35" s="1694"/>
      <c r="T35" s="1694"/>
      <c r="U35" s="1694"/>
    </row>
    <row r="36" spans="1:21">
      <c r="A36" s="3259"/>
      <c r="B36" s="3268" t="s">
        <v>2054</v>
      </c>
      <c r="C36" s="3269"/>
      <c r="D36" s="1791" t="s">
        <v>2997</v>
      </c>
      <c r="E36" s="3270"/>
      <c r="F36" s="3270"/>
      <c r="G36" s="1687" t="str">
        <f>IF(B35="场地未平整","估价结果处理","")</f>
        <v/>
      </c>
      <c r="H36" s="3271"/>
      <c r="I36" s="3271"/>
      <c r="J36" s="1694"/>
      <c r="K36" s="1774"/>
      <c r="L36" s="1722"/>
      <c r="M36" s="1722"/>
      <c r="N36" s="1694"/>
      <c r="O36" s="1695"/>
      <c r="P36" s="1694"/>
      <c r="Q36" s="1694"/>
      <c r="R36" s="1694"/>
      <c r="S36" s="1694"/>
      <c r="T36" s="1694"/>
      <c r="U36" s="1694"/>
    </row>
    <row r="37" spans="1:21" ht="28.5">
      <c r="A37" s="3259"/>
      <c r="B37" s="3248" t="s">
        <v>848</v>
      </c>
      <c r="C37" s="1723" t="s">
        <v>849</v>
      </c>
      <c r="D37" s="1724"/>
      <c r="E37" s="1725"/>
      <c r="F37" s="1694"/>
      <c r="G37" s="1694"/>
      <c r="H37" s="1694"/>
      <c r="I37" s="1707"/>
      <c r="J37" s="1694"/>
      <c r="K37" s="1774"/>
      <c r="L37" s="1694"/>
      <c r="M37" s="1694"/>
      <c r="N37" s="1694"/>
      <c r="O37" s="1694"/>
      <c r="P37" s="1694"/>
      <c r="Q37" s="1694"/>
      <c r="R37" s="1694"/>
      <c r="S37" s="1694"/>
      <c r="T37" s="1694"/>
      <c r="U37" s="1694"/>
    </row>
    <row r="38" spans="1:21">
      <c r="A38" s="3259"/>
      <c r="B38" s="3249"/>
      <c r="C38" s="1669" t="s">
        <v>850</v>
      </c>
      <c r="D38" s="1790">
        <f>ROUNDDOWN(MIN(('数据-取费表'!$B$2-D37)/365,D34),1)</f>
        <v>118.4</v>
      </c>
      <c r="E38" s="1726" t="s">
        <v>851</v>
      </c>
      <c r="F38" s="1694"/>
      <c r="G38" s="1694"/>
      <c r="H38" s="1694"/>
      <c r="I38" s="1707"/>
      <c r="J38" s="1694"/>
      <c r="K38" s="1774"/>
      <c r="L38" s="1694"/>
      <c r="M38" s="1694"/>
      <c r="N38" s="1694"/>
      <c r="O38" s="1694"/>
      <c r="P38" s="1694"/>
      <c r="Q38" s="1694"/>
      <c r="R38" s="1694"/>
      <c r="S38" s="1694"/>
      <c r="T38" s="1694"/>
      <c r="U38" s="1694"/>
    </row>
    <row r="39" spans="1:21">
      <c r="A39" s="3260"/>
      <c r="B39" s="3250"/>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1978</v>
      </c>
      <c r="B40" s="1690" t="s">
        <v>2998</v>
      </c>
      <c r="C40" s="1690" t="s">
        <v>2999</v>
      </c>
      <c r="D40" s="1690" t="s">
        <v>3000</v>
      </c>
      <c r="E40" s="1690" t="s">
        <v>3001</v>
      </c>
      <c r="F40" s="1690" t="s">
        <v>3002</v>
      </c>
      <c r="G40" s="1690" t="s">
        <v>3003</v>
      </c>
      <c r="H40" s="1690"/>
      <c r="I40" s="1707"/>
      <c r="J40" s="1694"/>
      <c r="K40" s="1729">
        <f>COUNTIF(B40:H40,"——")</f>
        <v>0</v>
      </c>
      <c r="L40" s="1699" t="s">
        <v>1979</v>
      </c>
      <c r="M40" s="1696" t="s">
        <v>1980</v>
      </c>
      <c r="N40" s="1696" t="s">
        <v>1981</v>
      </c>
      <c r="O40" s="1696" t="s">
        <v>1982</v>
      </c>
      <c r="P40" s="1696" t="s">
        <v>1983</v>
      </c>
      <c r="Q40" s="1696" t="s">
        <v>1984</v>
      </c>
      <c r="R40" s="1696" t="s">
        <v>1985</v>
      </c>
      <c r="S40" s="3231" t="s">
        <v>1986</v>
      </c>
      <c r="T40" s="1730" t="str">
        <f>NUMBERSTRING(7-K40,1)&amp;"通"</f>
        <v>七通</v>
      </c>
      <c r="U40" s="1694"/>
    </row>
    <row r="41" spans="1:21" ht="28.5">
      <c r="A41" s="1663"/>
      <c r="B41" s="3264" t="s">
        <v>1722</v>
      </c>
      <c r="C41" s="3264"/>
      <c r="D41" s="3264"/>
      <c r="E41" s="3264"/>
      <c r="F41" s="1731" t="str">
        <f>C10</f>
        <v>广东省汕头市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31"/>
      <c r="T41" s="1732" t="str">
        <f>IF(T40="一通",L41,IF(T40="二通",M41,IF(T40="三通",N41,IF(T40="四通",O41,IF(T40="五通",P41,IF(T40="六通",Q41,R41))))))</f>
        <v>通路、通电、通讯、通上水、通下水、燃气、</v>
      </c>
      <c r="U41" s="1694"/>
    </row>
    <row r="42" spans="1:21">
      <c r="A42" s="1734"/>
      <c r="B42" s="1765" t="s">
        <v>1898</v>
      </c>
      <c r="C42" s="1765" t="s">
        <v>1899</v>
      </c>
      <c r="D42" s="1765" t="s">
        <v>1900</v>
      </c>
      <c r="E42" s="1699" t="s">
        <v>1901</v>
      </c>
      <c r="F42" s="1735"/>
      <c r="G42" s="1694"/>
      <c r="H42" s="1694"/>
      <c r="I42" s="1707"/>
      <c r="J42" s="1694"/>
      <c r="K42" s="1773"/>
      <c r="L42" s="1722"/>
      <c r="M42" s="1722"/>
      <c r="N42" s="1694"/>
      <c r="O42" s="1695"/>
      <c r="P42" s="1694"/>
      <c r="Q42" s="1694"/>
      <c r="R42" s="1694"/>
      <c r="S42" s="1694"/>
      <c r="T42" s="1694"/>
      <c r="U42" s="1694"/>
    </row>
    <row r="43" spans="1:21">
      <c r="A43" s="1736" t="s">
        <v>1707</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1708</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7" customFormat="1" ht="21" thickBot="1">
      <c r="A45" s="3098" t="s">
        <v>2887</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2006</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1" t="s">
        <v>2016</v>
      </c>
      <c r="K48" s="1765" t="s">
        <v>2017</v>
      </c>
      <c r="L48" s="1765" t="s">
        <v>2018</v>
      </c>
      <c r="M48" s="1765" t="s">
        <v>2019</v>
      </c>
      <c r="N48" s="1686" t="s">
        <v>2020</v>
      </c>
      <c r="O48" s="1686" t="s">
        <v>2021</v>
      </c>
      <c r="P48" s="1686" t="s">
        <v>2022</v>
      </c>
      <c r="Q48" s="1699" t="s">
        <v>2023</v>
      </c>
      <c r="R48" s="1699" t="s">
        <v>2024</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16" sqref="A16:C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2332</v>
      </c>
      <c r="BA2" s="2361"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7876.6</v>
      </c>
      <c r="B3" s="22">
        <f>IF(C3="否",G5-AT5,G5)</f>
        <v>59074.5</v>
      </c>
      <c r="C3" s="23" t="s">
        <v>2992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59074.5</v>
      </c>
      <c r="H5" s="27">
        <f t="shared" ref="H5:AT5" si="0">SUM(H13:H641)</f>
        <v>59074.5</v>
      </c>
      <c r="I5" s="27">
        <f t="shared" si="0"/>
        <v>59074.5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59074.5</v>
      </c>
      <c r="BA5" s="29">
        <f t="shared" si="1"/>
        <v>59074.5</v>
      </c>
      <c r="BB5" s="29">
        <f t="shared" si="1"/>
        <v>59074.5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7876.6</v>
      </c>
      <c r="F6" s="27" t="s">
        <v>1</v>
      </c>
      <c r="G6" s="27" t="s">
        <v>2</v>
      </c>
      <c r="H6" s="33">
        <f>SUMIF(I$12:AB$12,"总值",I6:AB6)</f>
        <v>7876.6</v>
      </c>
      <c r="I6" s="27">
        <f t="shared" ref="I6:AB6" si="2">ROUND($A$3*I5/$B$3,2)</f>
        <v>7876.6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7876.6</v>
      </c>
      <c r="AZ6" s="27" t="s">
        <v>3</v>
      </c>
      <c r="BA6" s="27">
        <f>ROUND($AY$6*BA5/$AZ$5,2)</f>
        <v>7876.6</v>
      </c>
      <c r="BB6" s="27">
        <f>ROUND($AY$6*BB5/$AZ$5,2)</f>
        <v>7876.6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3004</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2988</v>
      </c>
      <c r="J10" s="51"/>
      <c r="K10" s="3045"/>
      <c r="L10" s="51"/>
      <c r="M10" s="3045"/>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2330</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3005</v>
      </c>
      <c r="J11" s="71"/>
      <c r="K11" s="3044"/>
      <c r="L11" s="71"/>
      <c r="M11" s="70"/>
      <c r="N11" s="71"/>
      <c r="O11" s="70"/>
      <c r="P11" s="71"/>
      <c r="Q11" s="70"/>
      <c r="R11" s="71"/>
      <c r="S11" s="70"/>
      <c r="T11" s="71"/>
      <c r="U11" s="70"/>
      <c r="V11" s="71"/>
      <c r="W11" s="70"/>
      <c r="X11" s="71"/>
      <c r="Y11" s="70"/>
      <c r="Z11" s="71"/>
      <c r="AA11" s="70"/>
      <c r="AB11" s="71"/>
      <c r="AC11" s="55"/>
      <c r="AD11" s="2334" t="s">
        <v>2329</v>
      </c>
      <c r="AE11" s="1002"/>
      <c r="AF11" s="2334" t="s">
        <v>2329</v>
      </c>
      <c r="AG11" s="1002"/>
      <c r="AH11" s="2334" t="s">
        <v>2328</v>
      </c>
      <c r="AI11" s="2335"/>
      <c r="AJ11" s="2334" t="s">
        <v>2328</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t="s">
        <v>3056</v>
      </c>
      <c r="D13" s="3039" t="s">
        <v>1679</v>
      </c>
      <c r="E13" s="27">
        <f t="shared" ref="E13:E20" si="6">IF($C$3="是",ROUND($A$3*G13/$B$3,2),ROUND($A$3*(G13-AT13)/$B$3,2))</f>
        <v>7876.6</v>
      </c>
      <c r="F13" s="81"/>
      <c r="G13" s="82">
        <f t="shared" ref="G13:G20" si="7">H13+AC13+AT13</f>
        <v>59074.5</v>
      </c>
      <c r="H13" s="33">
        <f t="shared" ref="H13:H20" si="8">SUMIF(I$12:AB$12,"总值",I13:AB13)</f>
        <v>59074.5</v>
      </c>
      <c r="I13" s="3200">
        <f>ROUND(A3*7.5,2)</f>
        <v>59074.5</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t="str">
        <f t="shared" si="10"/>
        <v>9号地</v>
      </c>
      <c r="AY13" s="996">
        <f t="shared" ref="AY13:AY20" si="11">ROUND($AY$6*AZ13/$AZ$5,2)</f>
        <v>7876.6</v>
      </c>
      <c r="AZ13" s="27">
        <f t="shared" ref="AZ13:AZ20" si="12">BA13+BL13</f>
        <v>59074.5</v>
      </c>
      <c r="BA13" s="27">
        <f t="shared" ref="BA13:BA20" si="13">SUM(BB13:BK13)</f>
        <v>59074.5</v>
      </c>
      <c r="BB13" s="27">
        <f t="shared" ref="BB13:BB20" si="14">IF($D13="是",I13-J13,0)</f>
        <v>59074.5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t="s">
        <v>952</v>
      </c>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K18" sqref="K1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3" t="s">
        <v>203</v>
      </c>
      <c r="B2" s="3283"/>
      <c r="C2" s="3283"/>
      <c r="D2" s="1975" t="s">
        <v>204</v>
      </c>
      <c r="E2" s="106" t="s">
        <v>205</v>
      </c>
      <c r="F2" s="1984"/>
      <c r="G2" s="1198"/>
      <c r="H2" s="1199"/>
      <c r="I2" s="1200" t="s">
        <v>857</v>
      </c>
      <c r="J2" s="1984"/>
      <c r="K2" s="1984"/>
      <c r="L2" s="1984"/>
    </row>
    <row r="3" spans="1:16" ht="15.75" thickBot="1">
      <c r="A3" s="3284" t="s">
        <v>206</v>
      </c>
      <c r="B3" s="3284"/>
      <c r="C3" s="3284"/>
      <c r="D3" s="107">
        <f>'数据-基础表'!AY6</f>
        <v>7876.6</v>
      </c>
      <c r="E3" s="107">
        <f>'数据-基础表'!AZ5</f>
        <v>59074.5</v>
      </c>
      <c r="F3" s="1984"/>
      <c r="G3" s="280" t="s">
        <v>858</v>
      </c>
      <c r="H3" s="275" t="s">
        <v>859</v>
      </c>
      <c r="I3" s="1976">
        <f>ROUND('数据-基础表'!B3/'数据-基础表'!A3,2)</f>
        <v>7.5</v>
      </c>
      <c r="J3" s="1984"/>
      <c r="K3" s="1984"/>
      <c r="L3" s="1984"/>
    </row>
    <row r="4" spans="1:16" ht="15">
      <c r="A4" s="3285"/>
      <c r="B4" s="3286"/>
      <c r="C4" s="3287"/>
      <c r="D4" s="108" t="s">
        <v>204</v>
      </c>
      <c r="E4" s="109" t="s">
        <v>205</v>
      </c>
      <c r="F4" s="1984"/>
      <c r="G4" s="1201"/>
      <c r="H4" s="275" t="s">
        <v>860</v>
      </c>
      <c r="I4" s="1976">
        <f>ROUND(SUMIF('数据-基础表'!I9:AS9,"地上",'数据-基础表'!I5:AS5)/'数据-基础表'!A3,2)</f>
        <v>7.5</v>
      </c>
      <c r="J4" s="1984"/>
      <c r="K4" s="1984"/>
      <c r="L4" s="1984"/>
    </row>
    <row r="5" spans="1:16">
      <c r="A5" s="110" t="s">
        <v>207</v>
      </c>
      <c r="B5" s="3288" t="s">
        <v>230</v>
      </c>
      <c r="C5" s="3288"/>
      <c r="D5" s="111">
        <f>ROUND($D$3*E5/$E$3,2)</f>
        <v>0</v>
      </c>
      <c r="E5" s="112">
        <f>SUMIF('数据-基础表'!$11:$11,"住宅",'数据-基础表'!$5:$5)</f>
        <v>0</v>
      </c>
      <c r="F5" s="1984"/>
      <c r="G5" s="280" t="s">
        <v>861</v>
      </c>
      <c r="H5" s="275" t="s">
        <v>859</v>
      </c>
      <c r="I5" s="1976">
        <f>ROUND(E31/D31,2)</f>
        <v>7.5</v>
      </c>
      <c r="J5" s="1984"/>
      <c r="K5" s="1984"/>
      <c r="L5" s="1984"/>
    </row>
    <row r="6" spans="1:16" ht="15" thickBot="1">
      <c r="A6" s="113"/>
      <c r="B6" s="3288" t="s">
        <v>208</v>
      </c>
      <c r="C6" s="3288"/>
      <c r="D6" s="111">
        <f>ROUND($D$3*E6/$E$3,2)</f>
        <v>7876.6</v>
      </c>
      <c r="E6" s="112">
        <f>E3-E5</f>
        <v>59074.5</v>
      </c>
      <c r="F6" s="1984"/>
      <c r="G6" s="1201"/>
      <c r="H6" s="275" t="s">
        <v>860</v>
      </c>
      <c r="I6" s="1976">
        <f>ROUND(F31/D31,2)</f>
        <v>7.5</v>
      </c>
      <c r="J6" s="1984"/>
      <c r="K6" s="1984"/>
      <c r="L6" s="1984"/>
    </row>
    <row r="7" spans="1:16" ht="15">
      <c r="A7" s="3280"/>
      <c r="B7" s="3281"/>
      <c r="C7" s="3282"/>
      <c r="D7" s="108" t="s">
        <v>204</v>
      </c>
      <c r="E7" s="114" t="s">
        <v>231</v>
      </c>
      <c r="F7" s="1984"/>
      <c r="G7" s="1156" t="s">
        <v>1646</v>
      </c>
      <c r="H7" s="1157"/>
      <c r="I7" s="1846"/>
      <c r="J7" s="1984"/>
      <c r="K7" s="1984"/>
      <c r="L7" s="1984"/>
    </row>
    <row r="8" spans="1:16">
      <c r="A8" s="110" t="s">
        <v>209</v>
      </c>
      <c r="B8" s="115" t="s">
        <v>210</v>
      </c>
      <c r="C8" s="111" t="s">
        <v>211</v>
      </c>
      <c r="D8" s="111">
        <f t="shared" ref="D8:D15" si="0">ROUND($D$3*E8/$E$3,2)</f>
        <v>7876.6</v>
      </c>
      <c r="E8" s="116">
        <f>SUMIF('数据-基础表'!BB10:BK10,"地上",'数据-基础表'!BB5:BK5)</f>
        <v>59074.5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2326</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2333</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7876.6</v>
      </c>
      <c r="E16" s="120">
        <f>SUM(E8:E15)</f>
        <v>59074.5</v>
      </c>
      <c r="F16" s="1984"/>
      <c r="G16" s="1986"/>
      <c r="H16" s="968" t="s">
        <v>219</v>
      </c>
      <c r="I16" s="969"/>
      <c r="J16" s="1984"/>
      <c r="K16" s="3274" t="s">
        <v>2565</v>
      </c>
      <c r="L16" s="3275"/>
      <c r="M16" s="3275"/>
      <c r="N16" s="3275"/>
      <c r="O16" s="3275"/>
      <c r="P16" s="3276"/>
    </row>
    <row r="17" spans="1:19" ht="15">
      <c r="A17" s="121" t="s">
        <v>216</v>
      </c>
      <c r="B17" s="122" t="s">
        <v>217</v>
      </c>
      <c r="C17" s="2298" t="s">
        <v>2313</v>
      </c>
      <c r="D17" s="108" t="s">
        <v>204</v>
      </c>
      <c r="E17" s="124" t="s">
        <v>205</v>
      </c>
      <c r="F17" s="125"/>
      <c r="G17" s="1366"/>
      <c r="H17" s="970" t="s">
        <v>218</v>
      </c>
      <c r="I17" s="971" t="s">
        <v>2312</v>
      </c>
      <c r="J17" s="1984"/>
      <c r="K17" s="3277" t="s">
        <v>2566</v>
      </c>
      <c r="L17" s="3278"/>
      <c r="M17" s="3279"/>
      <c r="N17" s="3277" t="s">
        <v>2567</v>
      </c>
      <c r="O17" s="3278"/>
      <c r="P17" s="3279"/>
      <c r="R17" s="2299" t="s">
        <v>2311</v>
      </c>
      <c r="S17" s="144"/>
    </row>
    <row r="18" spans="1:19" ht="15">
      <c r="A18" s="117"/>
      <c r="B18" s="128"/>
      <c r="C18" s="129"/>
      <c r="D18" s="2666"/>
      <c r="E18" s="130" t="s">
        <v>220</v>
      </c>
      <c r="F18" s="131" t="s">
        <v>221</v>
      </c>
      <c r="G18" s="1367" t="s">
        <v>222</v>
      </c>
      <c r="H18" s="972" t="s">
        <v>223</v>
      </c>
      <c r="I18" s="973" t="s">
        <v>224</v>
      </c>
      <c r="J18" s="1984"/>
      <c r="K18" s="2629" t="s">
        <v>2568</v>
      </c>
      <c r="L18" s="2630" t="s">
        <v>2569</v>
      </c>
      <c r="M18" s="2631" t="s">
        <v>2570</v>
      </c>
      <c r="N18" s="2629" t="s">
        <v>2568</v>
      </c>
      <c r="O18" s="2630" t="s">
        <v>2569</v>
      </c>
      <c r="P18" s="2631" t="s">
        <v>2570</v>
      </c>
      <c r="R18" s="2300" t="s">
        <v>2309</v>
      </c>
      <c r="S18" s="2300" t="s">
        <v>2310</v>
      </c>
    </row>
    <row r="19" spans="1:19">
      <c r="A19" s="133"/>
      <c r="B19" s="115" t="s">
        <v>225</v>
      </c>
      <c r="C19" s="3049" t="s">
        <v>3059</v>
      </c>
      <c r="D19" s="111">
        <f t="shared" ref="D19:D26" si="1">ROUND($D$3*E19/$E$3,2)</f>
        <v>7876.6</v>
      </c>
      <c r="E19" s="134">
        <f t="shared" ref="E19:E26" si="2">SUM(F19:G19)</f>
        <v>59074.5</v>
      </c>
      <c r="F19" s="135">
        <f>'数据-基础表'!I13</f>
        <v>59074.5</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7876.6</v>
      </c>
      <c r="S19" s="2301">
        <f t="shared" si="5"/>
        <v>59074.5</v>
      </c>
    </row>
    <row r="20" spans="1:19">
      <c r="A20" s="138"/>
      <c r="B20" s="115" t="s">
        <v>226</v>
      </c>
      <c r="C20" s="3049"/>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49"/>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7876.6</v>
      </c>
      <c r="E27" s="143">
        <f>IF(SUM(E19:E26)='数据-基础表'!BA5,SUM(E19:E26),IF(F27="地上面积有误","面积有误","地下面积有误"))</f>
        <v>59074.5</v>
      </c>
      <c r="F27" s="134">
        <f>IF(SUM(F19:F26)=E8,SUM(F19:F26),"地上面积有误")</f>
        <v>59074.5</v>
      </c>
      <c r="G27" s="112">
        <f>SUM(G19:G26)</f>
        <v>0</v>
      </c>
      <c r="H27" s="975">
        <f>SUM(H19:H26)</f>
        <v>0</v>
      </c>
      <c r="I27" s="976">
        <f>SUM(I19:I26)</f>
        <v>0</v>
      </c>
      <c r="J27" s="1984"/>
      <c r="K27" s="2641">
        <f t="shared" ref="K27:P27" si="10">SUM(K19:K26)</f>
        <v>0</v>
      </c>
      <c r="L27" s="2642">
        <f t="shared" si="10"/>
        <v>0</v>
      </c>
      <c r="M27" s="2643">
        <f t="shared" si="10"/>
        <v>0</v>
      </c>
      <c r="N27" s="2641">
        <f t="shared" si="10"/>
        <v>0</v>
      </c>
      <c r="O27" s="2642">
        <f t="shared" si="10"/>
        <v>0</v>
      </c>
      <c r="P27" s="2644">
        <f t="shared" si="10"/>
        <v>0</v>
      </c>
      <c r="R27" s="2305">
        <f>IF(SUM(R19:R26)=$D$3,SUM(R19:R26),SUM(R19:R26)&amp;"误差"&amp;ROUND(SUM(R19:R26)-$D$3,2))</f>
        <v>7876.6</v>
      </c>
      <c r="S27" s="275">
        <f>IF(SUM(S19:S26)=$E$3,SUM(S19:S26),SUM(S19:S26)&amp;"误差"&amp;ROUND(SUM(S19:S26)-E3,2))</f>
        <v>59074.5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2322</v>
      </c>
      <c r="D31" s="1372">
        <f>D27+D30</f>
        <v>7876.6</v>
      </c>
      <c r="E31" s="1372">
        <f>E27+E30</f>
        <v>59074.5</v>
      </c>
      <c r="F31" s="1373">
        <f>F27+F30</f>
        <v>59074.5</v>
      </c>
      <c r="G31" s="1374">
        <f>G27+G30</f>
        <v>0</v>
      </c>
      <c r="H31" s="1984"/>
      <c r="I31" s="1984"/>
      <c r="J31" s="1984"/>
      <c r="K31" s="1984"/>
      <c r="L31" s="1984"/>
    </row>
    <row r="32" spans="1:19">
      <c r="A32" s="1984"/>
      <c r="B32" s="2363" t="s">
        <v>2321</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V10" sqref="V1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5" t="s">
        <v>2571</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9号商业用地</v>
      </c>
      <c r="B6" s="2337" t="str">
        <f>IF(A6=0,"","经营性")</f>
        <v>经营性</v>
      </c>
      <c r="C6" s="173" t="s">
        <v>2988</v>
      </c>
      <c r="D6" s="2308">
        <f>SUMIF(项目基本情况!D$15:I$15,C6,项目基本情况!D$18:I$18)</f>
        <v>50</v>
      </c>
      <c r="E6" s="2309">
        <f>IF(B6="","",SUMIF(项目基本情况!D$15:I$15,C6,项目基本情况!D$17:I$17))</f>
        <v>56218</v>
      </c>
      <c r="F6" s="174">
        <f>SUMIF(项目基本情况!D$15:I$15,C6,项目基本情况!D$19:I$19)</f>
        <v>35.54</v>
      </c>
      <c r="G6" s="175">
        <f t="shared" ref="G6:G13" si="0">IF(ISERROR(ROUND(POWER(1+H6,D6-F6)*(POWER(1+H6,F6)-1)/(POWER(1+H6,D6)-1),3)),0,ROUND(POWER(1+H6,D6-F6)*(POWER(1+H6,F6)-1)/(POWER(1+H6,D6)-1),3))</f>
        <v>0.875</v>
      </c>
      <c r="H6" s="3201">
        <v>0.04</v>
      </c>
      <c r="I6" s="3201">
        <v>0.05</v>
      </c>
      <c r="J6" s="176">
        <v>7.4999999999999997E-2</v>
      </c>
      <c r="K6" s="179">
        <f>SUMIF('数据-汇总表'!C$19:C$33,'数据-取费表'!A6,'数据-汇总表'!E$19:E$33)</f>
        <v>59074.5</v>
      </c>
      <c r="L6" s="3051">
        <v>3000</v>
      </c>
      <c r="M6" s="177">
        <f t="shared" ref="M6:M14" si="1">ROUND(K6*L6/10000,0)</f>
        <v>17722</v>
      </c>
      <c r="N6" s="3052">
        <v>0</v>
      </c>
      <c r="O6" s="177">
        <f>IF($N$5="成新度","——",ROUND(M6*N6,0))</f>
        <v>0</v>
      </c>
      <c r="P6" s="178">
        <f>IF($N$5="成新度","——",M6-O6)</f>
        <v>17722</v>
      </c>
      <c r="Q6" s="3202">
        <v>0.25</v>
      </c>
      <c r="R6" s="179">
        <f>SUMIF('数据-汇总表'!C$19:C$33,A6,'数据-汇总表'!R$19:R$33)</f>
        <v>7876.6</v>
      </c>
      <c r="S6" s="132">
        <f>IF('数据-汇总表'!$I$17="按面积比例",SUMIF('数据-汇总表'!C$19:C$33,A6,'数据-汇总表'!K$19:K$33),SUMIF('数据-汇总表'!C$19:C$33,A6,'数据-汇总表'!N$19:N$33))</f>
        <v>0</v>
      </c>
      <c r="T6" s="2234" t="str">
        <f>IF($T$4="按面积比例",IF(ISERROR(ROUND($M$14*S6/S$16,0)),"0",ROUND($M$14*S6/S$16,0)),"需自行计算录入")</f>
        <v>0</v>
      </c>
      <c r="U6" s="180">
        <v>3.3</v>
      </c>
      <c r="V6" s="181">
        <v>0.03</v>
      </c>
      <c r="W6" s="181">
        <v>0.2</v>
      </c>
      <c r="X6" s="2321"/>
      <c r="Y6" s="3199">
        <v>1</v>
      </c>
      <c r="Z6" s="183"/>
      <c r="AA6" s="176"/>
      <c r="AB6" s="176"/>
      <c r="AC6" s="2324"/>
      <c r="AD6" s="184"/>
      <c r="AE6" s="972">
        <f ca="1">IF(AN6="",0,SUMIF(INDIRECT("'"&amp;AN6&amp;"'"&amp;"!E:E"),$AE$5,INDIRECT("'"&amp;AN6&amp;"'"&amp;"!F:F")))</f>
        <v>33.54</v>
      </c>
      <c r="AF6" s="141"/>
      <c r="AG6" s="1213">
        <f>IF(AF6="",0,AE6-AF6)</f>
        <v>0</v>
      </c>
      <c r="AH6" s="141"/>
      <c r="AI6" s="187">
        <v>365</v>
      </c>
      <c r="AJ6" s="188"/>
      <c r="AK6" s="189">
        <v>1.4999999999999999E-2</v>
      </c>
      <c r="AL6" s="190">
        <v>1.5E-3</v>
      </c>
      <c r="AM6" s="3064">
        <v>0.01</v>
      </c>
      <c r="AN6" s="2416" t="s">
        <v>3006</v>
      </c>
      <c r="AO6" s="2000"/>
      <c r="AP6" s="1204">
        <f>ROUND(1-1/(1+H6)^F6,3)</f>
        <v>0.752</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50"/>
      <c r="I7" s="3050"/>
      <c r="J7" s="176"/>
      <c r="K7" s="179">
        <f>SUMIF('数据-汇总表'!C$19:C$33,'数据-取费表'!A7,'数据-汇总表'!E$19:E$33)</f>
        <v>0</v>
      </c>
      <c r="L7" s="3051"/>
      <c r="M7" s="177">
        <f t="shared" si="1"/>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0.875</v>
      </c>
      <c r="H16" s="203">
        <f>ROUND(SUMPRODUCT(H6:H13,K6:K13)/SUMPRODUCT((H6:H13&gt;0)*(K6:K13)),3)</f>
        <v>0.04</v>
      </c>
      <c r="I16" s="204"/>
      <c r="J16" s="204"/>
      <c r="K16" s="205">
        <f>SUM(K6:K15)</f>
        <v>59074.5</v>
      </c>
      <c r="L16" s="206">
        <f>ROUND(M16*10000/SUM(K6:K14),0)</f>
        <v>3000</v>
      </c>
      <c r="M16" s="206">
        <f>SUM(M6:M14)</f>
        <v>17722</v>
      </c>
      <c r="N16" s="207">
        <f>ROUND(SUMPRODUCT(M6:M14,N6:N14)/M16,3)</f>
        <v>0</v>
      </c>
      <c r="O16" s="206">
        <f>SUM(O6:O14)</f>
        <v>0</v>
      </c>
      <c r="P16" s="206">
        <f>SUM(P6:P14)</f>
        <v>17722</v>
      </c>
      <c r="Q16" s="208">
        <f>ROUND(SUMPRODUCT(Q6:Q13,K6:K13)/SUMPRODUCT((Q6:Q13&gt;0)*(K6:K13)),2)</f>
        <v>0.25</v>
      </c>
      <c r="R16" s="2311">
        <f>SUM(R6:R13)</f>
        <v>7876.6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0.752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2335</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2334</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2337</v>
      </c>
      <c r="B27" s="227">
        <f>ROUND(L6*0.04,0)</f>
        <v>120</v>
      </c>
      <c r="C27" s="2367" t="s">
        <v>2341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2338</v>
      </c>
      <c r="B28" s="229">
        <f>B27</f>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2336</v>
      </c>
      <c r="B29" s="232"/>
      <c r="C29" s="1553" t="s">
        <v>2339</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2888</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2889</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2890</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2891</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2892</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2892</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2455</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2456</v>
      </c>
      <c r="B40" s="2505">
        <f ca="1">存贷款利率!E2</f>
        <v>4.7500000000000001E-2</v>
      </c>
      <c r="C40" s="2365" t="s">
        <v>2340</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2893</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2894</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2895</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2896</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2897</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2898</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101" t="s">
        <v>2899</v>
      </c>
      <c r="D53" s="3102" t="s">
        <v>2900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2901</v>
      </c>
      <c r="B54" s="186">
        <v>8</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2902</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2903</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2904</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2905</v>
      </c>
      <c r="B58" s="186"/>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2906</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2907</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2908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2909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9" t="s">
        <v>1664</v>
      </c>
      <c r="B1" s="3290"/>
      <c r="C1" s="3290"/>
      <c r="D1" s="3290"/>
      <c r="E1" s="3290"/>
      <c r="F1" s="3290"/>
      <c r="G1" s="329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106" t="s">
        <v>2917</v>
      </c>
      <c r="D3" s="2009"/>
      <c r="E3" s="1229" t="s">
        <v>1667</v>
      </c>
      <c r="F3" s="1230" t="s">
        <v>1655</v>
      </c>
      <c r="G3" s="3110" t="s">
        <v>2916</v>
      </c>
      <c r="H3" s="2008"/>
      <c r="I3" s="2008"/>
      <c r="J3" s="2008"/>
      <c r="K3" s="2008"/>
      <c r="L3" s="2008"/>
      <c r="M3" s="2008"/>
      <c r="N3" s="2008"/>
      <c r="O3" s="2008"/>
      <c r="P3" s="2008"/>
      <c r="Q3" s="2008"/>
      <c r="R3" s="2008"/>
    </row>
    <row r="4" spans="1:18" ht="41.25">
      <c r="A4" s="1229"/>
      <c r="B4" s="1231" t="s">
        <v>1668</v>
      </c>
      <c r="C4" s="3107" t="s">
        <v>2918</v>
      </c>
      <c r="D4" s="2009"/>
      <c r="E4" s="1232"/>
      <c r="F4" s="1233" t="s">
        <v>1669</v>
      </c>
      <c r="G4" s="3108" t="s">
        <v>2913</v>
      </c>
      <c r="H4" s="2008"/>
      <c r="I4" s="2008"/>
      <c r="J4" s="2008"/>
      <c r="K4" s="2008"/>
      <c r="L4" s="2008"/>
      <c r="M4" s="2008"/>
      <c r="N4" s="2008"/>
      <c r="O4" s="2008"/>
      <c r="P4" s="2008"/>
      <c r="Q4" s="2008"/>
      <c r="R4" s="2008"/>
    </row>
    <row r="5" spans="1:18" ht="41.25">
      <c r="A5" s="1229"/>
      <c r="B5" s="1231" t="s">
        <v>1670</v>
      </c>
      <c r="C5" s="3107" t="s">
        <v>2919</v>
      </c>
      <c r="D5" s="2009"/>
      <c r="E5" s="1232"/>
      <c r="F5" s="1231" t="s">
        <v>2545</v>
      </c>
      <c r="G5" s="3108" t="s">
        <v>2914</v>
      </c>
      <c r="H5" s="2008"/>
      <c r="I5" s="2008"/>
      <c r="J5" s="2008"/>
      <c r="K5" s="2008"/>
      <c r="L5" s="2008"/>
      <c r="M5" s="2008"/>
      <c r="N5" s="2008"/>
      <c r="O5" s="2008"/>
      <c r="P5" s="2008"/>
      <c r="Q5" s="2008"/>
      <c r="R5" s="2008"/>
    </row>
    <row r="6" spans="1:18" ht="54">
      <c r="A6" s="1229"/>
      <c r="B6" s="1231" t="s">
        <v>1656</v>
      </c>
      <c r="C6" s="3108" t="s">
        <v>2913</v>
      </c>
      <c r="D6" s="2009"/>
      <c r="E6" s="1232"/>
      <c r="F6" s="1231" t="s">
        <v>2546</v>
      </c>
      <c r="G6" s="3108" t="s">
        <v>2911</v>
      </c>
      <c r="H6" s="2008"/>
      <c r="I6" s="2008"/>
      <c r="J6" s="2008"/>
      <c r="K6" s="2008"/>
      <c r="L6" s="2008"/>
      <c r="M6" s="2008"/>
      <c r="N6" s="2008"/>
      <c r="O6" s="2008"/>
      <c r="P6" s="2008"/>
      <c r="Q6" s="2008"/>
      <c r="R6" s="2008"/>
    </row>
    <row r="7" spans="1:18" ht="41.25" thickBot="1">
      <c r="A7" s="1229"/>
      <c r="B7" s="1231" t="s">
        <v>2545</v>
      </c>
      <c r="C7" s="3108" t="s">
        <v>2914</v>
      </c>
      <c r="D7" s="2010"/>
      <c r="E7" s="1234"/>
      <c r="F7" s="1235" t="s">
        <v>1671</v>
      </c>
      <c r="G7" s="3111" t="s">
        <v>2915</v>
      </c>
      <c r="H7" s="2008"/>
      <c r="I7" s="2008"/>
      <c r="J7" s="2008"/>
      <c r="K7" s="2008"/>
      <c r="L7" s="2008"/>
      <c r="M7" s="2008"/>
      <c r="N7" s="2008"/>
      <c r="O7" s="2008"/>
      <c r="P7" s="2008"/>
      <c r="Q7" s="2008"/>
      <c r="R7" s="2008"/>
    </row>
    <row r="8" spans="1:18" ht="27">
      <c r="A8" s="1229"/>
      <c r="B8" s="1231" t="s">
        <v>2546</v>
      </c>
      <c r="C8" s="3108" t="s">
        <v>2911</v>
      </c>
      <c r="D8" s="2010"/>
      <c r="E8" s="2010"/>
      <c r="F8" s="1554"/>
      <c r="G8" s="1554"/>
      <c r="H8" s="2008"/>
      <c r="I8" s="2008"/>
      <c r="J8" s="2008"/>
      <c r="K8" s="2008"/>
      <c r="L8" s="2008"/>
      <c r="M8" s="2008"/>
      <c r="N8" s="2008"/>
      <c r="O8" s="2008"/>
      <c r="P8" s="2008"/>
      <c r="Q8" s="2008"/>
      <c r="R8" s="2008"/>
    </row>
    <row r="9" spans="1:18" ht="40.5">
      <c r="A9" s="1229"/>
      <c r="B9" s="1231" t="s">
        <v>1657</v>
      </c>
      <c r="C9" s="3107" t="s">
        <v>2912</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10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54">
      <c r="A15" s="2612" t="s">
        <v>1658</v>
      </c>
      <c r="B15" s="1242" t="s">
        <v>1654</v>
      </c>
      <c r="C15" s="1243" t="str">
        <f>C3</f>
        <v>估价对象周边居住用地比例、居住小区规模和社区发展完善程度，综合评价居住社区成熟度一般</v>
      </c>
      <c r="D15" s="2009"/>
      <c r="E15" s="2609" t="s">
        <v>1659</v>
      </c>
      <c r="F15" s="1242" t="s">
        <v>1674</v>
      </c>
      <c r="G15" s="1244" t="str">
        <f>G3</f>
        <v>估价对象位于XX开发区，园区建设成熟度XX，产业集聚程度XX</v>
      </c>
    </row>
    <row r="16" spans="1:18" ht="40.5">
      <c r="A16" s="2613"/>
      <c r="B16" s="1245" t="s">
        <v>1668</v>
      </c>
      <c r="C16" s="1246" t="str">
        <f>C4</f>
        <v>估价对象位于XX商圈，周边商业氛围成熟，人流量大，商业繁华度好</v>
      </c>
      <c r="D16" s="2009"/>
      <c r="E16" s="2610"/>
      <c r="F16" s="1247" t="s">
        <v>1669</v>
      </c>
      <c r="G16" s="1005" t="str">
        <f>G4</f>
        <v>估价对象周边道路状况、公共交通通达情况、停车便捷程度，综合评价交通便捷度较好</v>
      </c>
    </row>
    <row r="17" spans="1:7" ht="40.5">
      <c r="A17" s="2613"/>
      <c r="B17" s="1245" t="s">
        <v>1670</v>
      </c>
      <c r="C17" s="1246" t="str">
        <f>C5</f>
        <v>估价对象位于XX商圈，周边办公楼项目较多，入驻率高，办公集聚程度较好</v>
      </c>
      <c r="D17" s="2010"/>
      <c r="E17" s="2610"/>
      <c r="F17" s="1247" t="s">
        <v>1675</v>
      </c>
      <c r="G17" s="2818"/>
    </row>
    <row r="18" spans="1:7" ht="54">
      <c r="A18" s="2613"/>
      <c r="B18" s="1247" t="s">
        <v>1656</v>
      </c>
      <c r="C18" s="1005" t="str">
        <f>C6</f>
        <v>估价对象周边道路状况、公共交通通达情况、停车便捷程度，综合评价交通便捷度较好</v>
      </c>
      <c r="D18" s="2010"/>
      <c r="E18" s="2610"/>
      <c r="F18" s="1247" t="s">
        <v>1671</v>
      </c>
      <c r="G18" s="1005" t="str">
        <f>G7</f>
        <v>该园区内是否有污染型企业，绿化情况，卫生条件，整体环境状况判断</v>
      </c>
    </row>
    <row r="19" spans="1:7" ht="27">
      <c r="A19" s="2613"/>
      <c r="B19" s="1247" t="s">
        <v>1660</v>
      </c>
      <c r="C19" s="2818"/>
      <c r="D19" s="2009"/>
      <c r="E19" s="2610"/>
      <c r="F19" s="1231" t="s">
        <v>2545</v>
      </c>
      <c r="G19" s="1005" t="str">
        <f>G5</f>
        <v>估价对象所在区域公共配套设施齐备情况</v>
      </c>
    </row>
    <row r="20" spans="1:7" ht="40.5">
      <c r="A20" s="2613"/>
      <c r="B20" s="1247" t="s">
        <v>1661</v>
      </c>
      <c r="C20" s="1246" t="str">
        <f>C9</f>
        <v>区域自然环境：；人文环境；综合评价环境状况一般</v>
      </c>
      <c r="D20" s="2010"/>
      <c r="E20" s="2610"/>
      <c r="F20" s="1231" t="s">
        <v>2546</v>
      </c>
      <c r="G20" s="1005" t="str">
        <f>G6</f>
        <v>估价对象所在区域基础设施水平</v>
      </c>
    </row>
    <row r="21" spans="1:7" ht="27">
      <c r="A21" s="2613"/>
      <c r="B21" s="1231" t="s">
        <v>2545</v>
      </c>
      <c r="C21" s="1005" t="str">
        <f>C7</f>
        <v>估价对象所在区域公共配套设施齐备情况</v>
      </c>
      <c r="D21" s="2009"/>
      <c r="E21" s="2610"/>
      <c r="F21" s="1247" t="s">
        <v>1662</v>
      </c>
      <c r="G21" s="3112"/>
    </row>
    <row r="22" spans="1:7" ht="27">
      <c r="A22" s="2613"/>
      <c r="B22" s="1231" t="s">
        <v>2546</v>
      </c>
      <c r="C22" s="1005" t="str">
        <f>C8</f>
        <v>估价对象所在区域基础设施水平</v>
      </c>
      <c r="D22" s="2009"/>
      <c r="E22" s="2610"/>
      <c r="F22" s="1247" t="s">
        <v>1672</v>
      </c>
      <c r="G22" s="2818"/>
    </row>
    <row r="23" spans="1:7" ht="15" thickBot="1">
      <c r="A23" s="2613"/>
      <c r="B23" s="1247" t="s">
        <v>1662</v>
      </c>
      <c r="C23" s="3112"/>
      <c r="E23" s="2611"/>
      <c r="F23" s="1248" t="s">
        <v>1676</v>
      </c>
      <c r="G23" s="3113"/>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5" sqref="B15:D15"/>
    </sheetView>
  </sheetViews>
  <sheetFormatPr defaultColWidth="14.625" defaultRowHeight="13.5"/>
  <cols>
    <col min="1" max="1" width="24.375" customWidth="1"/>
  </cols>
  <sheetData>
    <row r="1" spans="1:9" ht="16.5">
      <c r="A1" s="3070" t="s">
        <v>2843</v>
      </c>
      <c r="B1" s="3070">
        <f>SUM(B14:B23)</f>
        <v>118149</v>
      </c>
      <c r="C1" s="3071"/>
      <c r="D1" s="3071"/>
      <c r="E1" s="3071"/>
      <c r="F1" s="3071"/>
    </row>
    <row r="2" spans="1:9" ht="16.5">
      <c r="A2" s="3070" t="s">
        <v>2844</v>
      </c>
      <c r="B2" s="3070">
        <f>SUM(C14:C23)</f>
        <v>15753.2</v>
      </c>
      <c r="C2" s="3071"/>
      <c r="D2" s="3071"/>
      <c r="E2" s="3071"/>
      <c r="F2" s="3071"/>
    </row>
    <row r="3" spans="1:9" ht="16.5">
      <c r="A3" s="3070" t="s">
        <v>2845</v>
      </c>
      <c r="B3" s="3072">
        <f>项目基本情况!D3</f>
        <v>43244</v>
      </c>
      <c r="C3" s="3071"/>
      <c r="D3" s="3071"/>
      <c r="E3" s="3071"/>
      <c r="F3" s="3071"/>
    </row>
    <row r="4" spans="1:9" ht="33">
      <c r="A4" s="3070" t="s">
        <v>2846</v>
      </c>
      <c r="B4" s="3070" t="s">
        <v>2847</v>
      </c>
      <c r="C4" s="3070" t="s">
        <v>2848</v>
      </c>
      <c r="D4" s="3070" t="s">
        <v>2849</v>
      </c>
      <c r="E4" s="3071"/>
      <c r="F4" s="3071"/>
    </row>
    <row r="5" spans="1:9" ht="16.5">
      <c r="A5" s="3070" t="s">
        <v>2850</v>
      </c>
      <c r="B5" s="3070">
        <f ca="1">SUM(D14:D23)</f>
        <v>101072</v>
      </c>
      <c r="C5" s="3070">
        <f ca="1">ROUND(B5*10000/$B$1,0)</f>
        <v>8555</v>
      </c>
      <c r="D5" s="3070">
        <f ca="1">ROUND(B5*10000/$B$2,0)</f>
        <v>64160</v>
      </c>
      <c r="E5" s="3071"/>
      <c r="F5" s="3071"/>
    </row>
    <row r="6" spans="1:9" ht="16.5">
      <c r="A6" s="3070" t="s">
        <v>2851</v>
      </c>
      <c r="B6" s="3070">
        <f>SUM(G14:G23)</f>
        <v>0</v>
      </c>
      <c r="C6" s="3070">
        <f>ROUND(B6*10000/$B$1,0)</f>
        <v>0</v>
      </c>
      <c r="D6" s="3070">
        <f>ROUND(B6*10000/$B$2,0)</f>
        <v>0</v>
      </c>
      <c r="E6" s="3071"/>
      <c r="F6" s="3071"/>
    </row>
    <row r="7" spans="1:9" ht="16.5">
      <c r="A7" s="3070" t="s">
        <v>2852</v>
      </c>
      <c r="B7" s="3070">
        <f>SUM(H14:H23)</f>
        <v>0</v>
      </c>
      <c r="C7" s="3070">
        <f>ROUND(B7*10000/$B$1,0)</f>
        <v>0</v>
      </c>
      <c r="D7" s="3070">
        <f>ROUND(B7*10000/$B$2,0)</f>
        <v>0</v>
      </c>
      <c r="E7" s="3071"/>
      <c r="F7" s="3071"/>
    </row>
    <row r="8" spans="1:9" ht="16.5">
      <c r="A8" s="3070" t="s">
        <v>2853</v>
      </c>
      <c r="B8" s="3070">
        <f>SUM(I14:I23)</f>
        <v>0</v>
      </c>
      <c r="C8" s="3070">
        <f>ROUND(B8*10000/$B$1,0)</f>
        <v>0</v>
      </c>
      <c r="D8" s="3070">
        <f>ROUND(B8*10000/$B$2,0)</f>
        <v>0</v>
      </c>
      <c r="E8" s="3071"/>
      <c r="F8" s="3071"/>
    </row>
    <row r="9" spans="1:9" ht="16.5">
      <c r="A9" s="3070" t="s">
        <v>2854</v>
      </c>
      <c r="B9" s="3073"/>
      <c r="C9" s="3071"/>
      <c r="D9" s="3071"/>
      <c r="E9" s="3071"/>
      <c r="F9" s="3071"/>
    </row>
    <row r="10" spans="1:9" ht="16.5">
      <c r="A10" s="3070" t="s">
        <v>2855</v>
      </c>
      <c r="B10" s="3073"/>
      <c r="C10" s="3071"/>
      <c r="D10" s="3071"/>
      <c r="E10" s="3071"/>
      <c r="F10" s="3071"/>
    </row>
    <row r="11" spans="1:9" ht="16.5">
      <c r="A11" s="3070" t="s">
        <v>2872</v>
      </c>
      <c r="B11" s="3073"/>
      <c r="C11" s="3071"/>
      <c r="D11" s="3071"/>
      <c r="E11" s="3071"/>
      <c r="F11" s="3071"/>
    </row>
    <row r="12" spans="1:9" ht="16.5">
      <c r="A12" s="3071"/>
      <c r="B12" s="3071"/>
      <c r="C12" s="3071"/>
      <c r="D12" s="3071"/>
      <c r="E12" s="3071"/>
      <c r="F12" s="3071"/>
    </row>
    <row r="13" spans="1:9" ht="33">
      <c r="A13" s="3076" t="s">
        <v>2871</v>
      </c>
      <c r="B13" s="3074" t="s">
        <v>2843</v>
      </c>
      <c r="C13" s="3074" t="s">
        <v>2844</v>
      </c>
      <c r="D13" s="3074" t="s">
        <v>2856</v>
      </c>
      <c r="E13" s="3070" t="s">
        <v>2870</v>
      </c>
      <c r="F13" s="3070" t="s">
        <v>2849</v>
      </c>
      <c r="G13" s="3074" t="s">
        <v>2857</v>
      </c>
      <c r="H13" s="3074" t="s">
        <v>2858</v>
      </c>
      <c r="I13" s="3074" t="s">
        <v>2859</v>
      </c>
    </row>
    <row r="14" spans="1:9" ht="16.5">
      <c r="A14" s="3077" t="s">
        <v>2869</v>
      </c>
      <c r="B14" s="3074">
        <f>结果表!L38</f>
        <v>59074.5</v>
      </c>
      <c r="C14" s="3074">
        <f>结果表!K38</f>
        <v>7876.6</v>
      </c>
      <c r="D14" s="3074">
        <f ca="1">结果表!C42</f>
        <v>50536</v>
      </c>
      <c r="E14" s="3074">
        <f ca="1">ROUND(D14*10000/B14,0)</f>
        <v>8555</v>
      </c>
      <c r="F14" s="3074">
        <f ca="1">ROUND(D14*10000/C14,0)</f>
        <v>64160</v>
      </c>
      <c r="G14" s="3074" t="str">
        <f>结果表!C44</f>
        <v>——</v>
      </c>
      <c r="H14" s="3074" t="str">
        <f>结果表!C45</f>
        <v>——</v>
      </c>
      <c r="I14" s="3074" t="str">
        <f>结果表!C46</f>
        <v>——</v>
      </c>
    </row>
    <row r="15" spans="1:9" ht="16.5">
      <c r="A15" s="3077" t="s">
        <v>2860</v>
      </c>
      <c r="B15" s="3078">
        <f>B14</f>
        <v>59074.5</v>
      </c>
      <c r="C15" s="3078">
        <f t="shared" ref="C15:D15" si="0">C14</f>
        <v>7876.6</v>
      </c>
      <c r="D15" s="3078">
        <f t="shared" ca="1" si="0"/>
        <v>50536</v>
      </c>
      <c r="E15" s="3074">
        <f t="shared" ref="E15:E23" ca="1" si="1">ROUND(D15*10000/B15,0)</f>
        <v>8555</v>
      </c>
      <c r="F15" s="3074">
        <f t="shared" ref="F15:F23" ca="1" si="2">ROUND(D15*10000/C15,0)</f>
        <v>64160</v>
      </c>
      <c r="G15" s="3075"/>
      <c r="H15" s="3075"/>
      <c r="I15" s="3078"/>
    </row>
    <row r="16" spans="1:9" ht="16.5">
      <c r="A16" s="3077" t="s">
        <v>2861</v>
      </c>
      <c r="B16" s="3078"/>
      <c r="C16" s="3078"/>
      <c r="D16" s="3078"/>
      <c r="E16" s="3074" t="e">
        <f t="shared" si="1"/>
        <v>#DIV/0!</v>
      </c>
      <c r="F16" s="3074" t="e">
        <f t="shared" si="2"/>
        <v>#DIV/0!</v>
      </c>
      <c r="G16" s="3075"/>
      <c r="H16" s="3075"/>
      <c r="I16" s="3078"/>
    </row>
    <row r="17" spans="1:9" ht="16.5">
      <c r="A17" s="3077" t="s">
        <v>2862</v>
      </c>
      <c r="B17" s="3078"/>
      <c r="C17" s="3078"/>
      <c r="D17" s="3078"/>
      <c r="E17" s="3074" t="e">
        <f t="shared" si="1"/>
        <v>#DIV/0!</v>
      </c>
      <c r="F17" s="3074" t="e">
        <f t="shared" si="2"/>
        <v>#DIV/0!</v>
      </c>
      <c r="G17" s="3075"/>
      <c r="H17" s="3075"/>
      <c r="I17" s="3078"/>
    </row>
    <row r="18" spans="1:9" ht="16.5">
      <c r="A18" s="3077" t="s">
        <v>2863</v>
      </c>
      <c r="B18" s="3078"/>
      <c r="C18" s="3078"/>
      <c r="D18" s="3078"/>
      <c r="E18" s="3074" t="e">
        <f t="shared" si="1"/>
        <v>#DIV/0!</v>
      </c>
      <c r="F18" s="3074" t="e">
        <f t="shared" si="2"/>
        <v>#DIV/0!</v>
      </c>
      <c r="G18" s="3078"/>
      <c r="H18" s="3078"/>
      <c r="I18" s="3078"/>
    </row>
    <row r="19" spans="1:9" ht="16.5">
      <c r="A19" s="3077" t="s">
        <v>2864</v>
      </c>
      <c r="B19" s="3078"/>
      <c r="C19" s="3078"/>
      <c r="D19" s="3078"/>
      <c r="E19" s="3074" t="e">
        <f t="shared" si="1"/>
        <v>#DIV/0!</v>
      </c>
      <c r="F19" s="3074" t="e">
        <f t="shared" si="2"/>
        <v>#DIV/0!</v>
      </c>
      <c r="G19" s="3078"/>
      <c r="H19" s="3078"/>
      <c r="I19" s="3078"/>
    </row>
    <row r="20" spans="1:9" ht="16.5">
      <c r="A20" s="3077" t="s">
        <v>2865</v>
      </c>
      <c r="B20" s="3078"/>
      <c r="C20" s="3078"/>
      <c r="D20" s="3078"/>
      <c r="E20" s="3074" t="e">
        <f t="shared" si="1"/>
        <v>#DIV/0!</v>
      </c>
      <c r="F20" s="3074" t="e">
        <f t="shared" si="2"/>
        <v>#DIV/0!</v>
      </c>
      <c r="G20" s="3078"/>
      <c r="H20" s="3078"/>
      <c r="I20" s="3078"/>
    </row>
    <row r="21" spans="1:9" ht="16.5">
      <c r="A21" s="3077" t="s">
        <v>2866</v>
      </c>
      <c r="B21" s="3078"/>
      <c r="C21" s="3078"/>
      <c r="D21" s="3078"/>
      <c r="E21" s="3074" t="e">
        <f t="shared" si="1"/>
        <v>#DIV/0!</v>
      </c>
      <c r="F21" s="3074" t="e">
        <f t="shared" si="2"/>
        <v>#DIV/0!</v>
      </c>
      <c r="G21" s="3078"/>
      <c r="H21" s="3078"/>
      <c r="I21" s="3078"/>
    </row>
    <row r="22" spans="1:9" ht="16.5">
      <c r="A22" s="3077" t="s">
        <v>2867</v>
      </c>
      <c r="B22" s="3078"/>
      <c r="C22" s="3078"/>
      <c r="D22" s="3078"/>
      <c r="E22" s="3074" t="e">
        <f t="shared" si="1"/>
        <v>#DIV/0!</v>
      </c>
      <c r="F22" s="3074" t="e">
        <f t="shared" si="2"/>
        <v>#DIV/0!</v>
      </c>
      <c r="G22" s="3078"/>
      <c r="H22" s="3078"/>
      <c r="I22" s="3078"/>
    </row>
    <row r="23" spans="1:9" ht="16.5">
      <c r="A23" s="3077" t="s">
        <v>2868</v>
      </c>
      <c r="B23" s="3078"/>
      <c r="C23" s="3078"/>
      <c r="D23" s="3078"/>
      <c r="E23" s="3070" t="e">
        <f t="shared" si="1"/>
        <v>#DIV/0!</v>
      </c>
      <c r="F23" s="3070" t="e">
        <f t="shared" si="2"/>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A102" sqref="A102:H11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3051</v>
      </c>
      <c r="E1" s="1805" t="s">
        <v>2057</v>
      </c>
      <c r="F1" s="1807" t="s">
        <v>3052</v>
      </c>
      <c r="G1" s="311"/>
      <c r="H1" s="311"/>
      <c r="I1" s="311"/>
      <c r="J1" s="2029"/>
      <c r="K1" s="2029"/>
      <c r="L1" s="2029"/>
      <c r="M1" s="2029"/>
      <c r="N1" s="2029"/>
      <c r="O1" s="2029"/>
      <c r="P1" s="2029"/>
      <c r="Q1" s="2029"/>
      <c r="R1" s="2029"/>
      <c r="S1" s="2029"/>
      <c r="T1" s="2029"/>
      <c r="U1" s="2029"/>
      <c r="V1" s="2029"/>
    </row>
    <row r="2" spans="1:22" ht="21.75" customHeight="1" thickBot="1">
      <c r="A2" s="3336" t="str">
        <f>项目基本情况!K2</f>
        <v>广东省汕头市龙湖区海湾公园片区（335-00-02-112）出让国有建设用地使用权</v>
      </c>
      <c r="B2" s="3337"/>
      <c r="C2" s="3338"/>
      <c r="D2" s="3338"/>
      <c r="E2" s="3338"/>
      <c r="F2" s="3338"/>
      <c r="G2" s="3337"/>
      <c r="H2" s="3337"/>
      <c r="I2" s="3339"/>
      <c r="J2" s="2030"/>
      <c r="K2" s="2029"/>
      <c r="L2" s="2029"/>
      <c r="M2" s="2029"/>
      <c r="N2" s="2029"/>
      <c r="O2" s="2029"/>
      <c r="P2" s="2029"/>
      <c r="Q2" s="2029"/>
      <c r="R2" s="2029"/>
      <c r="S2" s="2029"/>
      <c r="T2" s="2029"/>
      <c r="U2" s="2029"/>
      <c r="V2" s="2029"/>
    </row>
    <row r="3" spans="1:22" ht="14.25">
      <c r="A3" s="3347" t="s">
        <v>298</v>
      </c>
      <c r="B3" s="3348"/>
      <c r="C3" s="3348"/>
      <c r="D3" s="3348"/>
      <c r="E3" s="3348"/>
      <c r="F3" s="3348"/>
      <c r="G3" s="3348"/>
      <c r="H3" s="3348"/>
      <c r="I3" s="3348"/>
      <c r="J3" s="2030"/>
      <c r="K3" s="2029"/>
      <c r="L3" s="2029"/>
      <c r="M3" s="2029"/>
      <c r="N3" s="2029"/>
      <c r="O3" s="2029"/>
      <c r="P3" s="2029"/>
      <c r="Q3" s="2029"/>
      <c r="R3" s="2029"/>
      <c r="S3" s="2029"/>
      <c r="T3" s="2029"/>
      <c r="U3" s="2029"/>
      <c r="V3" s="2029"/>
    </row>
    <row r="4" spans="1:22" ht="14.25">
      <c r="A4" s="258" t="s">
        <v>299</v>
      </c>
      <c r="B4" s="259" t="s">
        <v>300</v>
      </c>
      <c r="C4" s="260" t="s">
        <v>3053</v>
      </c>
      <c r="D4" s="260" t="s">
        <v>3054</v>
      </c>
      <c r="E4" s="3311" t="s">
        <v>301</v>
      </c>
      <c r="F4" s="3353"/>
      <c r="G4" s="3353"/>
      <c r="H4" s="3353"/>
      <c r="I4" s="331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40" t="s">
        <v>302</v>
      </c>
      <c r="B5" s="3341">
        <v>25</v>
      </c>
      <c r="C5" s="3349"/>
      <c r="D5" s="3352"/>
      <c r="E5" s="261" t="s">
        <v>303</v>
      </c>
      <c r="F5" s="262"/>
      <c r="G5" s="262"/>
      <c r="H5" s="262"/>
      <c r="I5" s="263"/>
      <c r="J5" s="2030"/>
      <c r="K5" s="2029"/>
      <c r="L5" s="2029"/>
      <c r="M5" s="2029"/>
      <c r="N5" s="2029"/>
      <c r="O5" s="2029"/>
      <c r="P5" s="2029"/>
      <c r="Q5" s="2029"/>
      <c r="R5" s="2029"/>
      <c r="S5" s="2029"/>
      <c r="T5" s="2029"/>
      <c r="U5" s="2029"/>
      <c r="V5" s="2029"/>
    </row>
    <row r="6" spans="1:22" ht="14.25">
      <c r="A6" s="3340"/>
      <c r="B6" s="3341"/>
      <c r="C6" s="3350"/>
      <c r="D6" s="3352"/>
      <c r="E6" s="261" t="s">
        <v>304</v>
      </c>
      <c r="F6" s="262"/>
      <c r="G6" s="262"/>
      <c r="H6" s="262"/>
      <c r="I6" s="263"/>
      <c r="J6" s="2030"/>
      <c r="K6" s="2029"/>
      <c r="L6" s="2029"/>
      <c r="M6" s="2029"/>
      <c r="N6" s="2029"/>
      <c r="O6" s="2029"/>
      <c r="P6" s="2029"/>
      <c r="Q6" s="2029"/>
      <c r="R6" s="2029"/>
      <c r="S6" s="2029"/>
      <c r="T6" s="2029"/>
      <c r="U6" s="2029"/>
      <c r="V6" s="2029"/>
    </row>
    <row r="7" spans="1:22" ht="14.25">
      <c r="A7" s="3340"/>
      <c r="B7" s="3341"/>
      <c r="C7" s="3351"/>
      <c r="D7" s="3352"/>
      <c r="E7" s="261" t="s">
        <v>305</v>
      </c>
      <c r="F7" s="262"/>
      <c r="G7" s="262"/>
      <c r="H7" s="262"/>
      <c r="I7" s="263"/>
      <c r="J7" s="2030"/>
      <c r="K7" s="2029"/>
      <c r="L7" s="2029"/>
      <c r="M7" s="2029"/>
      <c r="N7" s="2029"/>
      <c r="O7" s="2029"/>
      <c r="P7" s="2029"/>
      <c r="Q7" s="2029"/>
      <c r="R7" s="2029"/>
      <c r="S7" s="2029"/>
      <c r="T7" s="2029"/>
      <c r="U7" s="2029"/>
      <c r="V7" s="2029"/>
    </row>
    <row r="8" spans="1:22" ht="14.25">
      <c r="A8" s="3340" t="s">
        <v>306</v>
      </c>
      <c r="B8" s="3341">
        <v>15</v>
      </c>
      <c r="C8" s="3349"/>
      <c r="D8" s="3352"/>
      <c r="E8" s="261" t="s">
        <v>307</v>
      </c>
      <c r="F8" s="262"/>
      <c r="G8" s="262"/>
      <c r="H8" s="262"/>
      <c r="I8" s="263"/>
      <c r="J8" s="2030"/>
      <c r="K8" s="2029"/>
      <c r="L8" s="2029"/>
      <c r="M8" s="2029"/>
      <c r="N8" s="2029"/>
      <c r="O8" s="2029"/>
      <c r="P8" s="2029"/>
      <c r="Q8" s="2029"/>
      <c r="R8" s="2029"/>
      <c r="S8" s="2029"/>
      <c r="T8" s="2029"/>
      <c r="U8" s="2029"/>
      <c r="V8" s="2029"/>
    </row>
    <row r="9" spans="1:22" ht="14.25">
      <c r="A9" s="3340"/>
      <c r="B9" s="3341"/>
      <c r="C9" s="3351"/>
      <c r="D9" s="3352"/>
      <c r="E9" s="261" t="s">
        <v>308</v>
      </c>
      <c r="F9" s="262"/>
      <c r="G9" s="262"/>
      <c r="H9" s="262"/>
      <c r="I9" s="263"/>
      <c r="J9" s="2030"/>
      <c r="K9" s="2029"/>
      <c r="L9" s="2029"/>
      <c r="M9" s="2029"/>
      <c r="N9" s="2029"/>
      <c r="O9" s="2029"/>
      <c r="P9" s="2029"/>
      <c r="Q9" s="2029"/>
      <c r="R9" s="2029"/>
      <c r="S9" s="2029"/>
      <c r="T9" s="2029"/>
      <c r="U9" s="2029"/>
      <c r="V9" s="2029"/>
    </row>
    <row r="10" spans="1:22" ht="14.25">
      <c r="A10" s="3340" t="s">
        <v>309</v>
      </c>
      <c r="B10" s="3341">
        <v>15</v>
      </c>
      <c r="C10" s="3349"/>
      <c r="D10" s="335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40"/>
      <c r="B11" s="3341"/>
      <c r="C11" s="3351"/>
      <c r="D11" s="335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40" t="s">
        <v>312</v>
      </c>
      <c r="B12" s="3341">
        <v>15</v>
      </c>
      <c r="C12" s="3349"/>
      <c r="D12" s="335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40"/>
      <c r="B13" s="3341"/>
      <c r="C13" s="3351"/>
      <c r="D13" s="335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40" t="s">
        <v>315</v>
      </c>
      <c r="B14" s="3341">
        <v>30</v>
      </c>
      <c r="C14" s="3354">
        <v>5</v>
      </c>
      <c r="D14" s="3357">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40"/>
      <c r="B15" s="3341"/>
      <c r="C15" s="3355"/>
      <c r="D15" s="3357"/>
      <c r="E15" s="261" t="s">
        <v>317</v>
      </c>
      <c r="F15" s="262"/>
      <c r="G15" s="262"/>
      <c r="H15" s="262"/>
      <c r="I15" s="263"/>
      <c r="J15" s="2030"/>
      <c r="K15" s="2029"/>
      <c r="L15" s="2029"/>
      <c r="M15" s="2029"/>
      <c r="N15" s="2029"/>
      <c r="O15" s="2029"/>
      <c r="P15" s="2029"/>
      <c r="Q15" s="2029"/>
      <c r="R15" s="2029"/>
      <c r="S15" s="2029"/>
      <c r="T15" s="2029"/>
      <c r="U15" s="2029"/>
      <c r="V15" s="2029"/>
    </row>
    <row r="16" spans="1:22" ht="14.25">
      <c r="A16" s="3340"/>
      <c r="B16" s="3341"/>
      <c r="C16" s="3356"/>
      <c r="D16" s="335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55601</v>
      </c>
      <c r="D19" s="271">
        <f ca="1">SUMIF(INDIRECT("'"&amp;D4&amp;"'"&amp;"!A:A"),结果表!B19,INDIRECT("'"&amp;D4&amp;"'"&amp;"!B:B"))</f>
        <v>45471</v>
      </c>
      <c r="E19" s="268" t="s">
        <v>323</v>
      </c>
      <c r="F19" s="269" t="s">
        <v>322</v>
      </c>
      <c r="G19" s="272">
        <f ca="1">ROUND(C19*$C$18+D19*$D$18,0)</f>
        <v>50536</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9412</v>
      </c>
      <c r="D20" s="277">
        <f ca="1">SUMIF(INDIRECT("'"&amp;D4&amp;"'"&amp;"!A:A"),结果表!B20,INDIRECT("'"&amp;D4&amp;"'"&amp;"!B:B"))</f>
        <v>7697</v>
      </c>
      <c r="E20" s="274"/>
      <c r="F20" s="275" t="s">
        <v>325</v>
      </c>
      <c r="G20" s="278">
        <f ca="1">ROUND(C20*$C$18+D20*$D$18,0)</f>
        <v>8555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70590</v>
      </c>
      <c r="D21" s="151">
        <f ca="1">SUMIF(INDIRECT("'"&amp;D4&amp;"'"&amp;"!A:A"),结果表!B21,INDIRECT("'"&amp;D4&amp;"'"&amp;"!B:B"))</f>
        <v>57729</v>
      </c>
      <c r="E21" s="274"/>
      <c r="F21" s="280" t="s">
        <v>327</v>
      </c>
      <c r="G21" s="282">
        <f ca="1">ROUND(C21*$C$18+D21*$D$18,0)</f>
        <v>64160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0.22277935387389758</v>
      </c>
      <c r="E22" s="284"/>
      <c r="F22" s="285"/>
      <c r="G22" s="286">
        <f ca="1">ROUND(G19/('数据-汇总表'!D3/666.67),0)</f>
        <v>4277</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59"/>
      <c r="B25" s="1321" t="s">
        <v>331</v>
      </c>
      <c r="C25" s="290">
        <f>IF(B30=0,0,C30)</f>
        <v>0</v>
      </c>
      <c r="D25" s="291"/>
      <c r="E25" s="311"/>
      <c r="F25" s="311"/>
      <c r="G25" s="311"/>
      <c r="H25" s="311"/>
      <c r="I25" s="311"/>
      <c r="J25" s="2029"/>
      <c r="K25" s="1255" t="str">
        <f ca="1">项目基本情况!B16&amp;"国有建设用地使用权价格："&amp;O38&amp;"万元"</f>
        <v>出让国有建设用地使用权价格：50536万元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大写金额：人民币伍亿零伍佰叁拾陆万元整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单位面积地价：64160元/平方米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楼面地价：8555元/平方米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1" t="s">
        <v>336</v>
      </c>
      <c r="B30" s="309"/>
      <c r="C30" s="309"/>
      <c r="D30" s="310"/>
      <c r="E30" s="3162" t="s">
        <v>2966</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337</v>
      </c>
      <c r="B32" s="1382" t="s">
        <v>1689</v>
      </c>
      <c r="C32" s="1383">
        <f ca="1">G19-C24</f>
        <v>50536</v>
      </c>
      <c r="D32" s="1384" t="s">
        <v>1690</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340</v>
      </c>
      <c r="B33" s="1385" t="s">
        <v>1691</v>
      </c>
      <c r="C33" s="264">
        <f ca="1">ROUND(C32*10000/'数据-汇总表'!E3,0)</f>
        <v>8555</v>
      </c>
      <c r="D33" s="1386" t="s">
        <v>1692</v>
      </c>
      <c r="E33" s="3313"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64160</v>
      </c>
      <c r="D34" s="1388" t="s">
        <v>1692</v>
      </c>
      <c r="E34" s="3314"/>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4277</v>
      </c>
      <c r="D35" s="1391" t="s">
        <v>1694</v>
      </c>
      <c r="E35" s="3315"/>
      <c r="F35" s="301" t="s">
        <v>342</v>
      </c>
      <c r="G35" s="982"/>
      <c r="H35" s="981" t="s">
        <v>343</v>
      </c>
      <c r="I35" s="311"/>
      <c r="J35" s="2029"/>
      <c r="K35" s="3319" t="s">
        <v>350</v>
      </c>
      <c r="L35" s="3319" t="s">
        <v>351</v>
      </c>
      <c r="M35" s="1264" t="s">
        <v>352</v>
      </c>
      <c r="N35" s="3319" t="s">
        <v>353</v>
      </c>
      <c r="O35" s="3319" t="s">
        <v>354</v>
      </c>
      <c r="P35" s="2029"/>
      <c r="V35" s="2029"/>
    </row>
    <row r="36" spans="1:26" ht="16.5" customHeight="1">
      <c r="A36" s="303" t="s">
        <v>344</v>
      </c>
      <c r="B36" s="304" t="s">
        <v>333</v>
      </c>
      <c r="C36" s="305" t="s">
        <v>345</v>
      </c>
      <c r="D36" s="305" t="s">
        <v>346</v>
      </c>
      <c r="E36" s="306" t="s">
        <v>347</v>
      </c>
      <c r="F36" s="311"/>
      <c r="G36" s="311"/>
      <c r="H36" s="311"/>
      <c r="I36" s="311"/>
      <c r="J36" s="2031"/>
      <c r="K36" s="3320"/>
      <c r="L36" s="3320"/>
      <c r="M36" s="1266" t="s">
        <v>355</v>
      </c>
      <c r="N36" s="3320"/>
      <c r="O36" s="3320"/>
      <c r="P36" s="2029"/>
      <c r="V36" s="2029"/>
    </row>
    <row r="37" spans="1:26" ht="16.5" customHeight="1" thickBot="1">
      <c r="A37" s="1260" t="s">
        <v>348</v>
      </c>
      <c r="B37" s="307"/>
      <c r="C37" s="294"/>
      <c r="D37" s="294"/>
      <c r="E37" s="295"/>
      <c r="F37" s="311"/>
      <c r="G37" s="311"/>
      <c r="H37" s="311"/>
      <c r="I37" s="311"/>
      <c r="J37" s="2031"/>
      <c r="K37" s="3321"/>
      <c r="L37" s="3321"/>
      <c r="M37" s="1267"/>
      <c r="N37" s="3321"/>
      <c r="O37" s="3321"/>
      <c r="P37" s="2029"/>
      <c r="V37" s="2029"/>
    </row>
    <row r="38" spans="1:26" ht="16.5" customHeight="1" thickBot="1">
      <c r="A38" s="1260" t="s">
        <v>349</v>
      </c>
      <c r="B38" s="307"/>
      <c r="C38" s="294"/>
      <c r="D38" s="294"/>
      <c r="E38" s="295"/>
      <c r="F38" s="311"/>
      <c r="G38" s="311"/>
      <c r="H38" s="311"/>
      <c r="I38" s="311"/>
      <c r="J38" s="2031"/>
      <c r="K38" s="1268">
        <f>'数据-汇总表'!D3</f>
        <v>7876.6</v>
      </c>
      <c r="L38" s="1269">
        <f>'数据-汇总表'!E3</f>
        <v>59074.5</v>
      </c>
      <c r="M38" s="1269">
        <f ca="1">C34</f>
        <v>64160</v>
      </c>
      <c r="N38" s="1269">
        <f ca="1">C33</f>
        <v>8555</v>
      </c>
      <c r="O38" s="1270">
        <f ca="1">C32</f>
        <v>50536</v>
      </c>
      <c r="P38" s="2029"/>
      <c r="V38" s="2029"/>
    </row>
    <row r="39" spans="1:26" ht="16.5" customHeight="1" thickBot="1">
      <c r="A39" s="1265"/>
      <c r="B39" s="308"/>
      <c r="C39" s="309"/>
      <c r="D39" s="309"/>
      <c r="E39" s="310"/>
      <c r="F39" s="311"/>
      <c r="G39" s="311"/>
      <c r="H39" s="311"/>
      <c r="I39" s="311"/>
      <c r="J39" s="2031"/>
      <c r="K39" s="3296" t="str">
        <f>MID(A44,3,LEN(A44)-2)</f>
        <v/>
      </c>
      <c r="L39" s="3297"/>
      <c r="M39" s="3297"/>
      <c r="N39" s="3298"/>
      <c r="O39" s="1393" t="str">
        <f>C44</f>
        <v>——</v>
      </c>
      <c r="P39" s="2029"/>
      <c r="V39" s="2029"/>
    </row>
    <row r="40" spans="1:26" ht="19.5" thickBot="1">
      <c r="A40" s="104" t="s">
        <v>873</v>
      </c>
      <c r="B40" s="311"/>
      <c r="C40" s="311"/>
      <c r="D40" s="311"/>
      <c r="E40" s="311"/>
      <c r="F40" s="311"/>
      <c r="G40" s="311"/>
      <c r="H40" s="311"/>
      <c r="I40" s="311"/>
      <c r="J40" s="2031"/>
      <c r="K40" s="3296" t="str">
        <f>MID(A45,3,LEN(A45)-2)</f>
        <v/>
      </c>
      <c r="L40" s="3297"/>
      <c r="M40" s="3297"/>
      <c r="N40" s="3298"/>
      <c r="O40" s="1393" t="str">
        <f>C45</f>
        <v>——</v>
      </c>
      <c r="P40" s="2029"/>
      <c r="V40" s="2029"/>
    </row>
    <row r="41" spans="1:26" ht="16.5" thickBot="1">
      <c r="A41" s="312" t="s">
        <v>356</v>
      </c>
      <c r="B41" s="313"/>
      <c r="C41" s="314" t="s">
        <v>357</v>
      </c>
      <c r="D41" s="315" t="s">
        <v>358</v>
      </c>
      <c r="E41" s="315" t="s">
        <v>359</v>
      </c>
      <c r="F41" s="316" t="s">
        <v>360</v>
      </c>
      <c r="G41" s="311"/>
      <c r="H41" s="311"/>
      <c r="I41" s="311"/>
      <c r="J41" s="2031"/>
      <c r="K41" s="3296" t="str">
        <f>MID(A46,3,LEN(A46)-2)</f>
        <v/>
      </c>
      <c r="L41" s="3297"/>
      <c r="M41" s="3297"/>
      <c r="N41" s="3298"/>
      <c r="O41" s="1393" t="str">
        <f>C46</f>
        <v>——</v>
      </c>
      <c r="P41" s="2029"/>
      <c r="V41" s="2029"/>
    </row>
    <row r="42" spans="1:26" ht="29.25">
      <c r="A42" s="3360" t="s">
        <v>2067</v>
      </c>
      <c r="B42" s="3361"/>
      <c r="C42" s="264">
        <f ca="1">C32</f>
        <v>50536</v>
      </c>
      <c r="D42" s="317">
        <f ca="1">C33</f>
        <v>8555</v>
      </c>
      <c r="E42" s="317">
        <f ca="1">C34</f>
        <v>64160</v>
      </c>
      <c r="F42" s="318">
        <f ca="1">C35</f>
        <v>4277</v>
      </c>
      <c r="G42" s="311"/>
      <c r="H42" s="311"/>
      <c r="I42" s="319"/>
      <c r="J42" s="2031"/>
      <c r="K42" s="1271" t="s">
        <v>361</v>
      </c>
      <c r="L42" s="2048" t="s">
        <v>362</v>
      </c>
      <c r="M42" s="1272" t="s">
        <v>363</v>
      </c>
      <c r="N42" s="2049" t="s">
        <v>364</v>
      </c>
      <c r="O42" s="2050" t="s">
        <v>365</v>
      </c>
      <c r="P42" s="2029"/>
      <c r="V42" s="2029"/>
    </row>
    <row r="43" spans="1:26" ht="30">
      <c r="A43" s="3370" t="s">
        <v>2729</v>
      </c>
      <c r="B43" s="3371"/>
      <c r="C43" s="264">
        <f>IF(H33="正常操作",G33+G34+G35,G34+G35)</f>
        <v>0</v>
      </c>
      <c r="D43" s="317" t="s">
        <v>43</v>
      </c>
      <c r="E43" s="317" t="s">
        <v>44</v>
      </c>
      <c r="F43" s="318" t="s">
        <v>44</v>
      </c>
      <c r="G43" s="2891" t="s">
        <v>952</v>
      </c>
      <c r="H43" s="311"/>
      <c r="I43" s="319"/>
      <c r="J43" s="2031"/>
      <c r="K43" s="1273" t="str">
        <f>C4</f>
        <v>比较法-住宅、综合</v>
      </c>
      <c r="L43" s="1274">
        <f ca="1">IF(L42="估价结果/万元",C19,C20)</f>
        <v>55601</v>
      </c>
      <c r="M43" s="1275">
        <f>C18</f>
        <v>0.5</v>
      </c>
      <c r="N43" s="1276">
        <f ca="1">IF(N42="测算结果/万元",G19,G20)</f>
        <v>50536</v>
      </c>
      <c r="O43" s="1277">
        <f ca="1">IF(O42="最终结果/万元",C32,C33)</f>
        <v>50536</v>
      </c>
      <c r="P43" s="2029"/>
      <c r="V43" s="2029"/>
    </row>
    <row r="44" spans="1:26" ht="30.75" thickBot="1">
      <c r="A44" s="3360" t="str">
        <f>IF(OR(项目基本情况!E8="抵押价格",项目基本情况!E8="已注销及未注销"),"3.抵押价格","——")</f>
        <v>——</v>
      </c>
      <c r="B44" s="3361"/>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45471</v>
      </c>
      <c r="M44" s="1280">
        <f>D18</f>
        <v>0.5</v>
      </c>
      <c r="N44" s="1281"/>
      <c r="O44" s="1282"/>
      <c r="P44" s="2029"/>
      <c r="V44" s="2029"/>
    </row>
    <row r="45" spans="1:26" ht="15">
      <c r="A45" s="3365" t="str">
        <f>IF(项目基本情况!E8="已注销及未注销","4.抵押担保权已注销时的抵押价格",IF(项目基本情况!E8="已注销","3.抵押担保权已注销时的抵押价格","——"))</f>
        <v>——</v>
      </c>
      <c r="B45" s="336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62" t="str">
        <f>IF(项目基本情况!E9="抵押净值",IF(A45="——","4.抵押净值","5.抵押净值"),"——")</f>
        <v>——</v>
      </c>
      <c r="B46" s="336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4" t="s">
        <v>374</v>
      </c>
      <c r="B63" s="3325"/>
      <c r="C63" s="3326"/>
      <c r="D63" s="341">
        <f ca="1">ROUND(C42*F63,0)</f>
        <v>50536</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67" t="s">
        <v>378</v>
      </c>
      <c r="B64" s="3368"/>
      <c r="C64" s="3368"/>
      <c r="D64" s="3368"/>
      <c r="E64" s="3368"/>
      <c r="F64" s="3368"/>
      <c r="G64" s="3369"/>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64" t="s">
        <v>386</v>
      </c>
      <c r="B66" s="3331"/>
      <c r="C66" s="3331"/>
      <c r="D66" s="261">
        <f ca="1">IF(H66="情况1",0,IF(H66="情况2",D70,IF(H66="情况3",D71,IF(H66="情况4",D72))))</f>
        <v>2695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00" t="s">
        <v>385</v>
      </c>
      <c r="M66" s="3301"/>
      <c r="N66" s="2483"/>
      <c r="O66" s="2484"/>
      <c r="P66" s="2485"/>
      <c r="Q66" s="2029"/>
      <c r="R66" s="2029"/>
      <c r="S66" s="2029"/>
      <c r="T66" s="2029"/>
      <c r="U66" s="2029"/>
      <c r="V66" s="2029"/>
    </row>
    <row r="67" spans="1:22" ht="25.5" customHeight="1">
      <c r="A67" s="352" t="s">
        <v>390</v>
      </c>
      <c r="B67" s="3343" t="s">
        <v>391</v>
      </c>
      <c r="C67" s="3343"/>
      <c r="D67" s="353">
        <v>0</v>
      </c>
      <c r="E67" s="41" t="s">
        <v>392</v>
      </c>
      <c r="F67" s="62" t="s">
        <v>21</v>
      </c>
      <c r="G67" s="3327"/>
      <c r="H67" s="311"/>
      <c r="I67" s="1292"/>
      <c r="J67" s="2036"/>
      <c r="K67" s="1977">
        <v>2</v>
      </c>
      <c r="L67" s="3299" t="s">
        <v>389</v>
      </c>
      <c r="M67" s="3299"/>
      <c r="N67" s="1325">
        <f>'数据-取费表'!B2</f>
        <v>43244</v>
      </c>
      <c r="O67" s="1325"/>
      <c r="P67" s="1325"/>
      <c r="Q67" s="2029"/>
      <c r="R67" s="2029"/>
      <c r="S67" s="2029"/>
      <c r="T67" s="2029"/>
      <c r="U67" s="2029"/>
      <c r="V67" s="2029"/>
    </row>
    <row r="68" spans="1:22" ht="25.5" customHeight="1">
      <c r="A68" s="354"/>
      <c r="B68" s="3343" t="s">
        <v>394</v>
      </c>
      <c r="C68" s="3343"/>
      <c r="D68" s="355"/>
      <c r="E68" s="77"/>
      <c r="F68" s="356"/>
      <c r="G68" s="3328"/>
      <c r="H68" s="311"/>
      <c r="I68" s="1292"/>
      <c r="J68" s="2036"/>
      <c r="K68" s="1977">
        <v>3</v>
      </c>
      <c r="L68" s="3299" t="s">
        <v>393</v>
      </c>
      <c r="M68" s="3299"/>
      <c r="N68" s="1293">
        <f ca="1">C42</f>
        <v>50536</v>
      </c>
      <c r="O68" s="1293"/>
      <c r="P68" s="1293"/>
      <c r="Q68" s="2029"/>
      <c r="R68" s="2029"/>
      <c r="S68" s="2029"/>
      <c r="T68" s="2029"/>
      <c r="U68" s="2029"/>
      <c r="V68" s="2029"/>
    </row>
    <row r="69" spans="1:22" ht="12" customHeight="1">
      <c r="A69" s="357"/>
      <c r="B69" s="3343" t="s">
        <v>395</v>
      </c>
      <c r="C69" s="3343"/>
      <c r="D69" s="358"/>
      <c r="E69" s="73"/>
      <c r="F69" s="356"/>
      <c r="G69" s="3329"/>
      <c r="H69" s="311"/>
      <c r="I69" s="1292"/>
      <c r="J69" s="2036"/>
      <c r="K69" s="1294">
        <v>4</v>
      </c>
      <c r="L69" s="3305" t="s">
        <v>2882</v>
      </c>
      <c r="M69" s="3306"/>
      <c r="N69" s="1295" t="str">
        <f>C44</f>
        <v>——</v>
      </c>
      <c r="O69" s="1295"/>
      <c r="P69" s="1295"/>
      <c r="Q69" s="2029"/>
      <c r="R69" s="2029"/>
      <c r="S69" s="2029"/>
      <c r="T69" s="2029"/>
      <c r="U69" s="2029"/>
      <c r="V69" s="2029"/>
    </row>
    <row r="70" spans="1:22" ht="24" customHeight="1">
      <c r="A70" s="359" t="s">
        <v>396</v>
      </c>
      <c r="B70" s="3343" t="s">
        <v>397</v>
      </c>
      <c r="C70" s="3343"/>
      <c r="D70" s="358">
        <f ca="1">ROUND(D63*'数据-取费表'!B41/(1+'数据-取费表'!C42),0)</f>
        <v>2695</v>
      </c>
      <c r="E70" s="17" t="s">
        <v>398</v>
      </c>
      <c r="F70" s="360">
        <f>'数据-取费表'!B41</f>
        <v>5.6000000000000001E-2</v>
      </c>
      <c r="G70" s="361"/>
      <c r="H70" s="311"/>
      <c r="I70" s="1292"/>
      <c r="J70" s="2036"/>
      <c r="K70" s="3087"/>
      <c r="L70" s="3088"/>
      <c r="M70" s="3088"/>
      <c r="N70" s="3089" t="s">
        <v>2886</v>
      </c>
      <c r="O70" s="3088"/>
      <c r="P70" s="3090"/>
      <c r="Q70" s="2029"/>
      <c r="R70" s="2029"/>
      <c r="S70" s="2029"/>
      <c r="T70" s="2029"/>
      <c r="U70" s="2029"/>
      <c r="V70" s="2029"/>
    </row>
    <row r="71" spans="1:22" ht="12" customHeight="1">
      <c r="A71" s="359" t="s">
        <v>404</v>
      </c>
      <c r="B71" s="3342" t="s">
        <v>405</v>
      </c>
      <c r="C71" s="3358"/>
      <c r="D71" s="358">
        <f ca="1">ROUND(D63*'数据-取费表'!B41/(1+'数据-取费表'!C42),0)</f>
        <v>2695</v>
      </c>
      <c r="E71" s="17" t="s">
        <v>398</v>
      </c>
      <c r="F71" s="360">
        <f>'数据-取费表'!B41</f>
        <v>5.6000000000000001E-2</v>
      </c>
      <c r="G71" s="361"/>
      <c r="H71" s="311"/>
      <c r="I71" s="1292"/>
      <c r="J71" s="2036"/>
      <c r="K71" s="3086" t="s">
        <v>399</v>
      </c>
      <c r="L71" s="3307" t="s">
        <v>400</v>
      </c>
      <c r="M71" s="3307"/>
      <c r="N71" s="3086" t="s">
        <v>401</v>
      </c>
      <c r="O71" s="3086" t="s">
        <v>402</v>
      </c>
      <c r="P71" s="3086" t="s">
        <v>403</v>
      </c>
      <c r="Q71" s="2029"/>
      <c r="R71" s="2029"/>
      <c r="S71" s="2029"/>
      <c r="T71" s="2029"/>
      <c r="U71" s="2029"/>
      <c r="V71" s="2029"/>
    </row>
    <row r="72" spans="1:22" ht="12" customHeight="1">
      <c r="A72" s="359" t="s">
        <v>407</v>
      </c>
      <c r="B72" s="3342" t="s">
        <v>408</v>
      </c>
      <c r="C72" s="3358"/>
      <c r="D72" s="358">
        <f ca="1">C86</f>
        <v>2583</v>
      </c>
      <c r="E72" s="73" t="s">
        <v>409</v>
      </c>
      <c r="F72" s="360">
        <f>'数据-取费表'!B41</f>
        <v>5.6000000000000001E-2</v>
      </c>
      <c r="G72" s="361"/>
      <c r="H72" s="1298"/>
      <c r="I72" s="1292"/>
      <c r="J72" s="2036"/>
      <c r="K72" s="1977">
        <v>1</v>
      </c>
      <c r="L72" s="3304" t="s">
        <v>406</v>
      </c>
      <c r="M72" s="3304"/>
      <c r="N72" s="1296">
        <f ca="1">D66</f>
        <v>2695</v>
      </c>
      <c r="O72" s="1860" t="str">
        <f>E66</f>
        <v>销售额×税（费）率</v>
      </c>
      <c r="P72" s="1297">
        <f>F66</f>
        <v>5.6000000000000001E-2</v>
      </c>
      <c r="Q72" s="2029"/>
      <c r="R72" s="2029"/>
      <c r="S72" s="2029"/>
      <c r="T72" s="2029"/>
      <c r="U72" s="2029"/>
      <c r="V72" s="2029"/>
    </row>
    <row r="73" spans="1:22" ht="24" customHeight="1">
      <c r="A73" s="3330" t="s">
        <v>411</v>
      </c>
      <c r="B73" s="3331"/>
      <c r="C73" s="3331"/>
      <c r="D73" s="362">
        <f ca="1">IF(H73="个人住宅",0,ROUND(D63*I73,0))</f>
        <v>25</v>
      </c>
      <c r="E73" s="17" t="s">
        <v>412</v>
      </c>
      <c r="F73" s="360">
        <f>IF(H73="正常",I73,"免征")</f>
        <v>5.0000000000000001E-4</v>
      </c>
      <c r="G73" s="361"/>
      <c r="H73" s="191" t="s">
        <v>3010</v>
      </c>
      <c r="I73" s="360">
        <f>'数据-取费表'!B49</f>
        <v>5.0000000000000001E-4</v>
      </c>
      <c r="J73" s="2036"/>
      <c r="K73" s="1977">
        <v>2</v>
      </c>
      <c r="L73" s="3304" t="s">
        <v>410</v>
      </c>
      <c r="M73" s="3304"/>
      <c r="N73" s="1296">
        <f t="shared" ref="N73:P74" ca="1" si="0">D73</f>
        <v>25</v>
      </c>
      <c r="O73" s="1860" t="str">
        <f t="shared" si="0"/>
        <v>销售额×税（费）率</v>
      </c>
      <c r="P73" s="1297">
        <f t="shared" si="0"/>
        <v>5.0000000000000001E-4</v>
      </c>
      <c r="Q73" s="2029"/>
      <c r="R73" s="2029"/>
      <c r="S73" s="2029"/>
      <c r="T73" s="2029"/>
      <c r="U73" s="2029"/>
      <c r="V73" s="2029"/>
    </row>
    <row r="74" spans="1:22" ht="24.75">
      <c r="A74" s="3330" t="s">
        <v>415</v>
      </c>
      <c r="B74" s="3331"/>
      <c r="C74" s="3331"/>
      <c r="D74" s="362">
        <f ca="1">IF(H74="个人住宅",D75,D76)</f>
        <v>5712</v>
      </c>
      <c r="E74" s="17" t="s">
        <v>416</v>
      </c>
      <c r="F74" s="360" t="str">
        <f>IF(H74="正常",F76,"免征")</f>
        <v>——</v>
      </c>
      <c r="G74" s="983" t="s">
        <v>417</v>
      </c>
      <c r="H74" s="363" t="s">
        <v>413</v>
      </c>
      <c r="I74" s="42"/>
      <c r="J74" s="2036"/>
      <c r="K74" s="1977">
        <v>3</v>
      </c>
      <c r="L74" s="3304" t="s">
        <v>414</v>
      </c>
      <c r="M74" s="3304"/>
      <c r="N74" s="1296">
        <f t="shared" ca="1" si="0"/>
        <v>5712</v>
      </c>
      <c r="O74" s="1860" t="str">
        <f t="shared" si="0"/>
        <v>增值额×税（费）率</v>
      </c>
      <c r="P74" s="1299" t="str">
        <f t="shared" si="0"/>
        <v>——</v>
      </c>
      <c r="Q74" s="2029"/>
      <c r="R74" s="2029"/>
      <c r="S74" s="2029"/>
      <c r="T74" s="2029"/>
      <c r="U74" s="2029"/>
      <c r="V74" s="2029"/>
    </row>
    <row r="75" spans="1:22" ht="12.75">
      <c r="A75" s="359" t="s">
        <v>418</v>
      </c>
      <c r="B75" s="3311" t="s">
        <v>419</v>
      </c>
      <c r="C75" s="3312"/>
      <c r="D75" s="364">
        <v>0</v>
      </c>
      <c r="E75" s="41" t="s">
        <v>420</v>
      </c>
      <c r="F75" s="365"/>
      <c r="G75" s="361"/>
      <c r="H75" s="42"/>
      <c r="I75" s="42"/>
      <c r="J75" s="2036"/>
      <c r="K75" s="3079" t="str">
        <f>IF(H77="非个人房产","",4)</f>
        <v/>
      </c>
      <c r="L75" s="3304" t="str">
        <f>IF(H77="非个人房产","——","个人所得税")</f>
        <v>——</v>
      </c>
      <c r="M75" s="3304"/>
      <c r="N75" s="1300" t="str">
        <f>D77</f>
        <v>——</v>
      </c>
      <c r="O75" s="1873" t="str">
        <f>E77</f>
        <v>——</v>
      </c>
      <c r="P75" s="1301" t="str">
        <f>F77</f>
        <v>——</v>
      </c>
      <c r="Q75" s="2029"/>
      <c r="R75" s="2029"/>
      <c r="S75" s="2029"/>
      <c r="T75" s="2029"/>
      <c r="U75" s="2029"/>
      <c r="V75" s="2029"/>
    </row>
    <row r="76" spans="1:22" ht="24.75">
      <c r="A76" s="359" t="s">
        <v>396</v>
      </c>
      <c r="B76" s="3311" t="s">
        <v>422</v>
      </c>
      <c r="C76" s="3353"/>
      <c r="D76" s="362">
        <f ca="1">IF(H76="转让取得",C99,C115)</f>
        <v>5712</v>
      </c>
      <c r="E76" s="17" t="s">
        <v>423</v>
      </c>
      <c r="F76" s="53" t="s">
        <v>21</v>
      </c>
      <c r="G76" s="361"/>
      <c r="H76" s="363" t="s">
        <v>424</v>
      </c>
      <c r="I76" s="42"/>
      <c r="J76" s="2036"/>
      <c r="K76" s="3079" t="str">
        <f>IF(项目基本情况!K6="上海银行",IF(K75="",4,K75+1),"")</f>
        <v/>
      </c>
      <c r="L76" s="3292" t="str">
        <f>IF(项目基本情况!K6="上海银行","其他处置费用","")</f>
        <v/>
      </c>
      <c r="M76" s="3293"/>
      <c r="N76" s="1296" t="str">
        <f>IF(项目基本情况!K6="上海银行",N89,"")</f>
        <v/>
      </c>
      <c r="O76" s="3294" t="str">
        <f>IF(项目基本情况!K6="上海银行","包含处置中涉及的律师、诉讼、拍卖、评估等费用","")</f>
        <v/>
      </c>
      <c r="P76" s="3295"/>
      <c r="Q76" s="2029"/>
      <c r="R76" s="2029"/>
      <c r="S76" s="2029"/>
      <c r="T76" s="2029"/>
      <c r="U76" s="2029"/>
      <c r="V76" s="2029"/>
    </row>
    <row r="77" spans="1:22" ht="24.75" thickBot="1">
      <c r="A77" s="3322" t="s">
        <v>426</v>
      </c>
      <c r="B77" s="3323"/>
      <c r="C77" s="3323"/>
      <c r="D77" s="366" t="str">
        <f>IF(H77="非个人房产","——",IF(H77="个人住宅",0,ROUND(D63*I77,0)))</f>
        <v>——</v>
      </c>
      <c r="E77" s="367" t="str">
        <f>IF(H77="非个人房产","——","销售额×税（费）率")</f>
        <v>——</v>
      </c>
      <c r="F77" s="368" t="str">
        <f>IF(H77="非个人房产","——",IF(H77="个人住宅","免征",I77))</f>
        <v>——</v>
      </c>
      <c r="G77" s="984" t="s">
        <v>417</v>
      </c>
      <c r="H77" s="363" t="s">
        <v>3065</v>
      </c>
      <c r="I77" s="369">
        <v>0.01</v>
      </c>
      <c r="J77" s="2036"/>
      <c r="K77" s="3318">
        <f>IF(AND(K75="",K76=""),4,IF(项目基本情况!K6="上海银行",K76+1,K75+1))</f>
        <v>4</v>
      </c>
      <c r="L77" s="3304" t="s">
        <v>2883</v>
      </c>
      <c r="M77" s="3085" t="s">
        <v>421</v>
      </c>
      <c r="N77" s="1302"/>
      <c r="O77" s="1303">
        <f ca="1">SUMIF(N72:N76,"&lt;9e307")</f>
        <v>8432</v>
      </c>
      <c r="P77" s="1304"/>
      <c r="Q77" s="3083" t="e">
        <f ca="1">O77/N69</f>
        <v>#VALUE!</v>
      </c>
      <c r="R77" s="2029"/>
      <c r="S77" s="2029"/>
      <c r="T77" s="2029"/>
      <c r="U77" s="2029"/>
      <c r="V77" s="2029"/>
    </row>
    <row r="78" spans="1:22" ht="12" customHeight="1">
      <c r="A78" s="1305"/>
      <c r="B78" s="311"/>
      <c r="C78" s="311"/>
      <c r="D78" s="311"/>
      <c r="E78" s="42"/>
      <c r="F78" s="42"/>
      <c r="G78" s="42"/>
      <c r="H78" s="1003"/>
      <c r="I78" s="311"/>
      <c r="J78" s="2036"/>
      <c r="K78" s="3318"/>
      <c r="L78" s="3304"/>
      <c r="M78" s="3085" t="s">
        <v>425</v>
      </c>
      <c r="N78" s="1302"/>
      <c r="O78" s="1303" t="str">
        <f ca="1">NUMBERSTRING(INT(O77*10000),2)&amp;"元整"</f>
        <v>捌仟肆佰叁拾贰万元整</v>
      </c>
      <c r="P78" s="1304"/>
      <c r="Q78" s="2029"/>
      <c r="R78" s="2029"/>
      <c r="S78" s="2029"/>
      <c r="T78" s="2029"/>
      <c r="U78" s="2029"/>
      <c r="V78" s="2029"/>
    </row>
    <row r="79" spans="1:22" ht="13.5" thickBot="1">
      <c r="A79" s="3308" t="s">
        <v>427</v>
      </c>
      <c r="B79" s="3308"/>
      <c r="C79" s="3308"/>
      <c r="D79" s="3308"/>
      <c r="E79" s="3308"/>
      <c r="F79" s="42"/>
      <c r="G79" s="42"/>
      <c r="H79" s="1003"/>
      <c r="I79" s="311"/>
      <c r="J79" s="2036"/>
      <c r="K79" s="3302">
        <f>K77+1</f>
        <v>5</v>
      </c>
      <c r="L79" s="3304" t="s">
        <v>2884</v>
      </c>
      <c r="M79" s="3085" t="s">
        <v>421</v>
      </c>
      <c r="N79" s="1302"/>
      <c r="O79" s="1303" t="e">
        <f ca="1">N69-O77</f>
        <v>#VALUE!</v>
      </c>
      <c r="P79" s="1304"/>
      <c r="Q79" s="2029"/>
      <c r="R79" s="2029"/>
      <c r="S79" s="2029"/>
      <c r="T79" s="2029"/>
      <c r="U79" s="2029"/>
      <c r="V79" s="2029"/>
    </row>
    <row r="80" spans="1:22" ht="12.75">
      <c r="A80" s="3309" t="s">
        <v>428</v>
      </c>
      <c r="B80" s="3310"/>
      <c r="C80" s="994"/>
      <c r="D80" s="994" t="s">
        <v>429</v>
      </c>
      <c r="E80" s="370" t="s">
        <v>430</v>
      </c>
      <c r="F80" s="42"/>
      <c r="G80" s="42"/>
      <c r="H80" s="1003"/>
      <c r="I80" s="311"/>
      <c r="J80" s="2029"/>
      <c r="K80" s="3303"/>
      <c r="L80" s="3304"/>
      <c r="M80" s="3085"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48130</v>
      </c>
      <c r="D81" s="373"/>
      <c r="E81" s="374"/>
      <c r="F81" s="42"/>
      <c r="G81" s="42"/>
      <c r="H81" s="1003"/>
      <c r="I81" s="311"/>
      <c r="J81" s="2029"/>
      <c r="K81" s="3079">
        <f>K79+1</f>
        <v>6</v>
      </c>
      <c r="L81" s="3316" t="s">
        <v>2885</v>
      </c>
      <c r="M81" s="3317"/>
      <c r="N81" s="1306"/>
      <c r="O81" s="1307" t="e">
        <f ca="1">ROUND(O79*10000/'数据-汇总表'!E3,0)</f>
        <v>#VALUE!</v>
      </c>
      <c r="P81" s="1308"/>
      <c r="Q81" s="2029"/>
      <c r="R81" s="2029"/>
      <c r="S81" s="2029"/>
      <c r="T81" s="2029"/>
      <c r="U81" s="2029"/>
      <c r="V81" s="2029"/>
    </row>
    <row r="82" spans="1:26" ht="13.5" thickTop="1">
      <c r="A82" s="375" t="s">
        <v>1825</v>
      </c>
      <c r="B82" s="376" t="s">
        <v>432</v>
      </c>
      <c r="C82" s="377">
        <f ca="1">D63</f>
        <v>50536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91" t="s">
        <v>2873</v>
      </c>
      <c r="L83" s="3091" t="s">
        <v>2874</v>
      </c>
      <c r="M83" s="3081" t="e">
        <f>IF(N69&gt;10000,N69*0.5%,IF(AND(N69&gt;1000,N69&lt;=10000),N69*1%,IF(AND(N69&gt;100,N69&lt;=1000),N69*3%,IF(AND(N69&gt;10,N69&lt;=100),N69*5%,N69*8%))))</f>
        <v>#VALUE!</v>
      </c>
      <c r="N83" s="53" t="e">
        <f>ROUND(M83,1)</f>
        <v>#VALUE!</v>
      </c>
      <c r="O83" s="3084"/>
      <c r="P83" s="2029"/>
      <c r="Q83" s="2029"/>
      <c r="R83" s="2029"/>
      <c r="S83" s="2029"/>
      <c r="T83" s="2029"/>
      <c r="U83" s="2029"/>
      <c r="V83" s="2029"/>
    </row>
    <row r="84" spans="1:26" ht="12.75">
      <c r="A84" s="381" t="s">
        <v>1827</v>
      </c>
      <c r="B84" s="382" t="s">
        <v>434</v>
      </c>
      <c r="C84" s="383">
        <v>2000</v>
      </c>
      <c r="D84" s="384" t="s">
        <v>19</v>
      </c>
      <c r="E84" s="3126" t="s">
        <v>2938</v>
      </c>
      <c r="F84" s="42"/>
      <c r="G84" s="42"/>
      <c r="H84" s="1003"/>
      <c r="I84" s="311"/>
      <c r="J84" s="2029"/>
      <c r="K84" s="3291"/>
      <c r="L84" s="3091" t="s">
        <v>2875</v>
      </c>
      <c r="M84" s="3081"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9" t="s">
        <v>2876</v>
      </c>
      <c r="P84" s="2029"/>
      <c r="Q84" s="2029"/>
      <c r="R84" s="2029"/>
      <c r="S84" s="2029"/>
      <c r="T84" s="2029"/>
      <c r="U84" s="2029"/>
      <c r="V84" s="2029"/>
    </row>
    <row r="85" spans="1:26" ht="12.75">
      <c r="A85" s="381" t="s">
        <v>1828</v>
      </c>
      <c r="B85" s="382" t="s">
        <v>435</v>
      </c>
      <c r="C85" s="385">
        <f ca="1">C81-C84</f>
        <v>46130</v>
      </c>
      <c r="D85" s="378" t="s">
        <v>19</v>
      </c>
      <c r="E85" s="379"/>
      <c r="F85" s="42"/>
      <c r="G85" s="42"/>
      <c r="H85" s="1003"/>
      <c r="I85" s="311"/>
      <c r="J85" s="2029"/>
      <c r="K85" s="3291"/>
      <c r="L85" s="3091" t="s">
        <v>2877</v>
      </c>
      <c r="M85" s="3081" t="e">
        <f>IF(N69&gt;1000,N69*0.1%,IF(AND(N69&gt;500,N69&lt;=1000),N69*0.5%,IF(AND(N69&gt;50,N69&lt;=500),N69*1%,IF(AND(N69&gt;1,N69&lt;=50),N69*1.5%))))</f>
        <v>#VALUE!</v>
      </c>
      <c r="N85" s="53" t="e">
        <f>ROUND(M85,1)</f>
        <v>#VALUE!</v>
      </c>
      <c r="O85" s="2029" t="s">
        <v>2876</v>
      </c>
      <c r="P85" s="2029"/>
      <c r="Q85" s="2029"/>
      <c r="R85" s="2029"/>
      <c r="S85" s="2029"/>
      <c r="T85" s="2029"/>
      <c r="U85" s="2029"/>
      <c r="V85" s="2029"/>
    </row>
    <row r="86" spans="1:26" ht="13.5" thickBot="1">
      <c r="A86" s="386" t="s">
        <v>1829</v>
      </c>
      <c r="B86" s="387" t="s">
        <v>436</v>
      </c>
      <c r="C86" s="388">
        <f ca="1">IF(C85&lt;=0,0,ROUND(C85*D86,0))</f>
        <v>2583</v>
      </c>
      <c r="D86" s="389">
        <f>'数据-取费表'!B41</f>
        <v>5.6000000000000001E-2</v>
      </c>
      <c r="E86" s="390"/>
      <c r="F86" s="42"/>
      <c r="G86" s="42"/>
      <c r="H86" s="1003"/>
      <c r="I86" s="311"/>
      <c r="J86" s="2029"/>
      <c r="K86" s="3291"/>
      <c r="L86" s="3091" t="s">
        <v>2878</v>
      </c>
      <c r="M86" s="3081" t="e">
        <f>N69*0.5%</f>
        <v>#VALUE!</v>
      </c>
      <c r="N86" s="53" t="e">
        <f>IF(M86&gt;0.5,0.5,ROUND(M86,0))</f>
        <v>#VALUE!</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91"/>
      <c r="L87" s="3091" t="s">
        <v>2880</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1"/>
      <c r="Q87" s="2029"/>
      <c r="R87" s="2029"/>
      <c r="S87" s="2029"/>
      <c r="T87" s="2029"/>
      <c r="U87" s="2029"/>
      <c r="V87" s="2029"/>
      <c r="W87" s="292"/>
      <c r="X87" s="292"/>
      <c r="Y87" s="292"/>
      <c r="Z87" s="292"/>
    </row>
    <row r="88" spans="1:26" s="1314" customFormat="1" ht="15" thickBot="1">
      <c r="A88" s="3345" t="s">
        <v>437</v>
      </c>
      <c r="B88" s="3346"/>
      <c r="C88" s="3346"/>
      <c r="D88" s="3346"/>
      <c r="E88" s="3346"/>
      <c r="F88" s="3346"/>
      <c r="G88" s="3346"/>
      <c r="H88" s="3346"/>
      <c r="I88" s="1315"/>
      <c r="J88" s="2037"/>
      <c r="K88" s="3291"/>
      <c r="L88" s="3091" t="s">
        <v>2881</v>
      </c>
      <c r="M88" s="3081" t="e">
        <f>IF(N69&gt;10000,N69*0.5%,IF(AND(N69&gt;5000,N69&lt;=10000),N69*1%,IF(AND(N69&gt;1000,N69&lt;=5000),N69*2%,IF(AND(N69&gt;200,N69&lt;=1000),N69*3%,N69*5%))))</f>
        <v>#VALUE!</v>
      </c>
      <c r="N88" s="53" t="e">
        <f>ROUND(M88,1)</f>
        <v>#VALUE!</v>
      </c>
      <c r="O88" s="3084"/>
      <c r="P88" s="11"/>
      <c r="Q88" s="2034"/>
      <c r="R88" s="2034"/>
      <c r="S88" s="2034"/>
      <c r="T88" s="2034"/>
      <c r="U88" s="2034"/>
      <c r="V88" s="2034"/>
      <c r="W88" s="2038"/>
      <c r="X88" s="2038"/>
      <c r="Y88" s="2038"/>
      <c r="Z88" s="2038"/>
    </row>
    <row r="89" spans="1:26" s="1314" customFormat="1" ht="14.25">
      <c r="A89" s="3309" t="s">
        <v>428</v>
      </c>
      <c r="B89" s="3310"/>
      <c r="C89" s="994"/>
      <c r="D89" s="994" t="s">
        <v>429</v>
      </c>
      <c r="E89" s="391" t="s">
        <v>438</v>
      </c>
      <c r="F89" s="392"/>
      <c r="G89" s="392"/>
      <c r="H89" s="393"/>
      <c r="I89" s="1316"/>
      <c r="J89" s="2039"/>
      <c r="K89" s="3291"/>
      <c r="L89" s="3091" t="s">
        <v>27</v>
      </c>
      <c r="M89" s="3082"/>
      <c r="N89" s="53" t="e">
        <f>ROUND(SUM(N83:N88),0)</f>
        <v>#VALUE!</v>
      </c>
      <c r="O89" s="3092"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48130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2850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42" t="s">
        <v>447</v>
      </c>
      <c r="F94" s="3343"/>
      <c r="G94" s="3343"/>
      <c r="H94" s="334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289</v>
      </c>
      <c r="D96" s="406">
        <f>'数据-取费表'!B43</f>
        <v>6.000000000000001E-3</v>
      </c>
      <c r="E96" s="3332" t="s">
        <v>2428</v>
      </c>
      <c r="F96" s="3333"/>
      <c r="G96" s="3333"/>
      <c r="H96" s="333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45280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15.887719298245614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26171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5" t="s">
        <v>454</v>
      </c>
      <c r="B101" s="3346"/>
      <c r="C101" s="3346"/>
      <c r="D101" s="3346"/>
      <c r="E101" s="3346"/>
      <c r="F101" s="3346"/>
      <c r="G101" s="3346"/>
      <c r="H101" s="334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9" t="s">
        <v>428</v>
      </c>
      <c r="B102" s="331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48130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30090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7391</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f>ROUND('数据-基础表'!A3/666.67*607,0)</f>
        <v>7172</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219</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 ca="1">IF(H109="——",IF(F1="现房",'剩余法-现房'!C18,'剩余法-待开发'!C18),I109)</f>
        <v>19701</v>
      </c>
      <c r="D109" s="406"/>
      <c r="E109" s="3335" t="s">
        <v>462</v>
      </c>
      <c r="F109" s="3333"/>
      <c r="G109" s="3333"/>
      <c r="H109" s="1942" t="s">
        <v>2279</v>
      </c>
      <c r="I109" s="1943">
        <f ca="1">'剩余法-待开发'!C18</f>
        <v>19701</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 ca="1">ROUND((C105+C108+C109)*D110,0)</f>
        <v>2709</v>
      </c>
      <c r="D110" s="406">
        <v>0.1</v>
      </c>
      <c r="E110" s="3335" t="s">
        <v>464</v>
      </c>
      <c r="F110" s="3333"/>
      <c r="G110" s="3333"/>
      <c r="H110" s="333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289</v>
      </c>
      <c r="D111" s="406">
        <f>'数据-取费表'!B43</f>
        <v>6.000000000000001E-3</v>
      </c>
      <c r="E111" s="3332" t="s">
        <v>2428</v>
      </c>
      <c r="F111" s="3333"/>
      <c r="G111" s="3333"/>
      <c r="H111" s="333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35" t="s">
        <v>2453</v>
      </c>
      <c r="F112" s="3333"/>
      <c r="G112" s="3333"/>
      <c r="H112" s="333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18040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0.59953472914589567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5712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4" zoomScale="80" zoomScaleNormal="95" zoomScaleSheetLayoutView="80" workbookViewId="0">
      <selection activeCell="M43" sqref="M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55601</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9412</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70590</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4706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94" t="s">
        <v>522</v>
      </c>
      <c r="D6" s="3395"/>
      <c r="E6" s="3394" t="s">
        <v>523</v>
      </c>
      <c r="F6" s="3395"/>
      <c r="G6" s="3394" t="s">
        <v>524</v>
      </c>
      <c r="H6" s="3395"/>
      <c r="I6" s="3394" t="s">
        <v>525</v>
      </c>
      <c r="J6" s="3395"/>
      <c r="K6" s="514" t="s">
        <v>526</v>
      </c>
      <c r="L6" s="2134"/>
      <c r="M6" s="2133"/>
      <c r="N6" s="2133"/>
      <c r="O6" s="2135"/>
      <c r="P6" s="3396" t="s">
        <v>527</v>
      </c>
      <c r="Q6" s="3397"/>
      <c r="R6" s="3382" t="s">
        <v>523</v>
      </c>
      <c r="S6" s="3383"/>
      <c r="T6" s="3382" t="s">
        <v>524</v>
      </c>
      <c r="U6" s="3383"/>
      <c r="V6" s="3402" t="s">
        <v>525</v>
      </c>
      <c r="W6" s="3402"/>
      <c r="X6" s="1568"/>
      <c r="Y6" s="3382" t="s">
        <v>527</v>
      </c>
      <c r="Z6" s="3383"/>
      <c r="AA6" s="3377" t="s">
        <v>523</v>
      </c>
      <c r="AB6" s="3378" t="s">
        <v>524</v>
      </c>
      <c r="AC6" s="3377" t="s">
        <v>525</v>
      </c>
    </row>
    <row r="7" spans="1:30" ht="20.25">
      <c r="A7" s="515"/>
      <c r="B7" s="516"/>
      <c r="C7" s="3407" t="s">
        <v>2925</v>
      </c>
      <c r="D7" s="3406"/>
      <c r="E7" s="3405" t="s">
        <v>3044</v>
      </c>
      <c r="F7" s="3406"/>
      <c r="G7" s="3405" t="s">
        <v>3044</v>
      </c>
      <c r="H7" s="3406"/>
      <c r="I7" s="3405" t="s">
        <v>3047</v>
      </c>
      <c r="J7" s="3406"/>
      <c r="K7" s="514"/>
      <c r="L7" s="2134"/>
      <c r="M7" s="2133"/>
      <c r="N7" s="2133"/>
      <c r="O7" s="2135"/>
      <c r="P7" s="3398"/>
      <c r="Q7" s="3399"/>
      <c r="R7" s="3384"/>
      <c r="S7" s="3385"/>
      <c r="T7" s="3384"/>
      <c r="U7" s="3385"/>
      <c r="V7" s="3402"/>
      <c r="W7" s="3402"/>
      <c r="X7" s="1568"/>
      <c r="Y7" s="3384"/>
      <c r="Z7" s="3385"/>
      <c r="AA7" s="3378"/>
      <c r="AB7" s="3378"/>
      <c r="AC7" s="3378"/>
    </row>
    <row r="8" spans="1:30" ht="21" thickBot="1">
      <c r="A8" s="515"/>
      <c r="B8" s="516"/>
      <c r="C8" s="3408" t="s">
        <v>2929</v>
      </c>
      <c r="D8" s="3409"/>
      <c r="E8" s="3410" t="s">
        <v>3045</v>
      </c>
      <c r="F8" s="3409"/>
      <c r="G8" s="3403" t="s">
        <v>3045</v>
      </c>
      <c r="H8" s="3404"/>
      <c r="I8" s="3403" t="s">
        <v>3045</v>
      </c>
      <c r="J8" s="3404"/>
      <c r="K8" s="514" t="s">
        <v>528</v>
      </c>
      <c r="L8" s="2134"/>
      <c r="M8" s="2133"/>
      <c r="N8" s="2133"/>
      <c r="O8" s="2135"/>
      <c r="P8" s="3400"/>
      <c r="Q8" s="3401"/>
      <c r="R8" s="3384"/>
      <c r="S8" s="3385"/>
      <c r="T8" s="3386"/>
      <c r="U8" s="3387"/>
      <c r="V8" s="3402"/>
      <c r="W8" s="3402"/>
      <c r="X8" s="1568"/>
      <c r="Y8" s="3386"/>
      <c r="Z8" s="3387"/>
      <c r="AA8" s="3379"/>
      <c r="AB8" s="3379"/>
      <c r="AC8" s="3379"/>
    </row>
    <row r="9" spans="1:30" s="1220" customFormat="1" ht="21" thickBot="1">
      <c r="A9" s="2937"/>
      <c r="B9" s="2944" t="s">
        <v>529</v>
      </c>
      <c r="C9" s="2936">
        <f>'数据-取费表'!B2</f>
        <v>43244</v>
      </c>
      <c r="D9" s="520">
        <v>100</v>
      </c>
      <c r="E9" s="523">
        <v>42732</v>
      </c>
      <c r="F9" s="522">
        <f>SUMIF(72:72,YEAR(E9)&amp;"-"&amp;INT((MONTH(E9)+2)/3),73:73)</f>
        <v>82</v>
      </c>
      <c r="G9" s="523">
        <v>42732</v>
      </c>
      <c r="H9" s="520">
        <f>SUMIF(72:72,YEAR(G9)&amp;"-"&amp;INT((MONTH(G9)+2)/3),73:73)</f>
        <v>82</v>
      </c>
      <c r="I9" s="523">
        <v>43098</v>
      </c>
      <c r="J9" s="520">
        <f>SUMIF(72:72,YEAR(I9)&amp;"-"&amp;INT((MONTH(I9)+2)/3),73:73)</f>
        <v>94</v>
      </c>
      <c r="K9" s="524"/>
      <c r="L9" s="2136"/>
      <c r="M9" s="2133"/>
      <c r="N9" s="2133"/>
      <c r="O9" s="2137"/>
      <c r="P9" s="3380" t="s">
        <v>530</v>
      </c>
      <c r="Q9" s="3389"/>
      <c r="R9" s="1569" t="s">
        <v>8</v>
      </c>
      <c r="S9" s="1570">
        <f t="shared" ref="S9:S17" si="0">F9</f>
        <v>82</v>
      </c>
      <c r="T9" s="1569" t="s">
        <v>8</v>
      </c>
      <c r="U9" s="1570">
        <f t="shared" ref="U9:U17" si="1">H9</f>
        <v>82</v>
      </c>
      <c r="V9" s="1569" t="s">
        <v>8</v>
      </c>
      <c r="W9" s="1570">
        <f t="shared" ref="W9:W17" si="2">J9</f>
        <v>94</v>
      </c>
      <c r="X9" s="1571"/>
      <c r="Y9" s="3380" t="s">
        <v>530</v>
      </c>
      <c r="Z9" s="3381"/>
      <c r="AA9" s="1572">
        <f>D9/F9</f>
        <v>1.2195121951219512</v>
      </c>
      <c r="AB9" s="1572">
        <f>D9/H9</f>
        <v>1.2195121951219512</v>
      </c>
      <c r="AC9" s="1572">
        <f>D9/J9</f>
        <v>1.0638297872340425</v>
      </c>
    </row>
    <row r="10" spans="1:30" s="1220" customFormat="1" ht="21" thickBot="1">
      <c r="A10" s="2938"/>
      <c r="B10" s="2945" t="s">
        <v>531</v>
      </c>
      <c r="C10" s="856" t="s">
        <v>532</v>
      </c>
      <c r="D10" s="520">
        <v>100</v>
      </c>
      <c r="E10" s="525" t="s">
        <v>3010</v>
      </c>
      <c r="F10" s="522">
        <f>SUMIF(75:75,E10,76:76)-SUMIF(75:75,C10,76:76)+100</f>
        <v>100</v>
      </c>
      <c r="G10" s="525" t="s">
        <v>3010</v>
      </c>
      <c r="H10" s="520">
        <f>SUMIF(75:75,G10,76:76)-SUMIF(75:75,C10,76:76)+100</f>
        <v>100</v>
      </c>
      <c r="I10" s="525" t="s">
        <v>3010</v>
      </c>
      <c r="J10" s="520">
        <f>SUMIF(75:75,I10,76:76)-SUMIF(75:75,C10,76:76)+100</f>
        <v>100</v>
      </c>
      <c r="K10" s="524"/>
      <c r="L10" s="2136"/>
      <c r="M10" s="2133"/>
      <c r="N10" s="2133"/>
      <c r="O10" s="2137"/>
      <c r="P10" s="3380" t="s">
        <v>533</v>
      </c>
      <c r="Q10" s="3381"/>
      <c r="R10" s="1569" t="s">
        <v>8</v>
      </c>
      <c r="S10" s="1570">
        <f t="shared" si="0"/>
        <v>100</v>
      </c>
      <c r="T10" s="1569" t="s">
        <v>8</v>
      </c>
      <c r="U10" s="1570">
        <f t="shared" si="1"/>
        <v>100</v>
      </c>
      <c r="V10" s="1569" t="s">
        <v>8</v>
      </c>
      <c r="W10" s="1570">
        <f t="shared" si="2"/>
        <v>100</v>
      </c>
      <c r="X10" s="1571"/>
      <c r="Y10" s="3380" t="s">
        <v>533</v>
      </c>
      <c r="Z10" s="3381"/>
      <c r="AA10" s="1572">
        <f t="shared" ref="AA10:AA47" si="3">D10/F10</f>
        <v>1</v>
      </c>
      <c r="AB10" s="1572">
        <f t="shared" ref="AB10:AB47" si="4">D10/H10</f>
        <v>1</v>
      </c>
      <c r="AC10" s="1572">
        <f t="shared" ref="AC10:AC47" si="5">D10/J10</f>
        <v>1</v>
      </c>
    </row>
    <row r="11" spans="1:30" s="1220" customFormat="1" ht="20.25">
      <c r="A11" s="2939"/>
      <c r="B11" s="2946" t="s">
        <v>2755</v>
      </c>
      <c r="C11" s="2933" t="s">
        <v>3011</v>
      </c>
      <c r="D11" s="254">
        <v>100</v>
      </c>
      <c r="E11" s="526" t="s">
        <v>3011</v>
      </c>
      <c r="F11" s="254">
        <f>SUMIF(77:77,E11,78:78)-SUMIF(77:77,C11,78:78)+100</f>
        <v>100</v>
      </c>
      <c r="G11" s="526" t="s">
        <v>3011</v>
      </c>
      <c r="H11" s="254">
        <f>SUMIF(77:77,G11,78:78)-SUMIF(77:77,C11,78:78)+100</f>
        <v>100</v>
      </c>
      <c r="I11" s="526" t="s">
        <v>3011</v>
      </c>
      <c r="J11" s="254">
        <f>SUMIF(77:77,I11,78:78)-SUMIF(77:77,C11,78:78)+100</f>
        <v>100</v>
      </c>
      <c r="K11" s="524"/>
      <c r="L11" s="2136"/>
      <c r="M11" s="2133"/>
      <c r="N11" s="2133"/>
      <c r="O11" s="2138"/>
      <c r="P11" s="3388" t="s">
        <v>535</v>
      </c>
      <c r="Q11" s="1151" t="str">
        <f t="shared" ref="Q11:Q17" si="6">B11</f>
        <v>用途</v>
      </c>
      <c r="R11" s="1569" t="s">
        <v>8</v>
      </c>
      <c r="S11" s="1570">
        <f t="shared" si="0"/>
        <v>100</v>
      </c>
      <c r="T11" s="1569" t="s">
        <v>8</v>
      </c>
      <c r="U11" s="1570">
        <f t="shared" si="1"/>
        <v>100</v>
      </c>
      <c r="V11" s="1569" t="s">
        <v>8</v>
      </c>
      <c r="W11" s="1570">
        <f t="shared" si="2"/>
        <v>100</v>
      </c>
      <c r="X11" s="1571"/>
      <c r="Y11" s="3341" t="s">
        <v>536</v>
      </c>
      <c r="Z11" s="1150" t="str">
        <f t="shared" ref="Z11:Z17" si="7">Q11</f>
        <v>用途</v>
      </c>
      <c r="AA11" s="1572">
        <f t="shared" si="3"/>
        <v>1</v>
      </c>
      <c r="AB11" s="1572">
        <f t="shared" si="4"/>
        <v>1</v>
      </c>
      <c r="AC11" s="1572">
        <f t="shared" si="5"/>
        <v>1</v>
      </c>
    </row>
    <row r="12" spans="1:30" s="1338" customFormat="1" ht="28.5">
      <c r="A12" s="2940"/>
      <c r="B12" s="2945" t="s">
        <v>2756</v>
      </c>
      <c r="C12" s="910" t="str">
        <f>项目基本情况!D20</f>
        <v>住宅、商业35.56年</v>
      </c>
      <c r="D12" s="255">
        <v>100</v>
      </c>
      <c r="E12" s="529" t="s">
        <v>3038</v>
      </c>
      <c r="F12" s="255">
        <f>ROUND(100/'数据-取费表'!G16,0)</f>
        <v>114</v>
      </c>
      <c r="G12" s="529" t="s">
        <v>3038</v>
      </c>
      <c r="H12" s="255">
        <f>ROUND(100/'数据-取费表'!G16,0)</f>
        <v>114</v>
      </c>
      <c r="I12" s="529" t="s">
        <v>3038</v>
      </c>
      <c r="J12" s="255">
        <f>ROUND(100/'数据-取费表'!G16,0)</f>
        <v>114</v>
      </c>
      <c r="K12" s="531"/>
      <c r="L12" s="2139"/>
      <c r="M12" s="2133"/>
      <c r="N12" s="2133"/>
      <c r="O12" s="2140"/>
      <c r="P12" s="3388"/>
      <c r="Q12" s="1151" t="str">
        <f t="shared" si="6"/>
        <v>土地使用年限（年）</v>
      </c>
      <c r="R12" s="1569" t="s">
        <v>8</v>
      </c>
      <c r="S12" s="1570">
        <f t="shared" si="0"/>
        <v>114</v>
      </c>
      <c r="T12" s="1569" t="s">
        <v>8</v>
      </c>
      <c r="U12" s="1570">
        <f t="shared" si="1"/>
        <v>114</v>
      </c>
      <c r="V12" s="1569" t="s">
        <v>8</v>
      </c>
      <c r="W12" s="1570">
        <f t="shared" si="2"/>
        <v>114</v>
      </c>
      <c r="X12" s="1571"/>
      <c r="Y12" s="3341"/>
      <c r="Z12" s="1150" t="str">
        <f t="shared" si="7"/>
        <v>土地使用年限（年）</v>
      </c>
      <c r="AA12" s="1572">
        <f t="shared" si="3"/>
        <v>0.8771929824561403</v>
      </c>
      <c r="AB12" s="1572">
        <f t="shared" si="4"/>
        <v>0.8771929824561403</v>
      </c>
      <c r="AC12" s="1572">
        <f t="shared" si="5"/>
        <v>0.8771929824561403</v>
      </c>
    </row>
    <row r="13" spans="1:30" ht="21" thickBot="1">
      <c r="A13" s="2941"/>
      <c r="B13" s="2945" t="s">
        <v>2757</v>
      </c>
      <c r="C13" s="534">
        <v>7.5</v>
      </c>
      <c r="D13" s="255">
        <v>100</v>
      </c>
      <c r="E13" s="533">
        <v>2.5</v>
      </c>
      <c r="F13" s="255">
        <f>LOOKUP(E13,82:82,83:83)-LOOKUP(C13,82:82,83:83)+100</f>
        <v>110</v>
      </c>
      <c r="G13" s="534">
        <v>3.5</v>
      </c>
      <c r="H13" s="255">
        <f>LOOKUP(G13,82:82,83:83)-LOOKUP(C13,82:82,83:83)+100</f>
        <v>110</v>
      </c>
      <c r="I13" s="533">
        <v>3</v>
      </c>
      <c r="J13" s="255">
        <f>LOOKUP(I13,82:82,83:83)-LOOKUP(C13,82:82,83:83)+100</f>
        <v>110</v>
      </c>
      <c r="K13" s="535">
        <v>5</v>
      </c>
      <c r="L13" s="2141"/>
      <c r="M13" s="2133"/>
      <c r="N13" s="2133"/>
      <c r="O13" s="2142"/>
      <c r="P13" s="3388"/>
      <c r="Q13" s="1151" t="str">
        <f t="shared" si="6"/>
        <v>容积率</v>
      </c>
      <c r="R13" s="1569" t="s">
        <v>8</v>
      </c>
      <c r="S13" s="1570">
        <f t="shared" si="0"/>
        <v>110</v>
      </c>
      <c r="T13" s="1569" t="s">
        <v>8</v>
      </c>
      <c r="U13" s="1570">
        <f t="shared" si="1"/>
        <v>110</v>
      </c>
      <c r="V13" s="1569" t="s">
        <v>8</v>
      </c>
      <c r="W13" s="1570">
        <f t="shared" si="2"/>
        <v>110</v>
      </c>
      <c r="X13" s="1571"/>
      <c r="Y13" s="3341"/>
      <c r="Z13" s="1150" t="str">
        <f t="shared" si="7"/>
        <v>容积率</v>
      </c>
      <c r="AA13" s="1572">
        <f t="shared" si="3"/>
        <v>0.90909090909090906</v>
      </c>
      <c r="AB13" s="1572">
        <f t="shared" si="4"/>
        <v>0.90909090909090906</v>
      </c>
      <c r="AC13" s="1572">
        <f t="shared" si="5"/>
        <v>0.90909090909090906</v>
      </c>
    </row>
    <row r="14" spans="1:30" s="1220" customFormat="1" ht="20.25" hidden="1">
      <c r="A14" s="2938"/>
      <c r="B14" s="2947" t="s">
        <v>2758</v>
      </c>
      <c r="C14" s="2934"/>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8"/>
      <c r="Q14" s="1151" t="str">
        <f t="shared" si="6"/>
        <v>配建</v>
      </c>
      <c r="R14" s="1569" t="s">
        <v>8</v>
      </c>
      <c r="S14" s="1570">
        <f t="shared" si="0"/>
        <v>100</v>
      </c>
      <c r="T14" s="1569" t="s">
        <v>8</v>
      </c>
      <c r="U14" s="1570">
        <f t="shared" si="1"/>
        <v>100</v>
      </c>
      <c r="V14" s="1569" t="s">
        <v>8</v>
      </c>
      <c r="W14" s="1570">
        <f t="shared" si="2"/>
        <v>100</v>
      </c>
      <c r="X14" s="1571"/>
      <c r="Y14" s="3341"/>
      <c r="Z14" s="1150" t="str">
        <f t="shared" si="7"/>
        <v>配建</v>
      </c>
      <c r="AA14" s="1572">
        <f>D14/F14</f>
        <v>1</v>
      </c>
      <c r="AB14" s="1572">
        <f>D14/H14</f>
        <v>1</v>
      </c>
      <c r="AC14" s="1572">
        <f>D14/J14</f>
        <v>1</v>
      </c>
    </row>
    <row r="15" spans="1:30" ht="20.25" hidden="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8"/>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D15/F15</f>
        <v>1</v>
      </c>
      <c r="AB15" s="1572">
        <f>D15/H15</f>
        <v>1</v>
      </c>
      <c r="AC15" s="1572">
        <f>D15/J15</f>
        <v>1</v>
      </c>
    </row>
    <row r="16" spans="1:30" ht="21" hidden="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8"/>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D16/F16</f>
        <v>1</v>
      </c>
      <c r="AB16" s="1572">
        <f>D16/H16</f>
        <v>1</v>
      </c>
      <c r="AC16" s="1572">
        <f>D16/J16</f>
        <v>1</v>
      </c>
    </row>
    <row r="17" spans="1:29" ht="99.75">
      <c r="A17" s="293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97</v>
      </c>
      <c r="I17" s="552"/>
      <c r="J17" s="549">
        <f>SUMIF(90:90,I18,91:91)-SUMIF(90:90,C18,91:91)+100</f>
        <v>100</v>
      </c>
      <c r="K17" s="535">
        <v>3</v>
      </c>
      <c r="L17" s="2143"/>
      <c r="M17" s="2133"/>
      <c r="N17" s="2133"/>
      <c r="O17" s="2142"/>
      <c r="P17" s="3390" t="s">
        <v>540</v>
      </c>
      <c r="Q17" s="1573" t="str">
        <f t="shared" si="6"/>
        <v>居住社区成熟度</v>
      </c>
      <c r="R17" s="1574" t="s">
        <v>8</v>
      </c>
      <c r="S17" s="1575">
        <f t="shared" si="0"/>
        <v>97</v>
      </c>
      <c r="T17" s="1574" t="s">
        <v>8</v>
      </c>
      <c r="U17" s="1575">
        <f t="shared" si="1"/>
        <v>97</v>
      </c>
      <c r="V17" s="1574" t="s">
        <v>8</v>
      </c>
      <c r="W17" s="1575">
        <f t="shared" si="2"/>
        <v>100</v>
      </c>
      <c r="X17" s="1568"/>
      <c r="Y17" s="3390" t="s">
        <v>540</v>
      </c>
      <c r="Z17" s="1576" t="str">
        <f t="shared" si="7"/>
        <v>居住社区成熟度</v>
      </c>
      <c r="AA17" s="1577">
        <f t="shared" si="3"/>
        <v>1.0309278350515463</v>
      </c>
      <c r="AB17" s="1577">
        <f t="shared" si="4"/>
        <v>1.0309278350515463</v>
      </c>
      <c r="AC17" s="1577">
        <f t="shared" si="5"/>
        <v>1</v>
      </c>
    </row>
    <row r="18" spans="1:29" ht="20.25">
      <c r="A18" s="532"/>
      <c r="B18" s="553"/>
      <c r="C18" s="554" t="s">
        <v>3013</v>
      </c>
      <c r="D18" s="557"/>
      <c r="E18" s="558" t="s">
        <v>3014</v>
      </c>
      <c r="F18" s="555"/>
      <c r="G18" s="556" t="s">
        <v>3014</v>
      </c>
      <c r="H18" s="559"/>
      <c r="I18" s="558" t="s">
        <v>3013</v>
      </c>
      <c r="J18" s="555"/>
      <c r="K18" s="531"/>
      <c r="L18" s="2143"/>
      <c r="M18" s="2133"/>
      <c r="N18" s="2133"/>
      <c r="O18" s="2142"/>
      <c r="P18" s="3391"/>
      <c r="Q18" s="1573"/>
      <c r="R18" s="1574"/>
      <c r="S18" s="1575"/>
      <c r="T18" s="1574"/>
      <c r="U18" s="1575"/>
      <c r="V18" s="1574"/>
      <c r="W18" s="1575"/>
      <c r="X18" s="1568"/>
      <c r="Y18" s="339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100</v>
      </c>
      <c r="K19" s="535">
        <v>3</v>
      </c>
      <c r="L19" s="2143"/>
      <c r="M19" s="2133"/>
      <c r="N19" s="2133"/>
      <c r="O19" s="2142"/>
      <c r="P19" s="3391"/>
      <c r="Q19" s="1573" t="str">
        <f>B19</f>
        <v>商业繁华度</v>
      </c>
      <c r="R19" s="1574" t="s">
        <v>8</v>
      </c>
      <c r="S19" s="1575">
        <f>F19</f>
        <v>97</v>
      </c>
      <c r="T19" s="1574" t="s">
        <v>8</v>
      </c>
      <c r="U19" s="1575">
        <f>H19</f>
        <v>97</v>
      </c>
      <c r="V19" s="1574" t="s">
        <v>8</v>
      </c>
      <c r="W19" s="1575">
        <f>J19</f>
        <v>100</v>
      </c>
      <c r="X19" s="1568"/>
      <c r="Y19" s="3391"/>
      <c r="Z19" s="1576" t="str">
        <f>Q19</f>
        <v>商业繁华度</v>
      </c>
      <c r="AA19" s="1577">
        <f t="shared" si="3"/>
        <v>1.0309278350515463</v>
      </c>
      <c r="AB19" s="1577">
        <f t="shared" si="4"/>
        <v>1.0309278350515463</v>
      </c>
      <c r="AC19" s="1577">
        <f t="shared" si="5"/>
        <v>1</v>
      </c>
    </row>
    <row r="20" spans="1:29" ht="20.25">
      <c r="A20" s="532"/>
      <c r="B20" s="566"/>
      <c r="C20" s="567" t="s">
        <v>3014</v>
      </c>
      <c r="D20" s="563"/>
      <c r="E20" s="569" t="s">
        <v>3031</v>
      </c>
      <c r="F20" s="559"/>
      <c r="G20" s="568" t="s">
        <v>3031</v>
      </c>
      <c r="H20" s="555"/>
      <c r="I20" s="569" t="s">
        <v>3014</v>
      </c>
      <c r="J20" s="555"/>
      <c r="K20" s="531"/>
      <c r="L20" s="2143"/>
      <c r="M20" s="2133"/>
      <c r="N20" s="2133"/>
      <c r="O20" s="2142"/>
      <c r="P20" s="3391"/>
      <c r="Q20" s="1573"/>
      <c r="R20" s="1574"/>
      <c r="S20" s="1575"/>
      <c r="T20" s="1574"/>
      <c r="U20" s="1575"/>
      <c r="V20" s="1574"/>
      <c r="W20" s="1575"/>
      <c r="X20" s="1568"/>
      <c r="Y20" s="3391"/>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1"/>
      <c r="Q21" s="1573" t="str">
        <f>B21</f>
        <v>办公集聚程度</v>
      </c>
      <c r="R21" s="1574" t="s">
        <v>8</v>
      </c>
      <c r="S21" s="1575">
        <f>F21</f>
        <v>100</v>
      </c>
      <c r="T21" s="1574" t="s">
        <v>8</v>
      </c>
      <c r="U21" s="1575">
        <f>H21</f>
        <v>100</v>
      </c>
      <c r="V21" s="1574" t="s">
        <v>8</v>
      </c>
      <c r="W21" s="1575">
        <f>J21</f>
        <v>100</v>
      </c>
      <c r="X21" s="1568"/>
      <c r="Y21" s="339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91"/>
      <c r="Q22" s="1573"/>
      <c r="R22" s="1574"/>
      <c r="S22" s="1575"/>
      <c r="T22" s="1574"/>
      <c r="U22" s="1575"/>
      <c r="V22" s="1574"/>
      <c r="W22" s="1575"/>
      <c r="X22" s="1568"/>
      <c r="Y22" s="3391"/>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3"/>
      <c r="M23" s="2133"/>
      <c r="N23" s="2133"/>
      <c r="O23" s="2142"/>
      <c r="P23" s="3391"/>
      <c r="Q23" s="1573" t="str">
        <f>B23</f>
        <v>交通便捷度</v>
      </c>
      <c r="R23" s="1574" t="s">
        <v>8</v>
      </c>
      <c r="S23" s="1575">
        <f>F23</f>
        <v>100</v>
      </c>
      <c r="T23" s="1574" t="s">
        <v>8</v>
      </c>
      <c r="U23" s="1575">
        <f>H23</f>
        <v>100</v>
      </c>
      <c r="V23" s="1574" t="s">
        <v>8</v>
      </c>
      <c r="W23" s="1575">
        <f>J23</f>
        <v>100</v>
      </c>
      <c r="X23" s="1568"/>
      <c r="Y23" s="3391"/>
      <c r="Z23" s="1576" t="str">
        <f>Q23</f>
        <v>交通便捷度</v>
      </c>
      <c r="AA23" s="1577">
        <f t="shared" si="3"/>
        <v>1</v>
      </c>
      <c r="AB23" s="1577">
        <f t="shared" si="4"/>
        <v>1</v>
      </c>
      <c r="AC23" s="1577">
        <f t="shared" si="5"/>
        <v>1</v>
      </c>
    </row>
    <row r="24" spans="1:29" ht="20.25">
      <c r="A24" s="532"/>
      <c r="B24" s="578"/>
      <c r="C24" s="554" t="s">
        <v>3014</v>
      </c>
      <c r="D24" s="557"/>
      <c r="E24" s="558" t="s">
        <v>3014</v>
      </c>
      <c r="F24" s="555"/>
      <c r="G24" s="556" t="s">
        <v>3014</v>
      </c>
      <c r="H24" s="555"/>
      <c r="I24" s="558" t="s">
        <v>3014</v>
      </c>
      <c r="J24" s="555"/>
      <c r="K24" s="531"/>
      <c r="L24" s="2143"/>
      <c r="M24" s="2133"/>
      <c r="N24" s="2133"/>
      <c r="O24" s="2142"/>
      <c r="P24" s="3391"/>
      <c r="Q24" s="1573"/>
      <c r="R24" s="1574"/>
      <c r="S24" s="1575"/>
      <c r="T24" s="1574"/>
      <c r="U24" s="1575"/>
      <c r="V24" s="1574"/>
      <c r="W24" s="1575"/>
      <c r="X24" s="1568"/>
      <c r="Y24" s="339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391"/>
      <c r="Q25" s="1573" t="str">
        <f t="shared" ref="Q25:Q39" si="8">B25</f>
        <v>区域土地利用方向</v>
      </c>
      <c r="R25" s="1574" t="s">
        <v>8</v>
      </c>
      <c r="S25" s="1575">
        <f>F25</f>
        <v>100</v>
      </c>
      <c r="T25" s="1574" t="s">
        <v>8</v>
      </c>
      <c r="U25" s="1575">
        <f>H25</f>
        <v>100</v>
      </c>
      <c r="V25" s="1574" t="s">
        <v>8</v>
      </c>
      <c r="W25" s="1575">
        <f>J25</f>
        <v>100</v>
      </c>
      <c r="X25" s="1568"/>
      <c r="Y25" s="3391"/>
      <c r="Z25" s="1576" t="str">
        <f>Q25</f>
        <v>区域土地利用方向</v>
      </c>
      <c r="AA25" s="1577">
        <f t="shared" si="3"/>
        <v>1</v>
      </c>
      <c r="AB25" s="1577">
        <f t="shared" si="4"/>
        <v>1</v>
      </c>
      <c r="AC25" s="1577">
        <f t="shared" si="5"/>
        <v>1</v>
      </c>
    </row>
    <row r="26" spans="1:29" ht="20.25">
      <c r="A26" s="515"/>
      <c r="B26" s="1007"/>
      <c r="C26" s="554" t="s">
        <v>3013</v>
      </c>
      <c r="D26" s="557"/>
      <c r="E26" s="558" t="s">
        <v>3013</v>
      </c>
      <c r="F26" s="555"/>
      <c r="G26" s="556" t="s">
        <v>3013</v>
      </c>
      <c r="H26" s="555"/>
      <c r="I26" s="558" t="s">
        <v>3013</v>
      </c>
      <c r="J26" s="555"/>
      <c r="K26" s="531"/>
      <c r="L26" s="2143"/>
      <c r="M26" s="2133"/>
      <c r="N26" s="2133"/>
      <c r="O26" s="2142"/>
      <c r="P26" s="3391"/>
      <c r="Q26" s="1573"/>
      <c r="R26" s="1574"/>
      <c r="S26" s="1575"/>
      <c r="T26" s="1574"/>
      <c r="U26" s="1575"/>
      <c r="V26" s="1574"/>
      <c r="W26" s="1575"/>
      <c r="X26" s="1568"/>
      <c r="Y26" s="3391"/>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391"/>
      <c r="Q27" s="1573" t="str">
        <f t="shared" si="8"/>
        <v>自然及人文环境状况</v>
      </c>
      <c r="R27" s="1574" t="s">
        <v>8</v>
      </c>
      <c r="S27" s="1575">
        <f>F27</f>
        <v>100</v>
      </c>
      <c r="T27" s="1574" t="s">
        <v>8</v>
      </c>
      <c r="U27" s="1575">
        <f>H27</f>
        <v>100</v>
      </c>
      <c r="V27" s="1574" t="s">
        <v>8</v>
      </c>
      <c r="W27" s="1575">
        <f>J27</f>
        <v>100</v>
      </c>
      <c r="X27" s="1568"/>
      <c r="Y27" s="3391"/>
      <c r="Z27" s="1576" t="str">
        <f>Q27</f>
        <v>自然及人文环境状况</v>
      </c>
      <c r="AA27" s="1577">
        <f t="shared" si="3"/>
        <v>1</v>
      </c>
      <c r="AB27" s="1577">
        <f t="shared" si="4"/>
        <v>1</v>
      </c>
      <c r="AC27" s="1577">
        <f t="shared" si="5"/>
        <v>1</v>
      </c>
    </row>
    <row r="28" spans="1:29" ht="20.25">
      <c r="A28" s="515"/>
      <c r="B28" s="566"/>
      <c r="C28" s="554" t="s">
        <v>3015</v>
      </c>
      <c r="D28" s="557"/>
      <c r="E28" s="576" t="s">
        <v>3015</v>
      </c>
      <c r="F28" s="555"/>
      <c r="G28" s="554" t="s">
        <v>3015</v>
      </c>
      <c r="H28" s="555"/>
      <c r="I28" s="576" t="s">
        <v>3015</v>
      </c>
      <c r="J28" s="555"/>
      <c r="K28" s="531"/>
      <c r="L28" s="2143"/>
      <c r="M28" s="2133"/>
      <c r="N28" s="2133"/>
      <c r="O28" s="2142"/>
      <c r="P28" s="3391"/>
      <c r="Q28" s="1573"/>
      <c r="R28" s="1574"/>
      <c r="S28" s="1575"/>
      <c r="T28" s="1574"/>
      <c r="U28" s="1575"/>
      <c r="V28" s="1574"/>
      <c r="W28" s="1575"/>
      <c r="X28" s="1568"/>
      <c r="Y28" s="3391"/>
      <c r="Z28" s="1576"/>
      <c r="AA28" s="1577">
        <v>1</v>
      </c>
      <c r="AB28" s="1577">
        <v>1</v>
      </c>
      <c r="AC28" s="1577">
        <v>1</v>
      </c>
    </row>
    <row r="29" spans="1:29" s="1220" customFormat="1" ht="42.75">
      <c r="A29" s="577"/>
      <c r="B29" s="2616" t="s">
        <v>2547</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36"/>
      <c r="M29" s="2133"/>
      <c r="N29" s="2133"/>
      <c r="O29" s="2138"/>
      <c r="P29" s="3391"/>
      <c r="Q29" s="1151" t="str">
        <f t="shared" si="8"/>
        <v>公共配套设施</v>
      </c>
      <c r="R29" s="1569" t="s">
        <v>8</v>
      </c>
      <c r="S29" s="1570">
        <f>F29</f>
        <v>98</v>
      </c>
      <c r="T29" s="1569" t="s">
        <v>8</v>
      </c>
      <c r="U29" s="1570">
        <f>H29</f>
        <v>98</v>
      </c>
      <c r="V29" s="1569" t="s">
        <v>8</v>
      </c>
      <c r="W29" s="1570">
        <f>J29</f>
        <v>100</v>
      </c>
      <c r="X29" s="1571"/>
      <c r="Y29" s="3391"/>
      <c r="Z29" s="1150" t="str">
        <f>Q29</f>
        <v>公共配套设施</v>
      </c>
      <c r="AA29" s="1577">
        <f>D29/F29</f>
        <v>1.0204081632653061</v>
      </c>
      <c r="AB29" s="1577">
        <f>D29/H29</f>
        <v>1.0204081632653061</v>
      </c>
      <c r="AC29" s="1577">
        <f>D29/J29</f>
        <v>1</v>
      </c>
    </row>
    <row r="30" spans="1:29" s="1220" customFormat="1" ht="20.25">
      <c r="A30" s="577"/>
      <c r="B30" s="566"/>
      <c r="C30" s="579" t="s">
        <v>3014</v>
      </c>
      <c r="D30" s="557"/>
      <c r="E30" s="3195" t="s">
        <v>3031</v>
      </c>
      <c r="F30" s="555"/>
      <c r="G30" s="3196" t="s">
        <v>3031</v>
      </c>
      <c r="H30" s="555"/>
      <c r="I30" s="576" t="s">
        <v>3014</v>
      </c>
      <c r="J30" s="555"/>
      <c r="K30" s="531"/>
      <c r="L30" s="2136"/>
      <c r="M30" s="2133"/>
      <c r="N30" s="2133"/>
      <c r="O30" s="2138"/>
      <c r="P30" s="3391"/>
      <c r="Q30" s="1151"/>
      <c r="R30" s="1569"/>
      <c r="S30" s="1570"/>
      <c r="T30" s="1569"/>
      <c r="U30" s="1570"/>
      <c r="V30" s="1569"/>
      <c r="W30" s="1570"/>
      <c r="X30" s="1571"/>
      <c r="Y30" s="3391"/>
      <c r="Z30" s="1150"/>
      <c r="AA30" s="1577">
        <v>1</v>
      </c>
      <c r="AB30" s="1577">
        <v>1</v>
      </c>
      <c r="AC30" s="1577">
        <v>1</v>
      </c>
    </row>
    <row r="31" spans="1:29" s="1220" customFormat="1" ht="28.5">
      <c r="A31" s="577"/>
      <c r="B31" s="261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91"/>
      <c r="Q31" s="2603" t="str">
        <f>B31</f>
        <v>基础设施水平</v>
      </c>
      <c r="R31" s="1569" t="s">
        <v>8</v>
      </c>
      <c r="S31" s="1570">
        <f>F31</f>
        <v>100</v>
      </c>
      <c r="T31" s="1569" t="s">
        <v>8</v>
      </c>
      <c r="U31" s="1570">
        <f>H31</f>
        <v>100</v>
      </c>
      <c r="V31" s="1569" t="s">
        <v>8</v>
      </c>
      <c r="W31" s="1570">
        <f>J31</f>
        <v>100</v>
      </c>
      <c r="X31" s="1571"/>
      <c r="Y31" s="3391"/>
      <c r="Z31" s="2600" t="str">
        <f>Q31</f>
        <v>基础设施水平</v>
      </c>
      <c r="AA31" s="1577">
        <f>D31/F31</f>
        <v>1</v>
      </c>
      <c r="AB31" s="1577">
        <f>D31/H31</f>
        <v>1</v>
      </c>
      <c r="AC31" s="1577">
        <f>D31/J31</f>
        <v>1</v>
      </c>
    </row>
    <row r="32" spans="1:29" s="1220" customFormat="1" ht="20.25">
      <c r="A32" s="577"/>
      <c r="B32" s="566"/>
      <c r="C32" s="579" t="s">
        <v>3016</v>
      </c>
      <c r="D32" s="557"/>
      <c r="E32" s="2617" t="s">
        <v>3016</v>
      </c>
      <c r="F32" s="555"/>
      <c r="G32" s="579" t="s">
        <v>3016</v>
      </c>
      <c r="H32" s="555"/>
      <c r="I32" s="579" t="s">
        <v>3016</v>
      </c>
      <c r="J32" s="555"/>
      <c r="K32" s="531"/>
      <c r="L32" s="2136"/>
      <c r="M32" s="2133"/>
      <c r="N32" s="2133"/>
      <c r="O32" s="2138"/>
      <c r="P32" s="3391"/>
      <c r="Q32" s="2603"/>
      <c r="R32" s="1569"/>
      <c r="S32" s="1570"/>
      <c r="T32" s="1569"/>
      <c r="U32" s="1570"/>
      <c r="V32" s="1569"/>
      <c r="W32" s="1570"/>
      <c r="X32" s="1571"/>
      <c r="Y32" s="3391"/>
      <c r="Z32" s="2600"/>
      <c r="AA32" s="1577">
        <v>1</v>
      </c>
      <c r="AB32" s="1577">
        <v>1</v>
      </c>
      <c r="AC32" s="1577">
        <v>1</v>
      </c>
    </row>
    <row r="33" spans="1:29" ht="21" thickBot="1">
      <c r="A33" s="532"/>
      <c r="B33" s="566" t="s">
        <v>547</v>
      </c>
      <c r="C33" s="580" t="s">
        <v>3017</v>
      </c>
      <c r="D33" s="575">
        <v>100</v>
      </c>
      <c r="E33" s="3197" t="s">
        <v>3055</v>
      </c>
      <c r="F33" s="540">
        <f>SUMIF(106:106,E33,107:107)-SUMIF(106:106,C33,107:107)+100</f>
        <v>98</v>
      </c>
      <c r="G33" s="3197" t="s">
        <v>3055</v>
      </c>
      <c r="H33" s="540">
        <f>SUMIF(106:106,G33,107:107)-SUMIF(106:106,C33,107:107)+100</f>
        <v>98</v>
      </c>
      <c r="I33" s="580" t="s">
        <v>3055</v>
      </c>
      <c r="J33" s="540">
        <f>SUMIF(106:106,I33,107:107)-SUMIF(106:106,C33,107:107)+100</f>
        <v>98</v>
      </c>
      <c r="K33" s="535">
        <v>2</v>
      </c>
      <c r="L33" s="2143"/>
      <c r="M33" s="2133"/>
      <c r="N33" s="2133"/>
      <c r="O33" s="2142"/>
      <c r="P33" s="3391"/>
      <c r="Q33" s="1573" t="str">
        <f t="shared" si="8"/>
        <v>临街状况</v>
      </c>
      <c r="R33" s="1574" t="s">
        <v>8</v>
      </c>
      <c r="S33" s="1575">
        <f t="shared" ref="S33:S47" si="9">F33</f>
        <v>98</v>
      </c>
      <c r="T33" s="1574" t="s">
        <v>8</v>
      </c>
      <c r="U33" s="1575">
        <f t="shared" ref="U33:U47" si="10">H33</f>
        <v>98</v>
      </c>
      <c r="V33" s="1574" t="s">
        <v>8</v>
      </c>
      <c r="W33" s="1575">
        <f t="shared" ref="W33:W47" si="11">J33</f>
        <v>98</v>
      </c>
      <c r="X33" s="1568"/>
      <c r="Y33" s="3391"/>
      <c r="Z33" s="1576" t="str">
        <f t="shared" ref="Z33:Z47" si="12">Q33</f>
        <v>临街状况</v>
      </c>
      <c r="AA33" s="1577">
        <f t="shared" si="3"/>
        <v>1.0204081632653061</v>
      </c>
      <c r="AB33" s="1577">
        <f t="shared" si="4"/>
        <v>1.0204081632653061</v>
      </c>
      <c r="AC33" s="1577">
        <f t="shared" si="5"/>
        <v>1.0204081632653061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91"/>
      <c r="Q34" s="1573" t="str">
        <f t="shared" si="8"/>
        <v>毗邻道路的类型与等级</v>
      </c>
      <c r="R34" s="1574" t="s">
        <v>8</v>
      </c>
      <c r="S34" s="1575">
        <f t="shared" si="9"/>
        <v>100</v>
      </c>
      <c r="T34" s="1574" t="s">
        <v>8</v>
      </c>
      <c r="U34" s="1575">
        <f t="shared" si="10"/>
        <v>100</v>
      </c>
      <c r="V34" s="1574" t="s">
        <v>8</v>
      </c>
      <c r="W34" s="1575">
        <f t="shared" si="11"/>
        <v>100</v>
      </c>
      <c r="X34" s="1568"/>
      <c r="Y34" s="3391"/>
      <c r="Z34" s="1576" t="str">
        <f t="shared" si="12"/>
        <v>毗邻道路的类型与等级</v>
      </c>
      <c r="AA34" s="1577">
        <f t="shared" si="3"/>
        <v>1</v>
      </c>
      <c r="AB34" s="1577">
        <f t="shared" si="4"/>
        <v>1</v>
      </c>
      <c r="AC34" s="1577">
        <f t="shared" si="5"/>
        <v>1</v>
      </c>
    </row>
    <row r="35" spans="1:29" ht="21" hidden="1" thickBot="1">
      <c r="A35" s="532"/>
      <c r="B35" s="566"/>
      <c r="C35" s="554"/>
      <c r="D35" s="557"/>
      <c r="E35" s="576"/>
      <c r="F35" s="555"/>
      <c r="G35" s="554"/>
      <c r="H35" s="555"/>
      <c r="I35" s="576"/>
      <c r="J35" s="555"/>
      <c r="K35" s="581"/>
      <c r="L35" s="2143"/>
      <c r="M35" s="2133"/>
      <c r="N35" s="2133"/>
      <c r="O35" s="2142"/>
      <c r="P35" s="3391"/>
      <c r="Q35" s="1573"/>
      <c r="R35" s="1574"/>
      <c r="S35" s="1575"/>
      <c r="T35" s="1574"/>
      <c r="U35" s="1575"/>
      <c r="V35" s="1574"/>
      <c r="W35" s="1575"/>
      <c r="X35" s="1568"/>
      <c r="Y35" s="3391"/>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1"/>
      <c r="Q36" s="1573" t="str">
        <f t="shared" si="8"/>
        <v>土地级别</v>
      </c>
      <c r="R36" s="1574" t="s">
        <v>8</v>
      </c>
      <c r="S36" s="1575">
        <f t="shared" si="9"/>
        <v>100</v>
      </c>
      <c r="T36" s="1574" t="s">
        <v>8</v>
      </c>
      <c r="U36" s="1575">
        <f t="shared" si="10"/>
        <v>100</v>
      </c>
      <c r="V36" s="1574" t="s">
        <v>8</v>
      </c>
      <c r="W36" s="1575">
        <f t="shared" si="11"/>
        <v>100</v>
      </c>
      <c r="X36" s="1568"/>
      <c r="Y36" s="3391"/>
      <c r="Z36" s="1576" t="str">
        <f t="shared" si="12"/>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1"/>
      <c r="Q37" s="1573">
        <f t="shared" si="8"/>
        <v>111</v>
      </c>
      <c r="R37" s="1574" t="s">
        <v>8</v>
      </c>
      <c r="S37" s="1575">
        <f t="shared" si="9"/>
        <v>100</v>
      </c>
      <c r="T37" s="1574" t="s">
        <v>8</v>
      </c>
      <c r="U37" s="1575">
        <f t="shared" si="10"/>
        <v>100</v>
      </c>
      <c r="V37" s="1574" t="s">
        <v>8</v>
      </c>
      <c r="W37" s="1575">
        <f t="shared" si="11"/>
        <v>100</v>
      </c>
      <c r="X37" s="1568"/>
      <c r="Y37" s="3391"/>
      <c r="Z37" s="1576">
        <f t="shared" si="12"/>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2" t="s">
        <v>550</v>
      </c>
      <c r="Q38" s="1573">
        <f t="shared" si="8"/>
        <v>111</v>
      </c>
      <c r="R38" s="1574" t="s">
        <v>8</v>
      </c>
      <c r="S38" s="1575">
        <f t="shared" si="9"/>
        <v>100</v>
      </c>
      <c r="T38" s="1574" t="s">
        <v>8</v>
      </c>
      <c r="U38" s="1575">
        <f t="shared" si="10"/>
        <v>100</v>
      </c>
      <c r="V38" s="1574" t="s">
        <v>8</v>
      </c>
      <c r="W38" s="1575">
        <f t="shared" si="11"/>
        <v>100</v>
      </c>
      <c r="X38" s="1568"/>
      <c r="Y38" s="3393" t="s">
        <v>550</v>
      </c>
      <c r="Z38" s="1576">
        <f t="shared" si="12"/>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3"/>
      <c r="Q39" s="1573">
        <f t="shared" si="8"/>
        <v>111</v>
      </c>
      <c r="R39" s="1578" t="s">
        <v>8</v>
      </c>
      <c r="S39" s="1579">
        <f t="shared" si="9"/>
        <v>100</v>
      </c>
      <c r="T39" s="1578" t="s">
        <v>8</v>
      </c>
      <c r="U39" s="1579">
        <f t="shared" si="10"/>
        <v>100</v>
      </c>
      <c r="V39" s="1578" t="s">
        <v>8</v>
      </c>
      <c r="W39" s="1579">
        <f t="shared" si="11"/>
        <v>100</v>
      </c>
      <c r="X39" s="1580"/>
      <c r="Y39" s="3393"/>
      <c r="Z39" s="1581">
        <f t="shared" si="12"/>
        <v>111</v>
      </c>
      <c r="AA39" s="1577">
        <f t="shared" si="3"/>
        <v>1</v>
      </c>
      <c r="AB39" s="1577">
        <f t="shared" si="4"/>
        <v>1</v>
      </c>
      <c r="AC39" s="1577">
        <f t="shared" si="5"/>
        <v>1</v>
      </c>
    </row>
    <row r="40" spans="1:29" ht="20.25">
      <c r="A40" s="2932" t="s">
        <v>2754</v>
      </c>
      <c r="B40" s="595" t="s">
        <v>552</v>
      </c>
      <c r="C40" s="596">
        <f>'数据-基础表'!A3</f>
        <v>7876.6</v>
      </c>
      <c r="D40" s="597">
        <v>100</v>
      </c>
      <c r="E40" s="3194">
        <v>97852.2</v>
      </c>
      <c r="F40" s="597">
        <f>LOOKUP(E40,119:119,120:120)-LOOKUP(C40,119:119,120:120)+100</f>
        <v>103</v>
      </c>
      <c r="G40" s="596">
        <v>54138.7</v>
      </c>
      <c r="H40" s="597">
        <f>LOOKUP(G40,119:119,120:120)-LOOKUP(C40,119:119,120:120)+100</f>
        <v>101</v>
      </c>
      <c r="I40" s="598">
        <v>42255.3</v>
      </c>
      <c r="J40" s="597">
        <f>LOOKUP(I40,119:119,120:120)-LOOKUP(C40,119:119,120:120)+100</f>
        <v>101</v>
      </c>
      <c r="K40" s="581"/>
      <c r="L40" s="2143"/>
      <c r="M40" s="2133"/>
      <c r="N40" s="2133"/>
      <c r="O40" s="2142"/>
      <c r="P40" s="3393"/>
      <c r="Q40" s="1573" t="str">
        <f>B40</f>
        <v>宗地面积</v>
      </c>
      <c r="R40" s="1574" t="s">
        <v>8</v>
      </c>
      <c r="S40" s="1575">
        <f t="shared" si="9"/>
        <v>103</v>
      </c>
      <c r="T40" s="1574" t="s">
        <v>8</v>
      </c>
      <c r="U40" s="1575">
        <f t="shared" si="10"/>
        <v>101</v>
      </c>
      <c r="V40" s="1574" t="s">
        <v>8</v>
      </c>
      <c r="W40" s="1575">
        <f t="shared" si="11"/>
        <v>101</v>
      </c>
      <c r="X40" s="1568"/>
      <c r="Y40" s="3393"/>
      <c r="Z40" s="1576" t="str">
        <f t="shared" si="12"/>
        <v>宗地面积</v>
      </c>
      <c r="AA40" s="1577">
        <f t="shared" si="3"/>
        <v>0.970873786407767</v>
      </c>
      <c r="AB40" s="1577">
        <f t="shared" si="4"/>
        <v>0.99009900990099009</v>
      </c>
      <c r="AC40" s="1577">
        <f t="shared" si="5"/>
        <v>0.99009900990099009</v>
      </c>
    </row>
    <row r="41" spans="1:29" ht="20.25">
      <c r="A41" s="594"/>
      <c r="B41" s="527" t="s">
        <v>553</v>
      </c>
      <c r="C41" s="599" t="s">
        <v>3064</v>
      </c>
      <c r="D41" s="540">
        <v>100</v>
      </c>
      <c r="E41" s="599" t="s">
        <v>3019</v>
      </c>
      <c r="F41" s="540">
        <f>SUMIF(121:121,E41,122:122)-SUMIF(121:121,C41,122:122)+100</f>
        <v>104</v>
      </c>
      <c r="G41" s="599" t="s">
        <v>3019</v>
      </c>
      <c r="H41" s="540">
        <f>SUMIF(121:121,G41,122:122)-SUMIF(121:121,C41,122:122)+100</f>
        <v>104</v>
      </c>
      <c r="I41" s="599" t="s">
        <v>3019</v>
      </c>
      <c r="J41" s="540">
        <f>SUMIF(121:121,I41,122:122)-SUMIF(121:121,C41,122:122)+100</f>
        <v>104</v>
      </c>
      <c r="K41" s="584">
        <v>2</v>
      </c>
      <c r="L41" s="2143"/>
      <c r="M41" s="2133"/>
      <c r="N41" s="2133"/>
      <c r="O41" s="2142"/>
      <c r="P41" s="3393"/>
      <c r="Q41" s="1573" t="str">
        <f t="shared" ref="Q41:Q47" si="13">B41</f>
        <v>宗地形状</v>
      </c>
      <c r="R41" s="1574" t="s">
        <v>8</v>
      </c>
      <c r="S41" s="1575">
        <f t="shared" si="9"/>
        <v>104</v>
      </c>
      <c r="T41" s="1574" t="s">
        <v>8</v>
      </c>
      <c r="U41" s="1575">
        <f t="shared" si="10"/>
        <v>104</v>
      </c>
      <c r="V41" s="1574" t="s">
        <v>8</v>
      </c>
      <c r="W41" s="1575">
        <f t="shared" si="11"/>
        <v>104</v>
      </c>
      <c r="X41" s="1568"/>
      <c r="Y41" s="3393"/>
      <c r="Z41" s="1576" t="str">
        <f t="shared" si="12"/>
        <v>宗地形状</v>
      </c>
      <c r="AA41" s="1577">
        <f t="shared" si="3"/>
        <v>0.96153846153846156</v>
      </c>
      <c r="AB41" s="1577">
        <f t="shared" si="4"/>
        <v>0.96153846153846156</v>
      </c>
      <c r="AC41" s="1577">
        <f t="shared" si="5"/>
        <v>0.96153846153846156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93"/>
      <c r="Q42" s="1573" t="str">
        <f t="shared" si="13"/>
        <v>临街宽度及深度</v>
      </c>
      <c r="R42" s="1574" t="s">
        <v>8</v>
      </c>
      <c r="S42" s="1575">
        <f t="shared" si="9"/>
        <v>100</v>
      </c>
      <c r="T42" s="1574" t="s">
        <v>8</v>
      </c>
      <c r="U42" s="1575">
        <f t="shared" si="10"/>
        <v>100</v>
      </c>
      <c r="V42" s="1574" t="s">
        <v>8</v>
      </c>
      <c r="W42" s="1575">
        <f t="shared" si="11"/>
        <v>100</v>
      </c>
      <c r="X42" s="1568"/>
      <c r="Y42" s="3393"/>
      <c r="Z42" s="1576" t="str">
        <f t="shared" si="12"/>
        <v>临街宽度及深度</v>
      </c>
      <c r="AA42" s="1577">
        <f t="shared" si="3"/>
        <v>1</v>
      </c>
      <c r="AB42" s="1577">
        <f t="shared" si="4"/>
        <v>1</v>
      </c>
      <c r="AC42" s="1577">
        <f t="shared" si="5"/>
        <v>1</v>
      </c>
    </row>
    <row r="43" spans="1:29" s="1220" customFormat="1" ht="20.25">
      <c r="A43" s="600"/>
      <c r="B43" s="1896" t="s">
        <v>2424</v>
      </c>
      <c r="C43" s="601" t="s">
        <v>3016</v>
      </c>
      <c r="D43" s="255">
        <v>100</v>
      </c>
      <c r="E43" s="601" t="s">
        <v>3016</v>
      </c>
      <c r="F43" s="540">
        <f>SUMIF(125:125,E43,126:126)-SUMIF(125:125,C43,126:126)+100</f>
        <v>100</v>
      </c>
      <c r="G43" s="601" t="s">
        <v>3016</v>
      </c>
      <c r="H43" s="540">
        <f>SUMIF(125:125,G43,126:126)-SUMIF(125:125,C43,126:126)+100</f>
        <v>100</v>
      </c>
      <c r="I43" s="601" t="s">
        <v>3016</v>
      </c>
      <c r="J43" s="540">
        <f>SUMIF(125:125,I43,126:126)-SUMIF(125:125,C43,126:126)+100</f>
        <v>100</v>
      </c>
      <c r="K43" s="584">
        <v>2</v>
      </c>
      <c r="L43" s="2136"/>
      <c r="M43" s="2133"/>
      <c r="N43" s="2133"/>
      <c r="O43" s="2138"/>
      <c r="P43" s="3393"/>
      <c r="Q43" s="1573" t="str">
        <f t="shared" si="13"/>
        <v>宗地开发程度</v>
      </c>
      <c r="R43" s="1569" t="s">
        <v>8</v>
      </c>
      <c r="S43" s="1570">
        <f t="shared" si="9"/>
        <v>100</v>
      </c>
      <c r="T43" s="1569" t="s">
        <v>8</v>
      </c>
      <c r="U43" s="1570">
        <f t="shared" si="10"/>
        <v>100</v>
      </c>
      <c r="V43" s="1569" t="s">
        <v>8</v>
      </c>
      <c r="W43" s="1570">
        <f t="shared" si="11"/>
        <v>100</v>
      </c>
      <c r="X43" s="1571"/>
      <c r="Y43" s="3393"/>
      <c r="Z43" s="1150" t="str">
        <f t="shared" si="12"/>
        <v>宗地开发程度</v>
      </c>
      <c r="AA43" s="1572">
        <f t="shared" si="3"/>
        <v>1</v>
      </c>
      <c r="AB43" s="1572">
        <f t="shared" si="4"/>
        <v>1</v>
      </c>
      <c r="AC43" s="1572">
        <f t="shared" si="5"/>
        <v>1</v>
      </c>
    </row>
    <row r="44" spans="1:29" ht="20.25">
      <c r="A44" s="594"/>
      <c r="B44" s="527" t="s">
        <v>555</v>
      </c>
      <c r="C44" s="599" t="s">
        <v>3013</v>
      </c>
      <c r="D44" s="540">
        <v>100</v>
      </c>
      <c r="E44" s="599" t="s">
        <v>3031</v>
      </c>
      <c r="F44" s="540">
        <f>SUMIF(127:127,E44,128:128)-SUMIF(127:127,C44,128:128)+100</f>
        <v>94</v>
      </c>
      <c r="G44" s="599" t="s">
        <v>3031</v>
      </c>
      <c r="H44" s="540">
        <f>SUMIF(127:127,G44,128:128)-SUMIF(127:127,C44,128:128)+100</f>
        <v>94</v>
      </c>
      <c r="I44" s="599" t="s">
        <v>3031</v>
      </c>
      <c r="J44" s="540">
        <f>SUMIF(127:127,I44,128:128)-SUMIF(127:127,C44,128:128)+100</f>
        <v>94</v>
      </c>
      <c r="K44" s="584">
        <v>3</v>
      </c>
      <c r="L44" s="2143"/>
      <c r="M44" s="2133"/>
      <c r="N44" s="2133"/>
      <c r="O44" s="2142"/>
      <c r="P44" s="3393" t="s">
        <v>550</v>
      </c>
      <c r="Q44" s="1573" t="str">
        <f t="shared" si="13"/>
        <v>工程地质条件</v>
      </c>
      <c r="R44" s="1574" t="s">
        <v>8</v>
      </c>
      <c r="S44" s="1575">
        <f t="shared" si="9"/>
        <v>94</v>
      </c>
      <c r="T44" s="1574" t="s">
        <v>8</v>
      </c>
      <c r="U44" s="1575">
        <f t="shared" si="10"/>
        <v>94</v>
      </c>
      <c r="V44" s="1574" t="s">
        <v>8</v>
      </c>
      <c r="W44" s="1575">
        <f t="shared" si="11"/>
        <v>94</v>
      </c>
      <c r="X44" s="1568"/>
      <c r="Y44" s="3393" t="s">
        <v>550</v>
      </c>
      <c r="Z44" s="1576" t="str">
        <f t="shared" si="12"/>
        <v>工程地质条件</v>
      </c>
      <c r="AA44" s="1577">
        <f t="shared" si="3"/>
        <v>1.0638297872340425</v>
      </c>
      <c r="AB44" s="1577">
        <f t="shared" si="4"/>
        <v>1.0638297872340425</v>
      </c>
      <c r="AC44" s="1577">
        <f t="shared" si="5"/>
        <v>1.0638297872340425</v>
      </c>
    </row>
    <row r="45" spans="1:29" ht="21" thickBot="1">
      <c r="A45" s="594"/>
      <c r="B45" s="3183" t="s">
        <v>3007</v>
      </c>
      <c r="C45" s="3187" t="s">
        <v>3034</v>
      </c>
      <c r="D45" s="540">
        <v>100</v>
      </c>
      <c r="E45" s="3187" t="s">
        <v>3035</v>
      </c>
      <c r="F45" s="540">
        <f>SUMIF(129:129,E45,130:130)-SUMIF(129:129,C45,130:130)+100</f>
        <v>95</v>
      </c>
      <c r="G45" s="3187" t="s">
        <v>3046</v>
      </c>
      <c r="H45" s="540">
        <f>SUMIF(129:129,G45,130:130)-SUMIF(129:129,C45,130:130)+100</f>
        <v>95</v>
      </c>
      <c r="I45" s="3187" t="s">
        <v>3046</v>
      </c>
      <c r="J45" s="540">
        <f>SUMIF(129:129,I45,130:130)-SUMIF(129:129,C45,130:130)+100</f>
        <v>95</v>
      </c>
      <c r="K45" s="581"/>
      <c r="L45" s="2143"/>
      <c r="M45" s="2133"/>
      <c r="N45" s="2133"/>
      <c r="O45" s="2142"/>
      <c r="P45" s="3393"/>
      <c r="Q45" s="1573" t="str">
        <f t="shared" si="13"/>
        <v>临海情况</v>
      </c>
      <c r="R45" s="1574" t="s">
        <v>8</v>
      </c>
      <c r="S45" s="1575">
        <f t="shared" si="9"/>
        <v>95</v>
      </c>
      <c r="T45" s="1574" t="s">
        <v>8</v>
      </c>
      <c r="U45" s="1575">
        <f t="shared" si="10"/>
        <v>95</v>
      </c>
      <c r="V45" s="1574" t="s">
        <v>8</v>
      </c>
      <c r="W45" s="1575">
        <f t="shared" si="11"/>
        <v>95</v>
      </c>
      <c r="X45" s="1568"/>
      <c r="Y45" s="3393"/>
      <c r="Z45" s="1576" t="str">
        <f t="shared" si="12"/>
        <v>临海情况</v>
      </c>
      <c r="AA45" s="1577">
        <f t="shared" si="3"/>
        <v>1.0526315789473684</v>
      </c>
      <c r="AB45" s="1577">
        <f t="shared" si="4"/>
        <v>1.0526315789473684</v>
      </c>
      <c r="AC45" s="1577">
        <f t="shared" si="5"/>
        <v>1.0526315789473684</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3"/>
      <c r="Q46" s="1573">
        <f t="shared" si="13"/>
        <v>111</v>
      </c>
      <c r="R46" s="1574" t="s">
        <v>8</v>
      </c>
      <c r="S46" s="1575">
        <f t="shared" si="9"/>
        <v>100</v>
      </c>
      <c r="T46" s="1574" t="s">
        <v>8</v>
      </c>
      <c r="U46" s="1575">
        <f t="shared" si="10"/>
        <v>100</v>
      </c>
      <c r="V46" s="1574" t="s">
        <v>8</v>
      </c>
      <c r="W46" s="1575">
        <f t="shared" si="11"/>
        <v>100</v>
      </c>
      <c r="X46" s="1568"/>
      <c r="Y46" s="3393"/>
      <c r="Z46" s="1576">
        <f t="shared" si="12"/>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3"/>
      <c r="Q47" s="1573">
        <f t="shared" si="13"/>
        <v>111</v>
      </c>
      <c r="R47" s="1578" t="s">
        <v>8</v>
      </c>
      <c r="S47" s="1579">
        <f t="shared" si="9"/>
        <v>100</v>
      </c>
      <c r="T47" s="1578" t="s">
        <v>8</v>
      </c>
      <c r="U47" s="1579">
        <f t="shared" si="10"/>
        <v>100</v>
      </c>
      <c r="V47" s="1578" t="s">
        <v>8</v>
      </c>
      <c r="W47" s="1579">
        <f t="shared" si="11"/>
        <v>100</v>
      </c>
      <c r="X47" s="1580"/>
      <c r="Y47" s="3393"/>
      <c r="Z47" s="1581">
        <f t="shared" si="12"/>
        <v>111</v>
      </c>
      <c r="AA47" s="1577">
        <f t="shared" si="3"/>
        <v>1</v>
      </c>
      <c r="AB47" s="1577">
        <f t="shared" si="4"/>
        <v>1</v>
      </c>
      <c r="AC47" s="1577">
        <f t="shared" si="5"/>
        <v>1</v>
      </c>
    </row>
    <row r="48" spans="1:29" ht="20.25">
      <c r="A48" s="607" t="s">
        <v>556</v>
      </c>
      <c r="B48" s="608" t="s">
        <v>3008</v>
      </c>
      <c r="C48" s="609" t="s">
        <v>1</v>
      </c>
      <c r="D48" s="610"/>
      <c r="E48" s="611">
        <v>7824</v>
      </c>
      <c r="F48" s="612"/>
      <c r="G48" s="613">
        <v>8048</v>
      </c>
      <c r="H48" s="614"/>
      <c r="I48" s="611">
        <v>11052</v>
      </c>
      <c r="J48" s="614"/>
      <c r="K48" s="1340"/>
      <c r="L48" s="2145"/>
      <c r="M48" s="2133"/>
      <c r="N48" s="2133"/>
      <c r="O48" s="2146"/>
      <c r="P48" s="3388" t="str">
        <f>A48</f>
        <v>成交单价</v>
      </c>
      <c r="Q48" s="3388"/>
      <c r="R48" s="3402">
        <f>E48</f>
        <v>7824</v>
      </c>
      <c r="S48" s="3402"/>
      <c r="T48" s="3402">
        <f>G48</f>
        <v>8048</v>
      </c>
      <c r="U48" s="3402"/>
      <c r="V48" s="3402">
        <f>I48</f>
        <v>11052</v>
      </c>
      <c r="W48" s="3402"/>
      <c r="X48" s="1560"/>
      <c r="Y48" s="1582"/>
      <c r="Z48" s="1560"/>
      <c r="AA48" s="1560"/>
      <c r="AB48" s="1560"/>
      <c r="AC48" s="1560"/>
    </row>
    <row r="49" spans="1:29" ht="21" thickBot="1">
      <c r="A49" s="615" t="s">
        <v>2692</v>
      </c>
      <c r="B49" s="616"/>
      <c r="C49" s="617">
        <f>R50</f>
        <v>9412</v>
      </c>
      <c r="D49" s="618"/>
      <c r="E49" s="617">
        <f>R49</f>
        <v>8802</v>
      </c>
      <c r="F49" s="619"/>
      <c r="G49" s="620">
        <f>T49</f>
        <v>9234</v>
      </c>
      <c r="H49" s="618"/>
      <c r="I49" s="617">
        <f>V49</f>
        <v>10200</v>
      </c>
      <c r="J49" s="618"/>
      <c r="K49" s="1341"/>
      <c r="L49" s="2145"/>
      <c r="M49" s="2133"/>
      <c r="N49" s="2133"/>
      <c r="O49" s="2146"/>
      <c r="P49" s="3388" t="str">
        <f>A49</f>
        <v>比较价格（元/平方米）</v>
      </c>
      <c r="Q49" s="3388"/>
      <c r="R49" s="3414">
        <f>ROUND(PRODUCT(R48,AA9:AA47),0)</f>
        <v>8802</v>
      </c>
      <c r="S49" s="3414"/>
      <c r="T49" s="3414">
        <f>ROUND(PRODUCT(T48,AB9:AB47),0)</f>
        <v>9234</v>
      </c>
      <c r="U49" s="3414"/>
      <c r="V49" s="3414">
        <f>ROUND(PRODUCT(V48,AC9:AC47),0)</f>
        <v>10200</v>
      </c>
      <c r="W49" s="3414"/>
      <c r="X49" s="1560"/>
      <c r="Y49" s="1560"/>
      <c r="Z49" s="1560"/>
      <c r="AA49" s="1560"/>
      <c r="AB49" s="1560"/>
      <c r="AC49" s="1560"/>
    </row>
    <row r="50" spans="1:29" ht="21" thickBot="1">
      <c r="A50" s="621" t="s">
        <v>2931</v>
      </c>
      <c r="B50" s="622"/>
      <c r="C50" s="623">
        <f>R50</f>
        <v>9412</v>
      </c>
      <c r="D50" s="623"/>
      <c r="E50" s="623"/>
      <c r="F50" s="623"/>
      <c r="G50" s="623"/>
      <c r="H50" s="623"/>
      <c r="I50" s="623"/>
      <c r="J50" s="623"/>
      <c r="K50" s="1342"/>
      <c r="L50" s="2145"/>
      <c r="M50" s="2133"/>
      <c r="N50" s="2133"/>
      <c r="O50" s="2146"/>
      <c r="P50" s="3411" t="str">
        <f>A50</f>
        <v>估价对象XX用房的比较价格（楼面单价，元/平方米）</v>
      </c>
      <c r="Q50" s="3412"/>
      <c r="R50" s="3413">
        <f>ROUND(AVERAGE(R49:V49),0)</f>
        <v>9412</v>
      </c>
      <c r="S50" s="3413"/>
      <c r="T50" s="3413"/>
      <c r="U50" s="3413"/>
      <c r="V50" s="3413"/>
      <c r="W50" s="3413"/>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0.125</v>
      </c>
      <c r="F53" s="627" t="str">
        <f>IF(OR(E53&gt;=0.3,E53&lt;=-0.3),"超过30%","")</f>
        <v/>
      </c>
      <c r="G53" s="626">
        <f>IF(G48&lt;G49,G49/G48-1,G48/G49-1)</f>
        <v>0.14736580516898612</v>
      </c>
      <c r="H53" s="627" t="str">
        <f>IF(OR(G53&gt;=0.3,G53&lt;=-0.3),"超过30%","")</f>
        <v/>
      </c>
      <c r="I53" s="626">
        <f>IF(I48&lt;I49,I49/I48-1,I48/I49-1)</f>
        <v>8.3529411764705852E-2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4.9079754601226933E-2</v>
      </c>
      <c r="F54" s="627" t="str">
        <f>IF(OR(E54&gt;=0.2,E54&lt;=-0.2),"超过20%","")</f>
        <v/>
      </c>
      <c r="G54" s="626">
        <f>IF(G49&lt;I49,I49/G49-1,G49/I49-1)</f>
        <v>0.10461338531513964</v>
      </c>
      <c r="H54" s="627" t="str">
        <f>IF(OR(G54&gt;=0.2,G54&lt;=-0.2),"超过20%","")</f>
        <v/>
      </c>
      <c r="I54" s="626">
        <f>IF(I49&lt;E49,E49/I49-1,I49/E49-1)</f>
        <v>0.1588275391956373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2.8629856850715729E-2</v>
      </c>
      <c r="F55" s="627" t="str">
        <f>IF(OR(E55&gt;=0.3,E55&lt;=-0.3),"超过30%","")</f>
        <v/>
      </c>
      <c r="G55" s="626">
        <f>IF(G48&lt;I48,I48/G48-1,G48/I48-1)</f>
        <v>0.37326043737574555</v>
      </c>
      <c r="H55" s="627" t="str">
        <f>IF(OR(G55&gt;=0.3,G55&lt;=-0.3),"超过30%","")</f>
        <v>超过30%</v>
      </c>
      <c r="I55" s="626">
        <f>IF(I48&lt;E48,E48/I48-1,I48/E48-1)</f>
        <v>0.41257668711656437</v>
      </c>
      <c r="J55" s="627" t="str">
        <f>IF(OR(I55&gt;=0.3,I55&lt;=-0.3),"超过30%","")</f>
        <v>超过30%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72" t="s">
        <v>2281</v>
      </c>
      <c r="H57" s="3373"/>
      <c r="I57" s="1556" t="s">
        <v>1723</v>
      </c>
      <c r="J57" s="1556" t="str">
        <f>项目基本情况!F41</f>
        <v>广东省汕头市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9412</v>
      </c>
      <c r="C58" s="635">
        <v>1</v>
      </c>
      <c r="D58" s="2229">
        <v>1</v>
      </c>
      <c r="E58" s="635">
        <f>'数据-汇总表'!E8+'数据-汇总表'!E9</f>
        <v>59074.5</v>
      </c>
      <c r="F58" s="636">
        <f t="shared" ref="F58:F67" si="14">ROUND(B58*E58/10000,0)</f>
        <v>55601</v>
      </c>
      <c r="G58" s="3374"/>
      <c r="H58" s="3375"/>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76"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76"/>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76"/>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76"/>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2327</v>
      </c>
      <c r="B63" s="638">
        <f t="shared" si="16"/>
        <v>0</v>
      </c>
      <c r="C63" s="378">
        <f t="shared" si="15"/>
        <v>0</v>
      </c>
      <c r="D63" s="2230">
        <v>0.25</v>
      </c>
      <c r="E63" s="641">
        <f>'数据-汇总表'!E11</f>
        <v>0</v>
      </c>
      <c r="F63" s="636">
        <f t="shared" si="14"/>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59074.5</v>
      </c>
      <c r="F68" s="644">
        <f>IF(B48="楼面地价",SUM(F58:F67),ROUND(C50*E68/10000,0))</f>
        <v>55601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7">EDATE(D70,-3)</f>
        <v>43040</v>
      </c>
      <c r="F70" s="2824">
        <f t="shared" si="17"/>
        <v>42948</v>
      </c>
      <c r="G70" s="2824">
        <f t="shared" si="17"/>
        <v>42856</v>
      </c>
      <c r="H70" s="2824">
        <f t="shared" si="17"/>
        <v>42767</v>
      </c>
      <c r="I70" s="2824">
        <f t="shared" si="17"/>
        <v>42675</v>
      </c>
      <c r="J70" s="2824">
        <f t="shared" si="17"/>
        <v>42583</v>
      </c>
      <c r="K70" s="2824">
        <f t="shared" si="17"/>
        <v>42491</v>
      </c>
      <c r="L70" s="2824">
        <f t="shared" si="17"/>
        <v>42401</v>
      </c>
      <c r="M70" s="2824">
        <f t="shared" si="17"/>
        <v>42309</v>
      </c>
      <c r="N70" s="2824">
        <f t="shared" si="17"/>
        <v>42217</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2531</v>
      </c>
      <c r="B72" s="2594"/>
      <c r="C72" s="2819" t="str">
        <f>YEAR(C70)&amp;"-"&amp;ROUNDUP(MONTH(C70)/3,0)</f>
        <v>2018-2</v>
      </c>
      <c r="D72" s="2826" t="str">
        <f>YEAR(D70)&amp;"-"&amp;ROUNDUP(MONTH(D70)/3,0)</f>
        <v>2018-1</v>
      </c>
      <c r="E72" s="2826" t="str">
        <f t="shared" ref="E72:N72" si="18">YEAR(E70)&amp;"-"&amp;ROUNDUP(MONTH(E70)/3,0)</f>
        <v>2017-4</v>
      </c>
      <c r="F72" s="2826" t="str">
        <f t="shared" si="18"/>
        <v>2017-3</v>
      </c>
      <c r="G72" s="2826" t="str">
        <f t="shared" si="18"/>
        <v>2017-2</v>
      </c>
      <c r="H72" s="2826" t="str">
        <f t="shared" si="18"/>
        <v>2017-1</v>
      </c>
      <c r="I72" s="2826" t="str">
        <f t="shared" si="18"/>
        <v>2016-4</v>
      </c>
      <c r="J72" s="2826" t="str">
        <f t="shared" si="18"/>
        <v>2016-3</v>
      </c>
      <c r="K72" s="2826" t="str">
        <f t="shared" si="18"/>
        <v>2016-2</v>
      </c>
      <c r="L72" s="2826" t="str">
        <f t="shared" si="18"/>
        <v>2016-1</v>
      </c>
      <c r="M72" s="2826" t="str">
        <f t="shared" si="18"/>
        <v>2015-4</v>
      </c>
      <c r="N72" s="2826" t="str">
        <f t="shared" si="18"/>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2646</v>
      </c>
      <c r="B73" s="479" t="str">
        <f>"北京市平均增长率"&amp;TEXT(SUMIF(基准地价!N21:N25,A73,基准地价!P21:P25),"0.00%")</f>
        <v>北京市平均增长率2.27%</v>
      </c>
      <c r="C73" s="894">
        <v>100</v>
      </c>
      <c r="D73" s="730">
        <f t="shared" ref="D73:I73" si="19">C73-3</f>
        <v>97</v>
      </c>
      <c r="E73" s="730">
        <f t="shared" si="19"/>
        <v>94</v>
      </c>
      <c r="F73" s="730">
        <f t="shared" si="19"/>
        <v>91</v>
      </c>
      <c r="G73" s="730">
        <f t="shared" si="19"/>
        <v>88</v>
      </c>
      <c r="H73" s="730">
        <f t="shared" si="19"/>
        <v>85</v>
      </c>
      <c r="I73" s="730">
        <f t="shared" si="19"/>
        <v>82</v>
      </c>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2645</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4" t="s">
        <v>3012</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0（含）-2</v>
      </c>
      <c r="D81" s="682" t="str">
        <f t="shared" ref="D81:L81" si="20">D82&amp;"（含）"&amp;"-"&amp;E82</f>
        <v>2（含）-4</v>
      </c>
      <c r="E81" s="682" t="str">
        <f t="shared" si="20"/>
        <v>4（含）-6</v>
      </c>
      <c r="F81" s="682" t="str">
        <f t="shared" si="20"/>
        <v>6（含）-8</v>
      </c>
      <c r="G81" s="682" t="str">
        <f t="shared" si="20"/>
        <v>8（含）-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2</v>
      </c>
      <c r="E82" s="541">
        <v>4</v>
      </c>
      <c r="F82" s="541">
        <v>6</v>
      </c>
      <c r="G82" s="541">
        <v>8</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2547</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2549</v>
      </c>
      <c r="C104" s="2623" t="s">
        <v>2550</v>
      </c>
      <c r="D104" s="2623" t="s">
        <v>2551</v>
      </c>
      <c r="E104" s="2623" t="s">
        <v>2552</v>
      </c>
      <c r="F104" s="2623" t="s">
        <v>2553</v>
      </c>
      <c r="G104" s="2623" t="s">
        <v>2554</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hidden="1"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hidden="1"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v>120000</v>
      </c>
      <c r="H119" s="730">
        <v>150000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30">
        <v>100</v>
      </c>
      <c r="D120" s="730">
        <v>101</v>
      </c>
      <c r="E120" s="730">
        <v>102</v>
      </c>
      <c r="F120" s="730">
        <v>103</v>
      </c>
      <c r="G120" s="730">
        <v>104</v>
      </c>
      <c r="H120" s="730"/>
      <c r="I120" s="730"/>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5" t="s">
        <v>3018</v>
      </c>
      <c r="D121" s="3185" t="s">
        <v>3020</v>
      </c>
      <c r="E121" s="3185" t="s">
        <v>3021</v>
      </c>
      <c r="F121" s="3185" t="s">
        <v>3022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hidden="1"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hidden="1"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3023</v>
      </c>
      <c r="D125" s="1376" t="s">
        <v>3024</v>
      </c>
      <c r="E125" s="1376" t="s">
        <v>3025</v>
      </c>
      <c r="F125" s="1376" t="s">
        <v>3026</v>
      </c>
      <c r="G125" s="1376" t="s">
        <v>3027</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3028</v>
      </c>
      <c r="D127" s="3186" t="s">
        <v>3029</v>
      </c>
      <c r="E127" s="3185" t="s">
        <v>3030</v>
      </c>
      <c r="F127" s="3185" t="s">
        <v>3032</v>
      </c>
      <c r="G127" s="3185" t="s">
        <v>3033</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t="str">
        <f>B45</f>
        <v>临海情况</v>
      </c>
      <c r="C129" s="3186" t="s">
        <v>3034</v>
      </c>
      <c r="D129" s="3186" t="s">
        <v>3035</v>
      </c>
      <c r="E129" s="3186" t="s">
        <v>3036</v>
      </c>
      <c r="F129" s="3186" t="s">
        <v>3037</v>
      </c>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v>100</v>
      </c>
      <c r="D130" s="692">
        <v>95</v>
      </c>
      <c r="E130" s="692">
        <v>90</v>
      </c>
      <c r="F130" s="692">
        <v>85</v>
      </c>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E18" sqref="E1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7</v>
      </c>
    </row>
    <row r="2" spans="1:31" s="2042" customFormat="1" ht="18" customHeight="1">
      <c r="A2" s="2102" t="s">
        <v>467</v>
      </c>
      <c r="B2" s="2106">
        <f ca="1">C36</f>
        <v>45471</v>
      </c>
      <c r="C2" s="2105"/>
      <c r="D2" s="2105"/>
      <c r="E2" s="2105"/>
      <c r="F2" s="2105"/>
      <c r="G2" s="2105"/>
      <c r="H2" s="2105"/>
      <c r="I2" s="2105"/>
      <c r="J2" s="2105"/>
      <c r="K2" s="2105"/>
    </row>
    <row r="3" spans="1:31" s="2042" customFormat="1" ht="18" customHeight="1">
      <c r="A3" s="2107" t="s">
        <v>1685</v>
      </c>
      <c r="B3" s="2108">
        <f ca="1">ROUND(B2*10000/IF(B1="",'数据-汇总表'!E3,INDIRECT("'数据-取费表'!K"&amp;$K$1)),0)</f>
        <v>7697</v>
      </c>
      <c r="C3" s="2105"/>
      <c r="D3" s="2105"/>
      <c r="E3" s="2105"/>
      <c r="F3" s="2105"/>
      <c r="G3" s="2105"/>
      <c r="H3" s="2105"/>
      <c r="I3" s="2105"/>
      <c r="J3" s="2105"/>
      <c r="K3" s="2105"/>
    </row>
    <row r="4" spans="1:31" s="2042" customFormat="1" ht="18" customHeight="1">
      <c r="A4" s="426" t="s">
        <v>468</v>
      </c>
      <c r="B4" s="427">
        <f ca="1">ROUND(B2*10000/IF(B1="",'数据-汇总表'!D3,INDIRECT("'数据-取费表'!R"&amp;$K$1)),0)</f>
        <v>57729</v>
      </c>
      <c r="C4" s="428"/>
      <c r="D4" s="422"/>
      <c r="E4" s="422"/>
      <c r="F4" s="422"/>
      <c r="G4" s="422"/>
      <c r="H4" s="422"/>
      <c r="I4" s="422"/>
      <c r="J4" s="422"/>
      <c r="K4" s="422"/>
    </row>
    <row r="5" spans="1:31" s="2042" customFormat="1" ht="18" customHeight="1" thickBot="1">
      <c r="A5" s="429"/>
      <c r="B5" s="430">
        <f ca="1">ROUND(B2/(IF(B1="",'数据-汇总表'!D3,INDIRECT("'数据-取费表'!R"&amp;$K$1))/666.67),0)</f>
        <v>3849</v>
      </c>
      <c r="C5" s="431" t="s">
        <v>469</v>
      </c>
      <c r="D5" s="422"/>
      <c r="E5" s="422"/>
      <c r="F5" s="422"/>
      <c r="G5" s="422"/>
      <c r="H5" s="422"/>
      <c r="I5" s="422"/>
      <c r="J5" s="422"/>
      <c r="K5" s="422"/>
    </row>
    <row r="6" spans="1:31" s="2112" customFormat="1" ht="16.5" customHeight="1">
      <c r="A6" s="2853" t="s">
        <v>1843</v>
      </c>
      <c r="B6" s="2854"/>
      <c r="C6" s="2855">
        <f ca="1">SUM(C10:K10)</f>
        <v>99205</v>
      </c>
      <c r="D6" s="2854"/>
      <c r="E6" s="2854"/>
      <c r="F6" s="2854"/>
      <c r="G6" s="2854"/>
      <c r="H6" s="2854"/>
      <c r="I6" s="2854"/>
      <c r="J6" s="2854"/>
      <c r="K6" s="2856"/>
    </row>
    <row r="7" spans="1:31" s="2114" customFormat="1" ht="15">
      <c r="A7" s="2857" t="s">
        <v>470</v>
      </c>
      <c r="B7" s="2858" t="s">
        <v>471</v>
      </c>
      <c r="C7" s="436" t="s">
        <v>3058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3198">
        <f ca="1">不动产收益法!B3</f>
        <v>16793</v>
      </c>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59074.5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4">
        <f ca="1">不动产收益法!B2</f>
        <v>99205</v>
      </c>
      <c r="D10" s="3054"/>
      <c r="E10" s="3054"/>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17722</v>
      </c>
      <c r="D13" s="2869"/>
      <c r="E13" s="2870"/>
      <c r="F13" s="2871"/>
      <c r="G13" s="2837"/>
      <c r="H13" s="2838"/>
      <c r="I13" s="2838"/>
      <c r="J13" s="2838"/>
      <c r="K13" s="2839"/>
    </row>
    <row r="14" spans="1:31" s="2117" customFormat="1" ht="13.5" customHeight="1">
      <c r="A14" s="2867" t="s">
        <v>1850</v>
      </c>
      <c r="B14" s="2868" t="s">
        <v>480</v>
      </c>
      <c r="C14" s="53">
        <f ca="1">ROUND(C13*F14,0)</f>
        <v>532</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0</v>
      </c>
      <c r="D15" s="2869"/>
      <c r="E15" s="2870"/>
      <c r="F15" s="2872">
        <f>'数据-取费表'!B34</f>
        <v>0.05</v>
      </c>
      <c r="G15" s="2837" t="s">
        <v>483</v>
      </c>
      <c r="H15" s="2838"/>
      <c r="I15" s="2838"/>
      <c r="J15" s="2838"/>
      <c r="K15" s="2839"/>
    </row>
    <row r="16" spans="1:31" s="2118" customFormat="1" ht="13.5" customHeight="1">
      <c r="A16" s="2867" t="s">
        <v>1852</v>
      </c>
      <c r="B16" s="2868" t="s">
        <v>484</v>
      </c>
      <c r="C16" s="53">
        <f ca="1">ROUND(D16*E16/10000,0)</f>
        <v>1181</v>
      </c>
      <c r="D16" s="2869">
        <f ca="1">IF(B1="",'数据-汇总表'!E3,INDIRECT("'数据-取费表'!K"&amp;$K$1)+INDIRECT("'数据-取费表'!S"&amp;$K$1))</f>
        <v>59074.5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266</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19701</v>
      </c>
      <c r="D18" s="2878"/>
      <c r="E18" s="468"/>
      <c r="F18" s="468"/>
      <c r="G18" s="2841" t="s">
        <v>2430</v>
      </c>
      <c r="H18" s="2842"/>
      <c r="I18" s="2842"/>
      <c r="J18" s="2842"/>
      <c r="K18" s="2843"/>
    </row>
    <row r="19" spans="1:14" s="2117" customFormat="1" ht="13.5" customHeight="1">
      <c r="A19" s="2875" t="s">
        <v>1855</v>
      </c>
      <c r="B19" s="2876" t="s">
        <v>488</v>
      </c>
      <c r="C19" s="2833">
        <f ca="1">ROUND(D19*E19/10000,0)</f>
        <v>0</v>
      </c>
      <c r="D19" s="2879">
        <f ca="1">D16</f>
        <v>59074.5</v>
      </c>
      <c r="E19" s="2833">
        <f>'数据-取费表'!B32</f>
        <v>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709</v>
      </c>
      <c r="D20" s="2879"/>
      <c r="E20" s="2833"/>
      <c r="F20" s="2880"/>
      <c r="G20" s="3114"/>
      <c r="H20" s="2835"/>
      <c r="I20" s="2836" t="s">
        <v>2650</v>
      </c>
      <c r="J20" s="2842"/>
      <c r="K20" s="2843"/>
    </row>
    <row r="21" spans="1:14" s="2117" customFormat="1" ht="13.5" customHeight="1">
      <c r="A21" s="2867" t="s">
        <v>1857</v>
      </c>
      <c r="B21" s="2868" t="s">
        <v>491</v>
      </c>
      <c r="C21" s="53">
        <f ca="1">ROUND(D21*E21/10000,0)</f>
        <v>0</v>
      </c>
      <c r="D21" s="2869">
        <f ca="1">IF(B1="",'数据-汇总表'!E5,IF(INDIRECT("'数据-取费表'!c"&amp;$K$1)="住宅",INDIRECT("'数据-取费表'!k"&amp;$K$1),0))</f>
        <v>0</v>
      </c>
      <c r="E21" s="53">
        <f>'数据-取费表'!B27</f>
        <v>120</v>
      </c>
      <c r="F21" s="2872"/>
      <c r="G21" s="26"/>
      <c r="H21" s="51"/>
      <c r="I21" s="51"/>
      <c r="J21" s="51"/>
      <c r="K21" s="2844"/>
    </row>
    <row r="22" spans="1:14" s="2117" customFormat="1" ht="13.5" customHeight="1">
      <c r="A22" s="2867" t="s">
        <v>1858</v>
      </c>
      <c r="B22" s="2868" t="s">
        <v>492</v>
      </c>
      <c r="C22" s="53">
        <f ca="1">ROUND(D22*E22/10000,0)</f>
        <v>709</v>
      </c>
      <c r="D22" s="2869">
        <f ca="1">IF(B1="",'数据-汇总表'!E6,IF(INDIRECT("'数据-取费表'!c"&amp;$K$1)="住宅",INDIRECT("'数据-取费表'!s"&amp;$K$1),INDIRECT("'数据-取费表'!k"&amp;$K$1)+INDIRECT("'数据-取费表'!s"&amp;$K$1)))</f>
        <v>59074.5</v>
      </c>
      <c r="E22" s="53">
        <f>'数据-取费表'!B28</f>
        <v>120</v>
      </c>
      <c r="F22" s="2872"/>
      <c r="G22" s="26"/>
      <c r="H22" s="51"/>
      <c r="I22" s="51"/>
      <c r="J22" s="51"/>
      <c r="K22" s="2844"/>
    </row>
    <row r="23" spans="1:14" s="2117" customFormat="1" ht="13.5" customHeight="1">
      <c r="A23" s="2875" t="s">
        <v>1859</v>
      </c>
      <c r="B23" s="3060" t="s">
        <v>2833</v>
      </c>
      <c r="C23" s="2877">
        <f ca="1">ROUND((C18+C19+C20)*F23,0)</f>
        <v>408</v>
      </c>
      <c r="D23" s="468"/>
      <c r="E23" s="468"/>
      <c r="F23" s="2881">
        <f>'数据-取费表'!B37</f>
        <v>0.02</v>
      </c>
      <c r="G23" s="2837" t="s">
        <v>2431</v>
      </c>
      <c r="H23" s="2838"/>
      <c r="I23" s="2838"/>
      <c r="J23" s="2838"/>
      <c r="K23" s="2839"/>
      <c r="L23" s="2119"/>
      <c r="M23" s="2119"/>
      <c r="N23" s="2119"/>
    </row>
    <row r="24" spans="1:14" s="2117" customFormat="1" ht="13.5" customHeight="1">
      <c r="A24" s="2875" t="s">
        <v>1860</v>
      </c>
      <c r="B24" s="3060" t="s">
        <v>2836</v>
      </c>
      <c r="C24" s="2877">
        <f ca="1">ROUND(C6*F24,0)</f>
        <v>2976</v>
      </c>
      <c r="D24" s="475"/>
      <c r="E24" s="473"/>
      <c r="F24" s="2881">
        <f>'数据-取费表'!B38</f>
        <v>0.03</v>
      </c>
      <c r="G24" s="2846" t="s">
        <v>499</v>
      </c>
      <c r="H24" s="2840"/>
      <c r="I24" s="2840"/>
      <c r="J24" s="2840"/>
      <c r="K24" s="279"/>
      <c r="L24" s="2119"/>
      <c r="M24" s="2119"/>
      <c r="N24" s="2119"/>
    </row>
    <row r="25" spans="1:14" s="2120" customFormat="1" ht="13.5" customHeight="1">
      <c r="A25" s="2875" t="s">
        <v>1861</v>
      </c>
      <c r="B25" s="3060" t="s">
        <v>2834</v>
      </c>
      <c r="C25" s="467">
        <f>ROUND(F25/(1+'数据-取费表'!C42),4)</f>
        <v>2.9000000000000001E-2</v>
      </c>
      <c r="D25" s="462" t="s">
        <v>2828</v>
      </c>
      <c r="E25" s="469"/>
      <c r="F25" s="2881">
        <f>'数据-取费表'!B48+'数据-取费表'!B49</f>
        <v>3.0499999999999999E-2</v>
      </c>
      <c r="G25" s="2845" t="s">
        <v>2289</v>
      </c>
      <c r="H25" s="2838"/>
      <c r="I25" s="2838"/>
      <c r="J25" s="2838"/>
      <c r="K25" s="2839"/>
    </row>
    <row r="26" spans="1:14" s="2119" customFormat="1" ht="13.5" customHeight="1">
      <c r="A26" s="2875" t="s">
        <v>1862</v>
      </c>
      <c r="B26" s="3061" t="s">
        <v>2835</v>
      </c>
      <c r="C26" s="2882">
        <f ca="1">C28</f>
        <v>1130</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2837</v>
      </c>
      <c r="C28" s="2885">
        <f ca="1">ROUND(IF('数据-取费表'!B22&lt;=1,(C18+C19+C20+C23+C24)*F26*'数据-取费表'!B24/2,(C18+C19+C20+C23+C24)*(POWER((1+F26),'数据-取费表'!B24/2)-1)),0)</f>
        <v>1130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5291</v>
      </c>
      <c r="D29" s="468"/>
      <c r="E29" s="468"/>
      <c r="F29" s="3062">
        <f>'数据-取费表'!B41</f>
        <v>5.6000000000000001E-2</v>
      </c>
      <c r="G29" s="2846" t="s">
        <v>498</v>
      </c>
      <c r="H29" s="2838"/>
      <c r="I29" s="2838"/>
      <c r="J29" s="2838"/>
      <c r="K29" s="2839"/>
    </row>
    <row r="30" spans="1:14" s="2122" customFormat="1" ht="13.5" customHeight="1">
      <c r="A30" s="1636" t="s">
        <v>1864</v>
      </c>
      <c r="B30" s="2887" t="s">
        <v>500</v>
      </c>
      <c r="C30" s="2882">
        <f ca="1">C31</f>
        <v>30215</v>
      </c>
      <c r="D30" s="477">
        <f ca="1">C32</f>
        <v>0.12909999999999999</v>
      </c>
      <c r="E30" s="469" t="s">
        <v>495</v>
      </c>
      <c r="F30" s="471"/>
      <c r="G30" s="2845" t="s">
        <v>2970</v>
      </c>
      <c r="H30" s="2838"/>
      <c r="I30" s="2838"/>
      <c r="J30" s="2838"/>
      <c r="K30" s="2839"/>
    </row>
    <row r="31" spans="1:14" s="2121" customFormat="1" ht="13.5" customHeight="1">
      <c r="A31" s="803" t="s">
        <v>1857</v>
      </c>
      <c r="B31" s="2883"/>
      <c r="C31" s="450">
        <f ca="1">C18+C19+C20+C23+C24+C26+C29</f>
        <v>30215</v>
      </c>
      <c r="D31" s="472"/>
      <c r="E31" s="473"/>
      <c r="F31" s="474"/>
      <c r="G31" s="261"/>
      <c r="H31" s="2840"/>
      <c r="I31" s="2840"/>
      <c r="J31" s="2840"/>
      <c r="K31" s="279"/>
    </row>
    <row r="32" spans="1:14" s="2121" customFormat="1" ht="13.5" customHeight="1">
      <c r="A32" s="803" t="s">
        <v>1858</v>
      </c>
      <c r="B32" s="2883"/>
      <c r="C32" s="53">
        <f ca="1">ROUND(C25+D26,4)</f>
        <v>0.12909999999999999</v>
      </c>
      <c r="D32" s="472"/>
      <c r="E32" s="473"/>
      <c r="F32" s="474"/>
      <c r="G32" s="261"/>
      <c r="H32" s="2840"/>
      <c r="I32" s="2840"/>
      <c r="J32" s="2840"/>
      <c r="K32" s="279"/>
    </row>
    <row r="33" spans="1:11" s="2123" customFormat="1" ht="13.5" customHeight="1">
      <c r="A33" s="3059" t="s">
        <v>2832</v>
      </c>
      <c r="B33" s="3057" t="s">
        <v>2830</v>
      </c>
      <c r="C33" s="478">
        <f ca="1">C35</f>
        <v>5949</v>
      </c>
      <c r="D33" s="467">
        <f ca="1">C34</f>
        <v>0.25729999999999997</v>
      </c>
      <c r="E33" s="469" t="s">
        <v>495</v>
      </c>
      <c r="F33" s="479">
        <f ca="1">IF(B1="",'数据-取费表'!Q16,INDIRECT("'数据-取费表'!q"&amp;$K$1))</f>
        <v>0.25</v>
      </c>
      <c r="G33" s="2841"/>
      <c r="H33" s="2842"/>
      <c r="I33" s="2842"/>
      <c r="J33" s="2842"/>
      <c r="K33" s="2843"/>
    </row>
    <row r="34" spans="1:11" s="2124" customFormat="1" ht="13.5" customHeight="1">
      <c r="A34" s="375" t="s">
        <v>1857</v>
      </c>
      <c r="B34" s="2888" t="s">
        <v>501</v>
      </c>
      <c r="C34" s="472">
        <f ca="1">ROUND((1+C25)*F33,4)</f>
        <v>0.25729999999999997</v>
      </c>
      <c r="D34" s="472"/>
      <c r="E34" s="473"/>
      <c r="F34" s="480"/>
      <c r="G34" s="261" t="s">
        <v>2290</v>
      </c>
      <c r="H34" s="2840"/>
      <c r="I34" s="2840"/>
      <c r="J34" s="2840"/>
      <c r="K34" s="279"/>
    </row>
    <row r="35" spans="1:11" s="2124" customFormat="1" ht="13.5" customHeight="1" thickBot="1">
      <c r="A35" s="1637" t="s">
        <v>1858</v>
      </c>
      <c r="B35" s="3058" t="s">
        <v>2838</v>
      </c>
      <c r="C35" s="1629">
        <f ca="1">ROUND((C18+C19+C20+C23+C24)*F33,0)</f>
        <v>5949</v>
      </c>
      <c r="D35" s="1630"/>
      <c r="E35" s="2889"/>
      <c r="F35" s="1631"/>
      <c r="G35" s="2847"/>
      <c r="H35" s="2848"/>
      <c r="I35" s="2848"/>
      <c r="J35" s="2848"/>
      <c r="K35" s="2849"/>
    </row>
    <row r="36" spans="1:11" s="2086" customFormat="1" ht="13.5" customHeight="1" thickBot="1">
      <c r="A36" s="284" t="s">
        <v>1845</v>
      </c>
      <c r="B36" s="2851"/>
      <c r="C36" s="2890">
        <f ca="1">ROUND((C6-C30-C33)/(1+D30+D33),0)</f>
        <v>45471</v>
      </c>
      <c r="D36" s="2851"/>
      <c r="E36" s="2851"/>
      <c r="F36" s="2851"/>
      <c r="G36" s="2850" t="s">
        <v>2839</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3" t="str">
        <f>项目基本情况!B1</f>
        <v>广东省汕头市龙湖区海湾公园片区（335-00-02-112）出让国有建设用地使用权市场价格预评估</v>
      </c>
      <c r="C37" s="3203"/>
      <c r="D37" s="3203"/>
      <c r="E37" s="3203"/>
      <c r="F37" s="3203"/>
      <c r="G37" s="3203"/>
      <c r="H37" s="3203"/>
      <c r="I37" s="3203"/>
    </row>
    <row r="38" spans="1:9">
      <c r="A38" s="1657"/>
      <c r="B38" s="1657"/>
    </row>
    <row r="39" spans="1:9">
      <c r="A39" s="1655" t="s">
        <v>1902</v>
      </c>
      <c r="B39" s="1655" t="s">
        <v>2046</v>
      </c>
    </row>
    <row r="40" spans="1:9">
      <c r="A40" s="1655"/>
      <c r="B40" s="1655" t="str">
        <f>项目基本情况!B5</f>
        <v>汕头蓝水星乐园有限公司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梁津、王鹏</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17722</v>
      </c>
      <c r="D13" s="451"/>
      <c r="E13" s="365"/>
      <c r="F13" s="452"/>
      <c r="G13" s="444"/>
      <c r="H13" s="447"/>
      <c r="I13" s="447"/>
      <c r="J13" s="447"/>
      <c r="K13" s="448"/>
    </row>
    <row r="14" spans="1:41" s="2117" customFormat="1" ht="13.5" customHeight="1">
      <c r="A14" s="1634" t="s">
        <v>1850</v>
      </c>
      <c r="B14" s="449" t="s">
        <v>480</v>
      </c>
      <c r="C14" s="53">
        <f ca="1">ROUND(C13*F14,0)</f>
        <v>532</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1181</v>
      </c>
      <c r="D16" s="451">
        <f ca="1">IF(B1="",'数据-汇总表'!E3,INDIRECT("'数据-取费表'!K"&amp;$K$1)+INDIRECT("'数据-取费表'!S"&amp;$K$1))</f>
        <v>59074.5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266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19701</v>
      </c>
      <c r="D18" s="461"/>
      <c r="E18" s="462"/>
      <c r="F18" s="462"/>
      <c r="G18" s="1327" t="s">
        <v>2432</v>
      </c>
      <c r="H18" s="447"/>
      <c r="I18" s="447"/>
      <c r="J18" s="447"/>
      <c r="K18" s="448"/>
    </row>
    <row r="19" spans="1:14" s="2120" customFormat="1" ht="13.5" customHeight="1">
      <c r="A19" s="1635" t="s">
        <v>1855</v>
      </c>
      <c r="B19" s="459" t="s">
        <v>493</v>
      </c>
      <c r="C19" s="460">
        <f ca="1">ROUND(C18*F19,0)</f>
        <v>394</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55">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955</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955</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57" t="s">
        <v>2831</v>
      </c>
      <c r="C24" s="478">
        <f ca="1">C25</f>
        <v>5024</v>
      </c>
      <c r="D24" s="489">
        <f ca="1">C26</f>
        <v>7.4999999999999997E-3</v>
      </c>
      <c r="E24" s="469" t="s">
        <v>507</v>
      </c>
      <c r="F24" s="479">
        <f ca="1">IF(B1="",'数据-取费表'!Q16,INDIRECT("'数据-取费表'!q"&amp;$K$1))</f>
        <v>0.25</v>
      </c>
      <c r="G24" s="444"/>
      <c r="H24" s="447"/>
      <c r="I24" s="447"/>
      <c r="J24" s="447"/>
      <c r="K24" s="448"/>
    </row>
    <row r="25" spans="1:14" s="2121" customFormat="1" ht="13.5" customHeight="1">
      <c r="A25" s="1634" t="s">
        <v>1849</v>
      </c>
      <c r="B25" s="1328" t="s">
        <v>2436</v>
      </c>
      <c r="C25" s="490">
        <f ca="1">ROUND((C18+C19)*F24,0)</f>
        <v>5024</v>
      </c>
      <c r="D25" s="472"/>
      <c r="E25" s="473"/>
      <c r="F25" s="480"/>
      <c r="G25" s="1326" t="s">
        <v>2433</v>
      </c>
      <c r="H25" s="457"/>
      <c r="I25" s="457"/>
      <c r="J25" s="457"/>
      <c r="K25" s="458"/>
    </row>
    <row r="26" spans="1:14" s="2121" customFormat="1" ht="13.5" customHeight="1">
      <c r="A26" s="1634" t="s">
        <v>1850</v>
      </c>
      <c r="B26" s="1328" t="s">
        <v>509</v>
      </c>
      <c r="C26" s="491">
        <f ca="1">ROUND(F20*F24,4)</f>
        <v>7.4999999999999997E-3</v>
      </c>
      <c r="D26" s="472"/>
      <c r="E26" s="481"/>
      <c r="F26" s="480"/>
      <c r="G26" s="1326" t="s">
        <v>510</v>
      </c>
      <c r="H26" s="457"/>
      <c r="I26" s="457"/>
      <c r="J26" s="457"/>
      <c r="K26" s="458"/>
    </row>
    <row r="27" spans="1:14" s="2121" customFormat="1" ht="13.5" customHeight="1">
      <c r="A27" s="1638" t="s">
        <v>1868</v>
      </c>
      <c r="B27" s="459" t="s">
        <v>511</v>
      </c>
      <c r="C27" s="3056">
        <f>ROUND(F27/(1+'数据-取费表'!C42),4)</f>
        <v>5.33E-2</v>
      </c>
      <c r="D27" s="462" t="s">
        <v>2829</v>
      </c>
      <c r="E27" s="462"/>
      <c r="F27" s="466">
        <f>'数据-取费表'!B41</f>
        <v>5.6000000000000001E-2</v>
      </c>
      <c r="G27" s="1961" t="s">
        <v>2291</v>
      </c>
      <c r="H27" s="447"/>
      <c r="I27" s="447"/>
      <c r="J27" s="447"/>
      <c r="K27" s="448"/>
    </row>
    <row r="28" spans="1:14" s="2122" customFormat="1" ht="13.5" customHeight="1">
      <c r="A28" s="1638" t="s">
        <v>1869</v>
      </c>
      <c r="B28" s="476" t="s">
        <v>512</v>
      </c>
      <c r="C28" s="470">
        <f ca="1">ROUND((C18+C19+C21+C24)/(1-C20-D21-D24-C27),0)</f>
        <v>28722</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94" t="s">
        <v>522</v>
      </c>
      <c r="D6" s="3395"/>
      <c r="E6" s="3420" t="s">
        <v>523</v>
      </c>
      <c r="F6" s="3421"/>
      <c r="G6" s="3394" t="s">
        <v>524</v>
      </c>
      <c r="H6" s="3395"/>
      <c r="I6" s="3394" t="s">
        <v>525</v>
      </c>
      <c r="J6" s="3395"/>
      <c r="K6" s="514" t="s">
        <v>526</v>
      </c>
      <c r="L6" s="2134"/>
      <c r="M6" s="2135"/>
      <c r="N6" s="2135"/>
      <c r="O6" s="2135"/>
      <c r="P6" s="3396" t="s">
        <v>527</v>
      </c>
      <c r="Q6" s="3397"/>
      <c r="R6" s="3382" t="s">
        <v>523</v>
      </c>
      <c r="S6" s="3383"/>
      <c r="T6" s="3382" t="s">
        <v>524</v>
      </c>
      <c r="U6" s="3383"/>
      <c r="V6" s="3402" t="s">
        <v>525</v>
      </c>
      <c r="W6" s="3402"/>
      <c r="X6" s="1568"/>
      <c r="Y6" s="3382" t="s">
        <v>527</v>
      </c>
      <c r="Z6" s="3383"/>
      <c r="AA6" s="3377" t="s">
        <v>523</v>
      </c>
      <c r="AB6" s="3378" t="s">
        <v>524</v>
      </c>
      <c r="AC6" s="3377" t="s">
        <v>525</v>
      </c>
    </row>
    <row r="7" spans="1:29" ht="15">
      <c r="A7" s="515"/>
      <c r="B7" s="516"/>
      <c r="C7" s="3407" t="s">
        <v>2925</v>
      </c>
      <c r="D7" s="3406"/>
      <c r="E7" s="3422" t="s">
        <v>2926</v>
      </c>
      <c r="F7" s="3423"/>
      <c r="G7" s="3407" t="s">
        <v>2927</v>
      </c>
      <c r="H7" s="3406"/>
      <c r="I7" s="3407" t="s">
        <v>2928</v>
      </c>
      <c r="J7" s="3406"/>
      <c r="K7" s="514"/>
      <c r="L7" s="2134"/>
      <c r="M7" s="2135"/>
      <c r="N7" s="2135"/>
      <c r="O7" s="2135"/>
      <c r="P7" s="3398"/>
      <c r="Q7" s="3399"/>
      <c r="R7" s="3384"/>
      <c r="S7" s="3385"/>
      <c r="T7" s="3384"/>
      <c r="U7" s="3385"/>
      <c r="V7" s="3402"/>
      <c r="W7" s="3402"/>
      <c r="X7" s="1568"/>
      <c r="Y7" s="3384"/>
      <c r="Z7" s="3385"/>
      <c r="AA7" s="3378"/>
      <c r="AB7" s="3378"/>
      <c r="AC7" s="3378"/>
    </row>
    <row r="8" spans="1:29" ht="15.75" thickBot="1">
      <c r="A8" s="517"/>
      <c r="B8" s="518"/>
      <c r="C8" s="3424" t="s">
        <v>2929</v>
      </c>
      <c r="D8" s="3404"/>
      <c r="E8" s="3425" t="s">
        <v>2929</v>
      </c>
      <c r="F8" s="3426"/>
      <c r="G8" s="3424" t="s">
        <v>2929</v>
      </c>
      <c r="H8" s="3404"/>
      <c r="I8" s="3424" t="s">
        <v>2929</v>
      </c>
      <c r="J8" s="3404"/>
      <c r="K8" s="514" t="s">
        <v>528</v>
      </c>
      <c r="L8" s="2134"/>
      <c r="M8" s="2135"/>
      <c r="N8" s="2135"/>
      <c r="O8" s="2135"/>
      <c r="P8" s="3400"/>
      <c r="Q8" s="3401"/>
      <c r="R8" s="3384"/>
      <c r="S8" s="3385"/>
      <c r="T8" s="3386"/>
      <c r="U8" s="3387"/>
      <c r="V8" s="3402"/>
      <c r="W8" s="3402"/>
      <c r="X8" s="1568"/>
      <c r="Y8" s="3386"/>
      <c r="Z8" s="3387"/>
      <c r="AA8" s="3379"/>
      <c r="AB8" s="3379"/>
      <c r="AC8" s="3379"/>
    </row>
    <row r="9" spans="1:29" s="1220" customFormat="1" ht="15.75" thickBot="1">
      <c r="A9" s="2937"/>
      <c r="B9" s="2944" t="s">
        <v>529</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0" t="s">
        <v>530</v>
      </c>
      <c r="Q9" s="3389"/>
      <c r="R9" s="1569" t="s">
        <v>8</v>
      </c>
      <c r="S9" s="1570">
        <f t="shared" ref="S9:S17" si="0">F9</f>
        <v>0</v>
      </c>
      <c r="T9" s="1569" t="s">
        <v>8</v>
      </c>
      <c r="U9" s="1570">
        <f t="shared" ref="U9:U17" si="1">H9</f>
        <v>0</v>
      </c>
      <c r="V9" s="1569" t="s">
        <v>8</v>
      </c>
      <c r="W9" s="1570">
        <f t="shared" ref="W9:W17" si="2">J9</f>
        <v>0</v>
      </c>
      <c r="X9" s="1571"/>
      <c r="Y9" s="3380" t="s">
        <v>530</v>
      </c>
      <c r="Z9" s="3381"/>
      <c r="AA9" s="1572" t="e">
        <f>D9/F9</f>
        <v>#DIV/0!</v>
      </c>
      <c r="AB9" s="1572" t="e">
        <f>D9/H9</f>
        <v>#DIV/0!</v>
      </c>
      <c r="AC9" s="1572" t="e">
        <f>D9/J9</f>
        <v>#DIV/0!</v>
      </c>
    </row>
    <row r="10" spans="1:29" s="1220"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0" t="s">
        <v>533</v>
      </c>
      <c r="Q10" s="3381"/>
      <c r="R10" s="1569" t="s">
        <v>8</v>
      </c>
      <c r="S10" s="1570">
        <f t="shared" si="0"/>
        <v>0</v>
      </c>
      <c r="T10" s="1569" t="s">
        <v>8</v>
      </c>
      <c r="U10" s="1570">
        <f t="shared" si="1"/>
        <v>0</v>
      </c>
      <c r="V10" s="1569" t="s">
        <v>8</v>
      </c>
      <c r="W10" s="1570">
        <f t="shared" si="2"/>
        <v>0</v>
      </c>
      <c r="X10" s="1571"/>
      <c r="Y10" s="3380" t="s">
        <v>533</v>
      </c>
      <c r="Z10" s="3381"/>
      <c r="AA10" s="1572" t="e">
        <f t="shared" ref="AA10:AA42" si="3">D10/F10</f>
        <v>#DIV/0!</v>
      </c>
      <c r="AB10" s="1572" t="e">
        <f t="shared" ref="AB10:AB42" si="4">D10/H10</f>
        <v>#DIV/0!</v>
      </c>
      <c r="AC10" s="1572" t="e">
        <f t="shared" ref="AC10:AC42" si="5">D10/J10</f>
        <v>#DIV/0!</v>
      </c>
    </row>
    <row r="11" spans="1:29" s="1220" customFormat="1" ht="15">
      <c r="A11" s="2939"/>
      <c r="B11" s="2946"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8" t="s">
        <v>535</v>
      </c>
      <c r="Q11" s="1151" t="str">
        <f t="shared" ref="Q11:Q17" si="6">B11</f>
        <v>用途</v>
      </c>
      <c r="R11" s="1569" t="s">
        <v>8</v>
      </c>
      <c r="S11" s="1570">
        <f t="shared" si="0"/>
        <v>100</v>
      </c>
      <c r="T11" s="1569" t="s">
        <v>8</v>
      </c>
      <c r="U11" s="1570">
        <f t="shared" si="1"/>
        <v>100</v>
      </c>
      <c r="V11" s="1569" t="s">
        <v>8</v>
      </c>
      <c r="W11" s="1570">
        <f t="shared" si="2"/>
        <v>100</v>
      </c>
      <c r="X11" s="1571"/>
      <c r="Y11" s="3341" t="s">
        <v>536</v>
      </c>
      <c r="Z11" s="1150" t="str">
        <f t="shared" ref="Z11:Z17" si="7">Q11</f>
        <v>用途</v>
      </c>
      <c r="AA11" s="1572">
        <f t="shared" si="3"/>
        <v>1</v>
      </c>
      <c r="AB11" s="1572">
        <f t="shared" si="4"/>
        <v>1</v>
      </c>
      <c r="AC11" s="1572">
        <f t="shared" si="5"/>
        <v>1</v>
      </c>
    </row>
    <row r="12" spans="1:29" s="1338" customFormat="1" ht="27">
      <c r="A12" s="2940"/>
      <c r="B12" s="2945" t="s">
        <v>2756</v>
      </c>
      <c r="C12" s="528"/>
      <c r="D12" s="255">
        <v>100</v>
      </c>
      <c r="E12" s="528"/>
      <c r="F12" s="255">
        <f>ROUND(100/'数据-取费表'!G16,0)</f>
        <v>114</v>
      </c>
      <c r="G12" s="528"/>
      <c r="H12" s="255">
        <f>ROUND(100/'数据-取费表'!G16,0)</f>
        <v>114</v>
      </c>
      <c r="I12" s="528"/>
      <c r="J12" s="255">
        <f>ROUND(100/'数据-取费表'!G16,0)</f>
        <v>114</v>
      </c>
      <c r="K12" s="531"/>
      <c r="L12" s="2139"/>
      <c r="M12" s="2179"/>
      <c r="N12" s="2179"/>
      <c r="O12" s="2140"/>
      <c r="P12" s="3388"/>
      <c r="Q12" s="1151" t="str">
        <f t="shared" si="6"/>
        <v>土地使用年限（年）</v>
      </c>
      <c r="R12" s="1569" t="s">
        <v>8</v>
      </c>
      <c r="S12" s="1570">
        <f t="shared" si="0"/>
        <v>114</v>
      </c>
      <c r="T12" s="1569" t="s">
        <v>8</v>
      </c>
      <c r="U12" s="1570">
        <f t="shared" si="1"/>
        <v>114</v>
      </c>
      <c r="V12" s="1569" t="s">
        <v>8</v>
      </c>
      <c r="W12" s="1570">
        <f t="shared" si="2"/>
        <v>114</v>
      </c>
      <c r="X12" s="1571"/>
      <c r="Y12" s="3341"/>
      <c r="Z12" s="1150" t="str">
        <f t="shared" si="7"/>
        <v>土地使用年限（年）</v>
      </c>
      <c r="AA12" s="1572">
        <f t="shared" si="3"/>
        <v>0.8771929824561403</v>
      </c>
      <c r="AB12" s="1572">
        <f t="shared" si="4"/>
        <v>0.8771929824561403</v>
      </c>
      <c r="AC12" s="1572">
        <f t="shared" si="5"/>
        <v>0.8771929824561403</v>
      </c>
    </row>
    <row r="13" spans="1:29" ht="15">
      <c r="A13" s="2941"/>
      <c r="B13" s="294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8"/>
      <c r="Q13" s="1151" t="str">
        <f t="shared" si="6"/>
        <v>容积率</v>
      </c>
      <c r="R13" s="1569" t="s">
        <v>8</v>
      </c>
      <c r="S13" s="1570" t="e">
        <f t="shared" si="0"/>
        <v>#N/A</v>
      </c>
      <c r="T13" s="1569" t="s">
        <v>8</v>
      </c>
      <c r="U13" s="1570" t="e">
        <f t="shared" si="1"/>
        <v>#N/A</v>
      </c>
      <c r="V13" s="1569" t="s">
        <v>8</v>
      </c>
      <c r="W13" s="1570" t="e">
        <f t="shared" si="2"/>
        <v>#N/A</v>
      </c>
      <c r="X13" s="1571"/>
      <c r="Y13" s="3341"/>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8"/>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8"/>
      <c r="Q15" s="1151">
        <f t="shared" si="6"/>
        <v>111</v>
      </c>
      <c r="R15" s="1569" t="s">
        <v>8</v>
      </c>
      <c r="S15" s="1570">
        <f t="shared" si="0"/>
        <v>100</v>
      </c>
      <c r="T15" s="1569" t="s">
        <v>8</v>
      </c>
      <c r="U15" s="1570">
        <f t="shared" si="1"/>
        <v>100</v>
      </c>
      <c r="V15" s="1569" t="s">
        <v>8</v>
      </c>
      <c r="W15" s="1570">
        <f t="shared" si="2"/>
        <v>100</v>
      </c>
      <c r="X15" s="1571"/>
      <c r="Y15" s="3341"/>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8"/>
      <c r="Q16" s="1151">
        <f t="shared" si="6"/>
        <v>111</v>
      </c>
      <c r="R16" s="1569" t="s">
        <v>8</v>
      </c>
      <c r="S16" s="1570">
        <f t="shared" si="0"/>
        <v>100</v>
      </c>
      <c r="T16" s="1569" t="s">
        <v>8</v>
      </c>
      <c r="U16" s="1570">
        <f t="shared" si="1"/>
        <v>100</v>
      </c>
      <c r="V16" s="1569" t="s">
        <v>8</v>
      </c>
      <c r="W16" s="1570">
        <f t="shared" si="2"/>
        <v>100</v>
      </c>
      <c r="X16" s="1571"/>
      <c r="Y16" s="3341"/>
      <c r="Z16" s="1150">
        <f t="shared" si="7"/>
        <v>111</v>
      </c>
      <c r="AA16" s="1572">
        <f t="shared" si="3"/>
        <v>1</v>
      </c>
      <c r="AB16" s="1572">
        <f t="shared" si="4"/>
        <v>1</v>
      </c>
      <c r="AC16" s="1572">
        <f t="shared" si="5"/>
        <v>1</v>
      </c>
    </row>
    <row r="17" spans="1:29" ht="57">
      <c r="A17" s="2935"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0" t="s">
        <v>540</v>
      </c>
      <c r="Q17" s="1573" t="str">
        <f t="shared" si="6"/>
        <v>产业集聚程度</v>
      </c>
      <c r="R17" s="1574" t="s">
        <v>8</v>
      </c>
      <c r="S17" s="1575">
        <f t="shared" si="0"/>
        <v>100</v>
      </c>
      <c r="T17" s="1574" t="s">
        <v>8</v>
      </c>
      <c r="U17" s="1575">
        <f t="shared" si="1"/>
        <v>100</v>
      </c>
      <c r="V17" s="1574" t="s">
        <v>8</v>
      </c>
      <c r="W17" s="1575">
        <f t="shared" si="2"/>
        <v>100</v>
      </c>
      <c r="X17" s="1568"/>
      <c r="Y17" s="339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1"/>
      <c r="Q18" s="1573"/>
      <c r="R18" s="1574"/>
      <c r="S18" s="1575"/>
      <c r="T18" s="1574"/>
      <c r="U18" s="1575"/>
      <c r="V18" s="1574"/>
      <c r="W18" s="1575"/>
      <c r="X18" s="1568"/>
      <c r="Y18" s="339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1"/>
      <c r="Q19" s="1573" t="str">
        <f>B19</f>
        <v>交通便捷度</v>
      </c>
      <c r="R19" s="1574" t="s">
        <v>8</v>
      </c>
      <c r="S19" s="1575">
        <f>F19</f>
        <v>100</v>
      </c>
      <c r="T19" s="1574" t="s">
        <v>8</v>
      </c>
      <c r="U19" s="1575">
        <f>H19</f>
        <v>100</v>
      </c>
      <c r="V19" s="1574" t="s">
        <v>8</v>
      </c>
      <c r="W19" s="1575">
        <f>J19</f>
        <v>100</v>
      </c>
      <c r="X19" s="1568"/>
      <c r="Y19" s="339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1"/>
      <c r="Q21" s="1573" t="str">
        <f t="shared" ref="Q21:Q35" si="8">B21</f>
        <v>区域土地利用方向</v>
      </c>
      <c r="R21" s="1574" t="s">
        <v>8</v>
      </c>
      <c r="S21" s="1575">
        <f>F21</f>
        <v>100</v>
      </c>
      <c r="T21" s="1574" t="s">
        <v>8</v>
      </c>
      <c r="U21" s="1575">
        <f>H21</f>
        <v>100</v>
      </c>
      <c r="V21" s="1574" t="s">
        <v>8</v>
      </c>
      <c r="W21" s="1575">
        <f>J21</f>
        <v>100</v>
      </c>
      <c r="X21" s="1568"/>
      <c r="Y21" s="339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1"/>
      <c r="Q22" s="1573"/>
      <c r="R22" s="1574"/>
      <c r="S22" s="1575"/>
      <c r="T22" s="1574"/>
      <c r="U22" s="1575"/>
      <c r="V22" s="1574"/>
      <c r="W22" s="1575"/>
      <c r="X22" s="1568"/>
      <c r="Y22" s="339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1"/>
      <c r="Q23" s="1573" t="str">
        <f t="shared" si="8"/>
        <v>环境状况</v>
      </c>
      <c r="R23" s="1574" t="s">
        <v>8</v>
      </c>
      <c r="S23" s="1575">
        <f>F23</f>
        <v>100</v>
      </c>
      <c r="T23" s="1574" t="s">
        <v>8</v>
      </c>
      <c r="U23" s="1575">
        <f>H23</f>
        <v>100</v>
      </c>
      <c r="V23" s="1574" t="s">
        <v>8</v>
      </c>
      <c r="W23" s="1575">
        <f>J23</f>
        <v>100</v>
      </c>
      <c r="X23" s="1568"/>
      <c r="Y23" s="339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1"/>
      <c r="Q24" s="1573"/>
      <c r="R24" s="1574"/>
      <c r="S24" s="1575"/>
      <c r="T24" s="1574"/>
      <c r="U24" s="1575"/>
      <c r="V24" s="1574"/>
      <c r="W24" s="1575"/>
      <c r="X24" s="1568"/>
      <c r="Y24" s="3391"/>
      <c r="Z24" s="1576"/>
      <c r="AA24" s="1577">
        <v>1</v>
      </c>
      <c r="AB24" s="1577">
        <v>1</v>
      </c>
      <c r="AC24" s="1577">
        <v>1</v>
      </c>
    </row>
    <row r="25" spans="1:29" s="1220" customFormat="1" ht="42.75">
      <c r="A25" s="577"/>
      <c r="B25" s="261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1"/>
      <c r="Q25" s="1151" t="str">
        <f t="shared" si="8"/>
        <v>公共配套设施</v>
      </c>
      <c r="R25" s="1569" t="s">
        <v>8</v>
      </c>
      <c r="S25" s="1570">
        <f>F25</f>
        <v>100</v>
      </c>
      <c r="T25" s="1569" t="s">
        <v>8</v>
      </c>
      <c r="U25" s="1570">
        <f>H25</f>
        <v>100</v>
      </c>
      <c r="V25" s="1569" t="s">
        <v>8</v>
      </c>
      <c r="W25" s="1570">
        <f>J25</f>
        <v>100</v>
      </c>
      <c r="X25" s="1571"/>
      <c r="Y25" s="3391"/>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391"/>
      <c r="Q26" s="1151"/>
      <c r="R26" s="1569"/>
      <c r="S26" s="1570"/>
      <c r="T26" s="1569"/>
      <c r="U26" s="1570"/>
      <c r="V26" s="1569"/>
      <c r="W26" s="1570"/>
      <c r="X26" s="1571"/>
      <c r="Y26" s="3391"/>
      <c r="Z26" s="1150"/>
      <c r="AA26" s="1572">
        <v>1</v>
      </c>
      <c r="AB26" s="1572">
        <v>1</v>
      </c>
      <c r="AC26" s="1572">
        <v>1</v>
      </c>
    </row>
    <row r="27" spans="1:29" s="1220" customFormat="1" ht="28.5">
      <c r="A27" s="577"/>
      <c r="B27" s="261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1"/>
      <c r="Q27" s="2603" t="str">
        <f>B27</f>
        <v>基础设施水平</v>
      </c>
      <c r="R27" s="1569" t="s">
        <v>8</v>
      </c>
      <c r="S27" s="1570">
        <f>F27</f>
        <v>100</v>
      </c>
      <c r="T27" s="1569" t="s">
        <v>8</v>
      </c>
      <c r="U27" s="1570">
        <f>H27</f>
        <v>100</v>
      </c>
      <c r="V27" s="1569" t="s">
        <v>8</v>
      </c>
      <c r="W27" s="1570">
        <f>J27</f>
        <v>100</v>
      </c>
      <c r="X27" s="1571"/>
      <c r="Y27" s="3391"/>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391"/>
      <c r="Q28" s="2603"/>
      <c r="R28" s="1569"/>
      <c r="S28" s="1570"/>
      <c r="T28" s="1569"/>
      <c r="U28" s="1570"/>
      <c r="V28" s="1569"/>
      <c r="W28" s="1570"/>
      <c r="X28" s="1571"/>
      <c r="Y28" s="3391"/>
      <c r="Z28" s="2600"/>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1"/>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91"/>
      <c r="Z29" s="1576" t="str">
        <f t="shared" ref="Z29:Z42" si="12">Q29</f>
        <v>临街状况</v>
      </c>
      <c r="AA29" s="1577">
        <f t="shared" si="3"/>
        <v>1</v>
      </c>
      <c r="AB29" s="1577">
        <f t="shared" si="4"/>
        <v>1</v>
      </c>
      <c r="AC29" s="1577">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1"/>
      <c r="Q30" s="1573" t="str">
        <f t="shared" si="8"/>
        <v>毗邻道路的类型与等级</v>
      </c>
      <c r="R30" s="1574" t="s">
        <v>8</v>
      </c>
      <c r="S30" s="1575">
        <f t="shared" si="9"/>
        <v>100</v>
      </c>
      <c r="T30" s="1574" t="s">
        <v>8</v>
      </c>
      <c r="U30" s="1575">
        <f t="shared" si="10"/>
        <v>100</v>
      </c>
      <c r="V30" s="1574" t="s">
        <v>8</v>
      </c>
      <c r="W30" s="1575">
        <f t="shared" si="11"/>
        <v>100</v>
      </c>
      <c r="X30" s="1568"/>
      <c r="Y30" s="3391"/>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91"/>
      <c r="Q31" s="1573"/>
      <c r="R31" s="1574"/>
      <c r="S31" s="1575"/>
      <c r="T31" s="1574"/>
      <c r="U31" s="1575"/>
      <c r="V31" s="1574"/>
      <c r="W31" s="1575"/>
      <c r="X31" s="1568"/>
      <c r="Y31" s="3391"/>
      <c r="Z31" s="1576"/>
      <c r="AA31" s="1577">
        <v>1</v>
      </c>
      <c r="AB31" s="1577">
        <v>1</v>
      </c>
      <c r="AC31" s="1577">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1"/>
      <c r="Q32" s="1573" t="str">
        <f t="shared" si="8"/>
        <v>土地级别</v>
      </c>
      <c r="R32" s="1574" t="s">
        <v>8</v>
      </c>
      <c r="S32" s="1575">
        <f t="shared" si="9"/>
        <v>100</v>
      </c>
      <c r="T32" s="1574" t="s">
        <v>8</v>
      </c>
      <c r="U32" s="1575">
        <f t="shared" si="10"/>
        <v>100</v>
      </c>
      <c r="V32" s="1574" t="s">
        <v>8</v>
      </c>
      <c r="W32" s="1575">
        <f t="shared" si="11"/>
        <v>100</v>
      </c>
      <c r="X32" s="1568"/>
      <c r="Y32" s="3391"/>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1"/>
      <c r="Q33" s="1573">
        <f t="shared" si="8"/>
        <v>111</v>
      </c>
      <c r="R33" s="1574" t="s">
        <v>8</v>
      </c>
      <c r="S33" s="1575">
        <f t="shared" si="9"/>
        <v>100</v>
      </c>
      <c r="T33" s="1574" t="s">
        <v>8</v>
      </c>
      <c r="U33" s="1575">
        <f t="shared" si="10"/>
        <v>100</v>
      </c>
      <c r="V33" s="1574" t="s">
        <v>8</v>
      </c>
      <c r="W33" s="1575">
        <f t="shared" si="11"/>
        <v>100</v>
      </c>
      <c r="X33" s="1568"/>
      <c r="Y33" s="3391"/>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2" t="s">
        <v>550</v>
      </c>
      <c r="Q34" s="1573">
        <f t="shared" si="8"/>
        <v>111</v>
      </c>
      <c r="R34" s="1574" t="s">
        <v>8</v>
      </c>
      <c r="S34" s="1575">
        <f t="shared" si="9"/>
        <v>100</v>
      </c>
      <c r="T34" s="1574" t="s">
        <v>8</v>
      </c>
      <c r="U34" s="1575">
        <f t="shared" si="10"/>
        <v>100</v>
      </c>
      <c r="V34" s="1574" t="s">
        <v>8</v>
      </c>
      <c r="W34" s="1575">
        <f t="shared" si="11"/>
        <v>100</v>
      </c>
      <c r="X34" s="1568"/>
      <c r="Y34" s="3393" t="s">
        <v>550</v>
      </c>
      <c r="Z34" s="1576">
        <f t="shared" si="12"/>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3"/>
      <c r="Q35" s="1573">
        <f t="shared" si="8"/>
        <v>111</v>
      </c>
      <c r="R35" s="1578" t="s">
        <v>8</v>
      </c>
      <c r="S35" s="1579">
        <f t="shared" si="9"/>
        <v>100</v>
      </c>
      <c r="T35" s="1578" t="s">
        <v>8</v>
      </c>
      <c r="U35" s="1579">
        <f t="shared" si="10"/>
        <v>100</v>
      </c>
      <c r="V35" s="1578" t="s">
        <v>8</v>
      </c>
      <c r="W35" s="1579">
        <f t="shared" si="11"/>
        <v>100</v>
      </c>
      <c r="X35" s="1580"/>
      <c r="Y35" s="3393"/>
      <c r="Z35" s="1581">
        <f t="shared" si="12"/>
        <v>111</v>
      </c>
      <c r="AA35" s="1577">
        <f t="shared" si="3"/>
        <v>1</v>
      </c>
      <c r="AB35" s="1577">
        <f t="shared" si="4"/>
        <v>1</v>
      </c>
      <c r="AC35" s="1577">
        <f t="shared" si="5"/>
        <v>1</v>
      </c>
    </row>
    <row r="36" spans="1:29" ht="15">
      <c r="A36" s="293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3"/>
      <c r="Q36" s="1573" t="str">
        <f>B36</f>
        <v>宗地面积</v>
      </c>
      <c r="R36" s="1574" t="s">
        <v>8</v>
      </c>
      <c r="S36" s="1575" t="e">
        <f t="shared" si="9"/>
        <v>#N/A</v>
      </c>
      <c r="T36" s="1574" t="s">
        <v>8</v>
      </c>
      <c r="U36" s="1575" t="e">
        <f t="shared" si="10"/>
        <v>#N/A</v>
      </c>
      <c r="V36" s="1574" t="s">
        <v>8</v>
      </c>
      <c r="W36" s="1575" t="e">
        <f t="shared" si="11"/>
        <v>#N/A</v>
      </c>
      <c r="X36" s="1568"/>
      <c r="Y36" s="3393"/>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3"/>
      <c r="Q37" s="1573" t="str">
        <f t="shared" ref="Q37:Q42" si="13">B37</f>
        <v>宗地形状</v>
      </c>
      <c r="R37" s="1574" t="s">
        <v>8</v>
      </c>
      <c r="S37" s="1575">
        <f t="shared" si="9"/>
        <v>100</v>
      </c>
      <c r="T37" s="1574" t="s">
        <v>8</v>
      </c>
      <c r="U37" s="1575">
        <f t="shared" si="10"/>
        <v>100</v>
      </c>
      <c r="V37" s="1574" t="s">
        <v>8</v>
      </c>
      <c r="W37" s="1575">
        <f t="shared" si="11"/>
        <v>100</v>
      </c>
      <c r="X37" s="1568"/>
      <c r="Y37" s="3393"/>
      <c r="Z37" s="1576" t="str">
        <f t="shared" si="12"/>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3"/>
      <c r="Q38" s="1573" t="str">
        <f t="shared" si="13"/>
        <v>宗地开发程度</v>
      </c>
      <c r="R38" s="1569" t="s">
        <v>8</v>
      </c>
      <c r="S38" s="1570">
        <f t="shared" si="9"/>
        <v>100</v>
      </c>
      <c r="T38" s="1569" t="s">
        <v>8</v>
      </c>
      <c r="U38" s="1570">
        <f t="shared" si="10"/>
        <v>100</v>
      </c>
      <c r="V38" s="1569" t="s">
        <v>8</v>
      </c>
      <c r="W38" s="1570">
        <f t="shared" si="11"/>
        <v>100</v>
      </c>
      <c r="X38" s="1571"/>
      <c r="Y38" s="3393"/>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3" t="s">
        <v>601</v>
      </c>
      <c r="Q39" s="1573" t="str">
        <f t="shared" si="13"/>
        <v>工程地质条件</v>
      </c>
      <c r="R39" s="1574" t="s">
        <v>8</v>
      </c>
      <c r="S39" s="1575">
        <f t="shared" si="9"/>
        <v>100</v>
      </c>
      <c r="T39" s="1574" t="s">
        <v>8</v>
      </c>
      <c r="U39" s="1575">
        <f t="shared" si="10"/>
        <v>100</v>
      </c>
      <c r="V39" s="1574" t="s">
        <v>8</v>
      </c>
      <c r="W39" s="1575">
        <f t="shared" si="11"/>
        <v>100</v>
      </c>
      <c r="X39" s="1568"/>
      <c r="Y39" s="3393"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3"/>
      <c r="Q40" s="1573">
        <f t="shared" si="13"/>
        <v>111</v>
      </c>
      <c r="R40" s="1574" t="s">
        <v>8</v>
      </c>
      <c r="S40" s="1575">
        <f t="shared" si="9"/>
        <v>100</v>
      </c>
      <c r="T40" s="1574" t="s">
        <v>8</v>
      </c>
      <c r="U40" s="1575">
        <f t="shared" si="10"/>
        <v>100</v>
      </c>
      <c r="V40" s="1574" t="s">
        <v>8</v>
      </c>
      <c r="W40" s="1575">
        <f t="shared" si="11"/>
        <v>100</v>
      </c>
      <c r="X40" s="1568"/>
      <c r="Y40" s="3393"/>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3"/>
      <c r="Q41" s="1573">
        <f t="shared" si="13"/>
        <v>111</v>
      </c>
      <c r="R41" s="1574" t="s">
        <v>8</v>
      </c>
      <c r="S41" s="1575">
        <f t="shared" si="9"/>
        <v>100</v>
      </c>
      <c r="T41" s="1574" t="s">
        <v>8</v>
      </c>
      <c r="U41" s="1575">
        <f t="shared" si="10"/>
        <v>100</v>
      </c>
      <c r="V41" s="1574" t="s">
        <v>8</v>
      </c>
      <c r="W41" s="1575">
        <f t="shared" si="11"/>
        <v>100</v>
      </c>
      <c r="X41" s="1568"/>
      <c r="Y41" s="3393"/>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3"/>
      <c r="Q42" s="1573">
        <f t="shared" si="13"/>
        <v>111</v>
      </c>
      <c r="R42" s="1578" t="s">
        <v>8</v>
      </c>
      <c r="S42" s="1579">
        <f t="shared" si="9"/>
        <v>100</v>
      </c>
      <c r="T42" s="1578" t="s">
        <v>8</v>
      </c>
      <c r="U42" s="1579">
        <f t="shared" si="10"/>
        <v>100</v>
      </c>
      <c r="V42" s="1578" t="s">
        <v>8</v>
      </c>
      <c r="W42" s="1579">
        <f t="shared" si="11"/>
        <v>100</v>
      </c>
      <c r="X42" s="1580"/>
      <c r="Y42" s="3393"/>
      <c r="Z42" s="1581">
        <f t="shared" si="12"/>
        <v>111</v>
      </c>
      <c r="AA42" s="1577">
        <f t="shared" si="3"/>
        <v>1</v>
      </c>
      <c r="AB42" s="1577">
        <f t="shared" si="4"/>
        <v>1</v>
      </c>
      <c r="AC42" s="1577">
        <f t="shared" si="5"/>
        <v>1</v>
      </c>
    </row>
    <row r="43" spans="1:29" ht="15">
      <c r="A43" s="607" t="s">
        <v>556</v>
      </c>
      <c r="B43" s="608" t="s">
        <v>2930</v>
      </c>
      <c r="C43" s="609" t="s">
        <v>1</v>
      </c>
      <c r="D43" s="610"/>
      <c r="E43" s="611"/>
      <c r="F43" s="612"/>
      <c r="G43" s="613"/>
      <c r="H43" s="614"/>
      <c r="I43" s="611"/>
      <c r="J43" s="614"/>
      <c r="K43" s="1340"/>
      <c r="L43" s="2145"/>
      <c r="M43" s="2135"/>
      <c r="N43" s="2135"/>
      <c r="O43" s="2146"/>
      <c r="P43" s="3388" t="str">
        <f>A43</f>
        <v>成交单价</v>
      </c>
      <c r="Q43" s="3388"/>
      <c r="R43" s="3402">
        <f>E43</f>
        <v>0</v>
      </c>
      <c r="S43" s="3402"/>
      <c r="T43" s="3402">
        <f>G43</f>
        <v>0</v>
      </c>
      <c r="U43" s="3402"/>
      <c r="V43" s="3402">
        <f>I43</f>
        <v>0</v>
      </c>
      <c r="W43" s="3402"/>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88" t="str">
        <f>A44</f>
        <v>比较价格（元/平方米）</v>
      </c>
      <c r="Q44" s="3388"/>
      <c r="R44" s="3414" t="e">
        <f>ROUND(PRODUCT(R43,AA9:AA42),0)</f>
        <v>#DIV/0!</v>
      </c>
      <c r="S44" s="3414"/>
      <c r="T44" s="3414" t="e">
        <f>ROUND(PRODUCT(T43,AB9:AB42),0)</f>
        <v>#DIV/0!</v>
      </c>
      <c r="U44" s="3414"/>
      <c r="V44" s="3414" t="e">
        <f>ROUND(PRODUCT(V43,AC9:AC42),0)</f>
        <v>#DIV/0!</v>
      </c>
      <c r="W44" s="3414"/>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5"/>
      <c r="M45" s="2135"/>
      <c r="N45" s="2135"/>
      <c r="O45" s="2146"/>
      <c r="P45" s="3411" t="str">
        <f>A45</f>
        <v>估价对象XX用房的比较价格（楼面单价，元/平方米）</v>
      </c>
      <c r="Q45" s="3412"/>
      <c r="R45" s="3413" t="e">
        <f>ROUND(AVERAGE(R44:V44),0)</f>
        <v>#DIV/0!</v>
      </c>
      <c r="S45" s="3413"/>
      <c r="T45" s="3413"/>
      <c r="U45" s="3413"/>
      <c r="V45" s="3413"/>
      <c r="W45" s="3413"/>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415" t="s">
        <v>2284</v>
      </c>
      <c r="H52" s="3416"/>
      <c r="I52" s="1953" t="s">
        <v>1948</v>
      </c>
      <c r="J52" s="1556" t="str">
        <f>项目基本情况!F41</f>
        <v>广东省汕头市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59074.5</v>
      </c>
      <c r="F53" s="1951" t="e">
        <f t="shared" ref="F53:F62" si="14">ROUND(B53*E53/10000,0)</f>
        <v>#DIV/0!</v>
      </c>
      <c r="G53" s="3417"/>
      <c r="H53" s="341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419"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41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41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41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2327</v>
      </c>
      <c r="B58" s="638" t="e">
        <f t="shared" si="16"/>
        <v>#DIV/0!</v>
      </c>
      <c r="C58" s="378">
        <f t="shared" si="15"/>
        <v>0</v>
      </c>
      <c r="D58" s="2230">
        <v>0.25</v>
      </c>
      <c r="E58" s="641">
        <f>'数据-汇总表'!E11</f>
        <v>0</v>
      </c>
      <c r="F58" s="1951" t="e">
        <f t="shared" si="14"/>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7876.6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7">EDATE(D65,-3)</f>
        <v>43040</v>
      </c>
      <c r="F65" s="2824">
        <f t="shared" si="17"/>
        <v>42948</v>
      </c>
      <c r="G65" s="2824">
        <f t="shared" si="17"/>
        <v>42856</v>
      </c>
      <c r="H65" s="2824">
        <f t="shared" si="17"/>
        <v>42767</v>
      </c>
      <c r="I65" s="2824">
        <f t="shared" si="17"/>
        <v>42675</v>
      </c>
      <c r="J65" s="2824">
        <f t="shared" si="17"/>
        <v>42583</v>
      </c>
      <c r="K65" s="2824">
        <f t="shared" si="17"/>
        <v>42491</v>
      </c>
      <c r="L65" s="2824">
        <f t="shared" si="17"/>
        <v>42401</v>
      </c>
      <c r="M65" s="2824">
        <f t="shared" si="17"/>
        <v>42309</v>
      </c>
      <c r="N65" s="2824">
        <f t="shared" si="17"/>
        <v>42217</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2532</v>
      </c>
      <c r="B67" s="646"/>
      <c r="C67" s="2819" t="str">
        <f>YEAR(C65)&amp;"-"&amp;ROUNDUP(MONTH(C65)/3,0)</f>
        <v>2018-2</v>
      </c>
      <c r="D67" s="2826" t="str">
        <f t="shared" ref="D67:N67" si="18">YEAR(D65)&amp;"-"&amp;ROUNDUP(MONTH(D65)/3,0)</f>
        <v>2018-1</v>
      </c>
      <c r="E67" s="2826" t="str">
        <f t="shared" si="18"/>
        <v>2017-4</v>
      </c>
      <c r="F67" s="2826" t="str">
        <f t="shared" si="18"/>
        <v>2017-3</v>
      </c>
      <c r="G67" s="2826" t="str">
        <f t="shared" si="18"/>
        <v>2017-2</v>
      </c>
      <c r="H67" s="2826" t="str">
        <f t="shared" si="18"/>
        <v>2017-1</v>
      </c>
      <c r="I67" s="2826" t="str">
        <f t="shared" si="18"/>
        <v>2016-4</v>
      </c>
      <c r="J67" s="2826" t="str">
        <f t="shared" si="18"/>
        <v>2016-3</v>
      </c>
      <c r="K67" s="2826" t="str">
        <f t="shared" si="18"/>
        <v>2016-2</v>
      </c>
      <c r="L67" s="2826" t="str">
        <f t="shared" si="18"/>
        <v>2016-1</v>
      </c>
      <c r="M67" s="2826" t="str">
        <f t="shared" si="18"/>
        <v>2015-4</v>
      </c>
      <c r="N67" s="2826" t="str">
        <f t="shared" si="18"/>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2648</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2547</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2549</v>
      </c>
      <c r="C95" s="2623" t="s">
        <v>2550</v>
      </c>
      <c r="D95" s="2623" t="s">
        <v>2551</v>
      </c>
      <c r="E95" s="2623" t="s">
        <v>2552</v>
      </c>
      <c r="F95" s="2623" t="s">
        <v>2553</v>
      </c>
      <c r="G95" s="2623" t="s">
        <v>2554</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18" t="str">
        <f t="shared" si="24"/>
        <v>(含)-</v>
      </c>
      <c r="L109" s="3119" t="str">
        <f t="shared" si="24"/>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77"/>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61" t="s">
        <v>2761</v>
      </c>
      <c r="S1" s="2961" t="s">
        <v>2762</v>
      </c>
      <c r="T1" s="2961" t="s">
        <v>2783</v>
      </c>
      <c r="U1" s="2961" t="s">
        <v>2784</v>
      </c>
      <c r="V1" s="2961" t="s">
        <v>2785</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2932</v>
      </c>
      <c r="G3" s="1039">
        <f>IF(F3="宗地容积率",'数据-汇总表'!I4,IF(F3="估价对象容积率",'数据-汇总表'!I6,'数据-汇总表'!I7))</f>
        <v>7.5</v>
      </c>
      <c r="H3" s="1415" t="s">
        <v>929</v>
      </c>
      <c r="I3" s="1040">
        <v>8</v>
      </c>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2280</v>
      </c>
      <c r="B4" s="2478"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20"/>
      <c r="AE6" s="1420"/>
      <c r="AF6" s="1420"/>
      <c r="AG6" s="1420"/>
      <c r="AH6" s="1420"/>
      <c r="AI6" s="1420"/>
      <c r="AJ6" s="1421"/>
    </row>
    <row r="7" spans="1:39" ht="24">
      <c r="A7" s="3428" t="str">
        <f>IF(E2="商业",IF(C8="不临58条商业街","",2),"")</f>
        <v/>
      </c>
      <c r="B7" s="1428" t="s">
        <v>932</v>
      </c>
      <c r="C7" s="1043" t="e">
        <f>IF(C8="不临58条商业街",1,ROUND(1+(1.6*E8+1.2*E9+0.8*E10+0.4*E11)*C9,4))</f>
        <v>#DIV/0!</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2764</v>
      </c>
      <c r="X7" s="2952">
        <f>G2</f>
        <v>0</v>
      </c>
      <c r="Y7" s="2952" t="s">
        <v>2765</v>
      </c>
      <c r="Z7" s="2953">
        <f>G3</f>
        <v>7.5</v>
      </c>
      <c r="AA7" s="2193"/>
      <c r="AB7" s="2193"/>
      <c r="AC7" s="2194"/>
      <c r="AD7" s="2954"/>
      <c r="AE7" s="2954"/>
      <c r="AF7" s="2954"/>
      <c r="AG7" s="2954"/>
      <c r="AH7" s="2954"/>
      <c r="AI7" s="2954"/>
      <c r="AJ7" s="2955"/>
    </row>
    <row r="8" spans="1:39" ht="15">
      <c r="A8" s="3429"/>
      <c r="B8" s="1415" t="s">
        <v>934</v>
      </c>
      <c r="C8" s="1530"/>
      <c r="D8" s="1045" t="s">
        <v>935</v>
      </c>
      <c r="E8" s="1046" t="e">
        <f>ROUND(C11/E7,4)</f>
        <v>#DIV/0!</v>
      </c>
      <c r="F8" s="1433" t="s">
        <v>936</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38" t="s">
        <v>2782</v>
      </c>
      <c r="X8" s="3439"/>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9"/>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37" t="s">
        <v>2778</v>
      </c>
      <c r="X9" s="2956" t="s">
        <v>2779</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9"/>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37"/>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9"/>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37" t="s">
        <v>2780</v>
      </c>
      <c r="X11" s="1048" t="s">
        <v>2765</v>
      </c>
      <c r="Y11" s="1654">
        <f>$G$3</f>
        <v>7.5</v>
      </c>
      <c r="Z11" s="1654">
        <f t="shared" ref="Z11:AJ11" si="3">$G$3</f>
        <v>7.5</v>
      </c>
      <c r="AA11" s="1654">
        <f t="shared" si="3"/>
        <v>7.5</v>
      </c>
      <c r="AB11" s="1654">
        <f t="shared" si="3"/>
        <v>7.5</v>
      </c>
      <c r="AC11" s="1654">
        <f t="shared" si="3"/>
        <v>7.5</v>
      </c>
      <c r="AD11" s="1654">
        <f t="shared" si="3"/>
        <v>7.5</v>
      </c>
      <c r="AE11" s="1654">
        <f t="shared" si="3"/>
        <v>7.5</v>
      </c>
      <c r="AF11" s="1654">
        <f t="shared" si="3"/>
        <v>7.5</v>
      </c>
      <c r="AG11" s="1654">
        <f t="shared" si="3"/>
        <v>7.5</v>
      </c>
      <c r="AH11" s="1654">
        <f t="shared" si="3"/>
        <v>7.5</v>
      </c>
      <c r="AI11" s="1654">
        <f t="shared" si="3"/>
        <v>7.5</v>
      </c>
      <c r="AJ11" s="1654">
        <f t="shared" si="3"/>
        <v>7.5</v>
      </c>
    </row>
    <row r="12" spans="1:39" ht="25.5" thickBot="1">
      <c r="A12" s="3428" t="s">
        <v>1872</v>
      </c>
      <c r="B12" s="1440" t="s">
        <v>946</v>
      </c>
      <c r="C12" s="1043">
        <f>ROUND(C15*D15*E15*F15*G15*H15*I15*J15,4)</f>
        <v>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37"/>
      <c r="X12" s="2959" t="s">
        <v>2781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3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62">
        <v>12</v>
      </c>
      <c r="S13" s="2951"/>
      <c r="T13" s="2962" t="e">
        <f t="shared" si="0"/>
        <v>#DIV/0!</v>
      </c>
      <c r="U13" s="2951"/>
      <c r="V13" s="2962" t="e">
        <f t="shared" si="1"/>
        <v>#DIV/0!</v>
      </c>
      <c r="W13" s="3437"/>
      <c r="X13" s="2959"/>
      <c r="Y13" s="2958">
        <f>(-0.163*(Y12^2)-0.59*Y12+7617)*(10^(-4))/Y11</f>
        <v>0.10156000000000001</v>
      </c>
      <c r="Z13" s="2958">
        <f t="shared" ref="Z13:AJ13" si="5">(-0.163*(Z12^2)-0.59*Z12+7617)*(10^(-4))/Z11</f>
        <v>0.10156000000000001</v>
      </c>
      <c r="AA13" s="2958">
        <f t="shared" si="5"/>
        <v>0.10156000000000001</v>
      </c>
      <c r="AB13" s="2958">
        <f t="shared" si="5"/>
        <v>0.10156000000000001</v>
      </c>
      <c r="AC13" s="2958">
        <f t="shared" si="5"/>
        <v>0.10156000000000001</v>
      </c>
      <c r="AD13" s="2958">
        <f t="shared" si="5"/>
        <v>0.10156000000000001</v>
      </c>
      <c r="AE13" s="2958">
        <f t="shared" si="5"/>
        <v>0.10156000000000001</v>
      </c>
      <c r="AF13" s="2958">
        <f t="shared" si="5"/>
        <v>0.10156000000000001</v>
      </c>
      <c r="AG13" s="2958">
        <f t="shared" si="5"/>
        <v>0.10156000000000001</v>
      </c>
      <c r="AH13" s="2958">
        <f t="shared" si="5"/>
        <v>0.10156000000000001</v>
      </c>
      <c r="AI13" s="2958">
        <f t="shared" si="5"/>
        <v>0.10156000000000001</v>
      </c>
      <c r="AJ13" s="2958">
        <f t="shared" si="5"/>
        <v>0.10156000000000001</v>
      </c>
    </row>
    <row r="14" spans="1:39" ht="12.75" customHeight="1" thickBot="1">
      <c r="A14" s="3430"/>
      <c r="B14" s="1452"/>
      <c r="C14" s="1453"/>
      <c r="D14" s="1454"/>
      <c r="E14" s="1454"/>
      <c r="F14" s="1455"/>
      <c r="G14" s="1456" t="s">
        <v>949</v>
      </c>
      <c r="H14" s="1457"/>
      <c r="I14" s="1458"/>
      <c r="J14" s="1459"/>
      <c r="K14" s="1402"/>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3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62">
        <v>14</v>
      </c>
      <c r="S15" s="2951"/>
      <c r="T15" s="2962" t="e">
        <f t="shared" si="0"/>
        <v>#DIV/0!</v>
      </c>
      <c r="U15" s="2951"/>
      <c r="V15" s="2962" t="e">
        <f t="shared" si="1"/>
        <v>#DIV/0!</v>
      </c>
      <c r="W15" s="2190"/>
      <c r="X15" s="2190"/>
      <c r="Y15" s="2190"/>
      <c r="Z15" s="2190"/>
      <c r="AA15" s="2190"/>
      <c r="AB15" s="2190"/>
      <c r="AC15" s="2191"/>
    </row>
    <row r="16" spans="1:39" ht="24">
      <c r="A16" s="342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2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97" t="s">
        <v>956</v>
      </c>
      <c r="C18" s="2798">
        <f>SUMIF(修正!C18:C39,E3,修正!E18:E39)</f>
        <v>0</v>
      </c>
      <c r="D18" s="2799"/>
      <c r="E18" s="2800"/>
      <c r="F18" s="2801"/>
      <c r="G18" s="2795"/>
      <c r="H18" s="2795"/>
      <c r="I18" s="2795"/>
      <c r="J18" s="2802"/>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43244</v>
      </c>
      <c r="H19" s="1476" t="s">
        <v>2933</v>
      </c>
      <c r="I19" s="2809" t="str">
        <f>IF(H19="季度增幅（自定义）",SUMIF(N21:N24,E2,O21:O24),"")</f>
        <v/>
      </c>
      <c r="J19" s="1472"/>
      <c r="K19" s="1482"/>
      <c r="L19" s="3065" t="s">
        <v>2840</v>
      </c>
      <c r="M19" s="3066">
        <f>ROUND(SUMIF(地价!B2:F2,E2,地价!B22:F22),0)</f>
        <v>0</v>
      </c>
      <c r="N19" s="2811" t="s">
        <v>1677</v>
      </c>
      <c r="O19" s="2810">
        <f>ROUNDDOWN(DATEDIF(E19,G19,"M")/3,0)</f>
        <v>17</v>
      </c>
      <c r="P19" s="1597"/>
      <c r="R19" s="2950"/>
      <c r="S19" s="2950"/>
      <c r="T19" s="2950"/>
      <c r="U19" s="2950"/>
      <c r="V19" s="2950"/>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3" t="s">
        <v>1837</v>
      </c>
      <c r="B20" s="2804" t="s">
        <v>972</v>
      </c>
      <c r="C20" s="2805" t="e">
        <f>ROUND(POWER(1+G20,J20-I20)*(POWER(1+G20,I20)-1)/(POWER(1+G20,J20)-1),4)</f>
        <v>#DIV/0!</v>
      </c>
      <c r="D20" s="2806" t="s">
        <v>973</v>
      </c>
      <c r="E20" s="3121">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2"/>
      <c r="L20" s="3067" t="s">
        <v>2841</v>
      </c>
      <c r="M20" s="3068">
        <f>ROUND(SUMPRODUCT((地价!A4:A22=YEAR(G19)&amp;"-"&amp;ROUNDUP(MONTH(G19)/3,0))*(地价!B2:F2=E2)*(地价!B4:F22)),0)</f>
        <v>0</v>
      </c>
      <c r="N20" s="2814" t="s">
        <v>2644</v>
      </c>
      <c r="O20" s="2812" t="s">
        <v>2643</v>
      </c>
      <c r="P20" s="2813" t="s">
        <v>2649</v>
      </c>
      <c r="R20" s="2950"/>
      <c r="S20" s="2950"/>
      <c r="T20" s="2950"/>
      <c r="U20" s="2950"/>
      <c r="V20" s="2950"/>
      <c r="W20" s="2196"/>
      <c r="X20" s="2196"/>
      <c r="Y20" s="2196"/>
      <c r="Z20" s="2196"/>
      <c r="AA20" s="2196"/>
      <c r="AB20" s="2196"/>
      <c r="AC20" s="2196"/>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7.5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7.5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0"/>
      <c r="S24" s="2950"/>
      <c r="T24" s="2950"/>
      <c r="U24" s="2950"/>
      <c r="V24" s="2950"/>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822" t="s">
        <v>2647</v>
      </c>
      <c r="O25" s="2196"/>
      <c r="P25" s="1542">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50"/>
      <c r="S26" s="2950"/>
      <c r="T26" s="2950"/>
      <c r="U26" s="2950"/>
      <c r="V26" s="2950"/>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50"/>
      <c r="S27" s="2950"/>
      <c r="T27" s="2950"/>
      <c r="U27" s="2950"/>
      <c r="V27" s="2950"/>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50"/>
      <c r="S28" s="2950"/>
      <c r="T28" s="2950"/>
      <c r="U28" s="2950"/>
      <c r="V28" s="2950"/>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50"/>
      <c r="S29" s="2950"/>
      <c r="T29" s="2950"/>
      <c r="U29" s="2950"/>
      <c r="V29" s="2950"/>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4" t="s">
        <v>2959</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33" t="s">
        <v>1010</v>
      </c>
      <c r="C46" s="2455" t="s">
        <v>1011</v>
      </c>
      <c r="D46" s="2456" t="s">
        <v>1012</v>
      </c>
      <c r="E46" s="2457" t="s">
        <v>1014</v>
      </c>
      <c r="F46" s="2458" t="s">
        <v>2250</v>
      </c>
      <c r="G46" s="2456" t="s">
        <v>1015</v>
      </c>
      <c r="H46" s="2439" t="s">
        <v>2418</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123" t="s">
        <v>2935</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122" t="s">
        <v>2934</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1027</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1028</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1029</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33"/>
      <c r="C57" s="2455" t="s">
        <v>1011</v>
      </c>
      <c r="D57" s="2456" t="s">
        <v>1012</v>
      </c>
      <c r="E57" s="2457" t="s">
        <v>1014</v>
      </c>
      <c r="F57" s="2458" t="s">
        <v>2251</v>
      </c>
      <c r="G57" s="2456" t="s">
        <v>1015</v>
      </c>
      <c r="H57" s="2439" t="s">
        <v>2418</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123" t="s">
        <v>2936</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122" t="s">
        <v>2934</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1029</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33"/>
      <c r="C68" s="2455" t="s">
        <v>1011</v>
      </c>
      <c r="D68" s="2456" t="s">
        <v>1012</v>
      </c>
      <c r="E68" s="2457" t="s">
        <v>1014</v>
      </c>
      <c r="F68" s="2458" t="s">
        <v>2252</v>
      </c>
      <c r="G68" s="2456" t="s">
        <v>1015</v>
      </c>
      <c r="H68" s="2439" t="s">
        <v>2418</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122" t="s">
        <v>2934</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1037</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1009</v>
      </c>
      <c r="B79" s="2433"/>
      <c r="C79" s="2455" t="s">
        <v>1011</v>
      </c>
      <c r="D79" s="2456" t="s">
        <v>1012</v>
      </c>
      <c r="E79" s="2457" t="s">
        <v>1014</v>
      </c>
      <c r="F79" s="2458" t="s">
        <v>2253</v>
      </c>
      <c r="G79" s="2456" t="s">
        <v>1015</v>
      </c>
      <c r="H79" s="2439" t="s">
        <v>2418</v>
      </c>
      <c r="I79" s="2456" t="s">
        <v>1013</v>
      </c>
      <c r="J79" s="2459" t="s">
        <v>1016</v>
      </c>
      <c r="K79" s="2459" t="s">
        <v>1017</v>
      </c>
      <c r="L79" s="2459" t="s">
        <v>1018</v>
      </c>
      <c r="M79" s="2459" t="s">
        <v>1019</v>
      </c>
      <c r="N79" s="2459" t="s">
        <v>1020</v>
      </c>
      <c r="AC79" s="1406"/>
      <c r="AD79" s="1405"/>
      <c r="AJ79" s="1404"/>
      <c r="AN79" s="1405"/>
    </row>
    <row r="80" spans="1:40" ht="36">
      <c r="A80" s="1067" t="s">
        <v>1038</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1034</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1027</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1028</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1026</v>
      </c>
      <c r="B86" s="3122" t="s">
        <v>2934</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1039</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32" t="s">
        <v>1634</v>
      </c>
      <c r="B90" s="3432"/>
      <c r="C90" s="3432"/>
      <c r="D90" s="3432"/>
      <c r="E90" s="3432"/>
      <c r="F90" s="3432"/>
      <c r="G90" s="3432"/>
      <c r="H90" s="3432"/>
      <c r="I90" s="3432"/>
      <c r="J90" s="3432"/>
      <c r="K90" s="2475"/>
      <c r="L90" s="2475"/>
      <c r="M90" s="2475"/>
      <c r="N90" s="2475"/>
    </row>
    <row r="91" spans="1:40">
      <c r="A91" s="3433" t="s">
        <v>1444</v>
      </c>
      <c r="B91" s="3433" t="s">
        <v>1635</v>
      </c>
      <c r="C91" s="1140" t="s">
        <v>1636</v>
      </c>
      <c r="D91" s="1141"/>
      <c r="E91" s="1141"/>
      <c r="F91" s="1141"/>
      <c r="G91" s="1141"/>
      <c r="H91" s="1141"/>
      <c r="I91" s="1141"/>
      <c r="J91" s="1142"/>
      <c r="K91" s="1134"/>
      <c r="L91" s="1134"/>
      <c r="M91" s="1134"/>
      <c r="N91" s="1134"/>
    </row>
    <row r="92" spans="1:40">
      <c r="A92" s="3433"/>
      <c r="B92" s="3433"/>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40"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0" t="s">
        <v>1638</v>
      </c>
      <c r="B101" s="1147" t="s">
        <v>906</v>
      </c>
      <c r="C101" s="1148">
        <f>$G$3</f>
        <v>7.5</v>
      </c>
      <c r="D101" s="1148">
        <f t="shared" ref="D101:N101" si="31">$G$3</f>
        <v>7.5</v>
      </c>
      <c r="E101" s="1148">
        <f t="shared" si="31"/>
        <v>7.5</v>
      </c>
      <c r="F101" s="1148">
        <f t="shared" si="31"/>
        <v>7.5</v>
      </c>
      <c r="G101" s="1148">
        <f t="shared" si="31"/>
        <v>7.5</v>
      </c>
      <c r="H101" s="1148">
        <f t="shared" si="31"/>
        <v>7.5</v>
      </c>
      <c r="I101" s="1148">
        <f t="shared" si="31"/>
        <v>7.5</v>
      </c>
      <c r="J101" s="1148">
        <f t="shared" si="31"/>
        <v>7.5</v>
      </c>
      <c r="K101" s="1148">
        <f t="shared" si="31"/>
        <v>7.5</v>
      </c>
      <c r="L101" s="1148">
        <f t="shared" si="31"/>
        <v>7.5</v>
      </c>
      <c r="M101" s="1148">
        <f t="shared" si="31"/>
        <v>7.5</v>
      </c>
      <c r="N101" s="1148">
        <f t="shared" si="31"/>
        <v>7.5</v>
      </c>
    </row>
    <row r="102" spans="1:14">
      <c r="A102" s="3441"/>
      <c r="B102" s="1143">
        <v>1</v>
      </c>
      <c r="C102" s="1144">
        <f>1.9362/C101</f>
        <v>0.25816</v>
      </c>
      <c r="D102" s="1144">
        <f>1.9362/D101</f>
        <v>0.25816</v>
      </c>
      <c r="E102" s="1144">
        <f>1.8629/E101</f>
        <v>0.24838666666666667</v>
      </c>
      <c r="F102" s="1144">
        <f>1.8629/F101</f>
        <v>0.24838666666666667</v>
      </c>
      <c r="G102" s="1144">
        <f>1.8629/G101</f>
        <v>0.24838666666666667</v>
      </c>
      <c r="H102" s="1144">
        <f>1.8629/H101</f>
        <v>0.24838666666666667</v>
      </c>
      <c r="I102" s="1144">
        <f>1.8629/I101</f>
        <v>0.24838666666666667</v>
      </c>
      <c r="J102" s="1144">
        <f>1.942/J101</f>
        <v>0.25893333333333335</v>
      </c>
      <c r="K102" s="1144">
        <f>1.942/K101</f>
        <v>0.25893333333333335</v>
      </c>
      <c r="L102" s="1144">
        <f>1.942/L101</f>
        <v>0.25893333333333335</v>
      </c>
      <c r="M102" s="1144">
        <f>1.942/M101</f>
        <v>0.25893333333333335</v>
      </c>
      <c r="N102" s="1144">
        <f>1.942/N101</f>
        <v>0.25893333333333335</v>
      </c>
    </row>
    <row r="103" spans="1:14">
      <c r="A103" s="3441"/>
      <c r="B103" s="1143">
        <v>2</v>
      </c>
      <c r="C103" s="1144">
        <f>1.4198/C101</f>
        <v>0.18930666666666665</v>
      </c>
      <c r="D103" s="1144">
        <f>1.4198/D101</f>
        <v>0.18930666666666665</v>
      </c>
      <c r="E103" s="1144">
        <f>1.3372/E101</f>
        <v>0.17829333333333333</v>
      </c>
      <c r="F103" s="1144">
        <f>1.3372/F101</f>
        <v>0.17829333333333333</v>
      </c>
      <c r="G103" s="1144">
        <f>1.3372/G101</f>
        <v>0.17829333333333333</v>
      </c>
      <c r="H103" s="1144">
        <f>1.3372/H101</f>
        <v>0.17829333333333333</v>
      </c>
      <c r="I103" s="1144">
        <f>1.3372/I101</f>
        <v>0.17829333333333333</v>
      </c>
      <c r="J103" s="1144">
        <f>1.2799/J101</f>
        <v>0.17065333333333335</v>
      </c>
      <c r="K103" s="1144">
        <f>1.2799/K101</f>
        <v>0.17065333333333335</v>
      </c>
      <c r="L103" s="1144">
        <f>1.2799/L101</f>
        <v>0.17065333333333335</v>
      </c>
      <c r="M103" s="1144">
        <f>1.2799/M101</f>
        <v>0.17065333333333335</v>
      </c>
      <c r="N103" s="1144">
        <f>1.2799/N101</f>
        <v>0.17065333333333335</v>
      </c>
    </row>
    <row r="104" spans="1:14">
      <c r="A104" s="3441"/>
      <c r="B104" s="1143">
        <v>3</v>
      </c>
      <c r="C104" s="1144">
        <f>1.1594/C101</f>
        <v>0.15458666666666668</v>
      </c>
      <c r="D104" s="1144">
        <f>1.1594/D101</f>
        <v>0.15458666666666668</v>
      </c>
      <c r="E104" s="1144">
        <f>1.0788/E101</f>
        <v>0.14384</v>
      </c>
      <c r="F104" s="1144">
        <f>1.0788/F101</f>
        <v>0.14384</v>
      </c>
      <c r="G104" s="1144">
        <f>1.0788/G101</f>
        <v>0.14384</v>
      </c>
      <c r="H104" s="1144">
        <f>1.0788/H101</f>
        <v>0.14384</v>
      </c>
      <c r="I104" s="1144">
        <f>1.0788/I101</f>
        <v>0.14384</v>
      </c>
      <c r="J104" s="1144">
        <f>1.0072/J101</f>
        <v>0.13429333333333335</v>
      </c>
      <c r="K104" s="1144">
        <f>1.0072/K101</f>
        <v>0.13429333333333335</v>
      </c>
      <c r="L104" s="1144">
        <f>1.0072/L101</f>
        <v>0.13429333333333335</v>
      </c>
      <c r="M104" s="1144">
        <f>1.0072/M101</f>
        <v>0.13429333333333335</v>
      </c>
      <c r="N104" s="1144">
        <f>1.0072/N101</f>
        <v>0.13429333333333335</v>
      </c>
    </row>
    <row r="105" spans="1:14">
      <c r="A105" s="3441"/>
      <c r="B105" s="1143">
        <v>4</v>
      </c>
      <c r="C105" s="1144">
        <f>0.9622/C101</f>
        <v>0.12829333333333334</v>
      </c>
      <c r="D105" s="1144">
        <f>0.9622/D101</f>
        <v>0.12829333333333334</v>
      </c>
      <c r="E105" s="1144">
        <f>0.8656/E101</f>
        <v>0.11541333333333334</v>
      </c>
      <c r="F105" s="1144">
        <f>0.8656/F101</f>
        <v>0.11541333333333334</v>
      </c>
      <c r="G105" s="1144">
        <f>0.8656/G101</f>
        <v>0.11541333333333334</v>
      </c>
      <c r="H105" s="1144">
        <f>0.8656/H101</f>
        <v>0.11541333333333334</v>
      </c>
      <c r="I105" s="1144">
        <f>0.8656/I101</f>
        <v>0.11541333333333334</v>
      </c>
      <c r="J105" s="1144">
        <f>0.7525/J101</f>
        <v>0.10033333333333333</v>
      </c>
      <c r="K105" s="1144">
        <f>0.7525/K101</f>
        <v>0.10033333333333333</v>
      </c>
      <c r="L105" s="1144">
        <f>0.7525/L101</f>
        <v>0.10033333333333333</v>
      </c>
      <c r="M105" s="1144">
        <f>0.7525/M101</f>
        <v>0.10033333333333333</v>
      </c>
      <c r="N105" s="1144">
        <f>0.7525/N101</f>
        <v>0.10033333333333333</v>
      </c>
    </row>
    <row r="106" spans="1:14">
      <c r="A106" s="3441"/>
      <c r="B106" s="1143">
        <v>5</v>
      </c>
      <c r="C106" s="1144">
        <f>0.8417/C101</f>
        <v>0.11222666666666667</v>
      </c>
      <c r="D106" s="1144">
        <f>0.8417/D101</f>
        <v>0.11222666666666667</v>
      </c>
      <c r="E106" s="1144">
        <f>0.7371/E101</f>
        <v>9.8279999999999992E-2</v>
      </c>
      <c r="F106" s="1144">
        <f>0.7371/F101</f>
        <v>9.8279999999999992E-2</v>
      </c>
      <c r="G106" s="1144">
        <f>0.7371/G101</f>
        <v>9.8279999999999992E-2</v>
      </c>
      <c r="H106" s="1144">
        <f>0.7371/H101</f>
        <v>9.8279999999999992E-2</v>
      </c>
      <c r="I106" s="1144">
        <f>0.7371/I101</f>
        <v>9.8279999999999992E-2</v>
      </c>
      <c r="J106" s="1144">
        <f>0.5659/J101</f>
        <v>7.5453333333333331E-2</v>
      </c>
      <c r="K106" s="1144">
        <f>0.5659/K101</f>
        <v>7.5453333333333331E-2</v>
      </c>
      <c r="L106" s="1144">
        <f>0.5659/L101</f>
        <v>7.5453333333333331E-2</v>
      </c>
      <c r="M106" s="1144">
        <f>0.5659/M101</f>
        <v>7.5453333333333331E-2</v>
      </c>
      <c r="N106" s="1144">
        <f>0.5659/N101</f>
        <v>7.5453333333333331E-2</v>
      </c>
    </row>
    <row r="107" spans="1:14">
      <c r="A107" s="3441"/>
      <c r="B107" s="1143">
        <v>6</v>
      </c>
      <c r="C107" s="1144">
        <f>0.7608/C101</f>
        <v>0.10144</v>
      </c>
      <c r="D107" s="1144">
        <f>0.7608/D101</f>
        <v>0.10144</v>
      </c>
      <c r="E107" s="1144">
        <f>0.6482/E101</f>
        <v>8.6426666666666666E-2</v>
      </c>
      <c r="F107" s="1144">
        <f>0.6482/F101</f>
        <v>8.6426666666666666E-2</v>
      </c>
      <c r="G107" s="1144">
        <f>0.6482/G101</f>
        <v>8.6426666666666666E-2</v>
      </c>
      <c r="H107" s="1144">
        <f>0.6482/H101</f>
        <v>8.6426666666666666E-2</v>
      </c>
      <c r="I107" s="1144">
        <f>0.6482/I101</f>
        <v>8.6426666666666666E-2</v>
      </c>
      <c r="J107" s="1144">
        <f>0.4525/J101</f>
        <v>6.0333333333333336E-2</v>
      </c>
      <c r="K107" s="1144">
        <f>0.4525/K101</f>
        <v>6.0333333333333336E-2</v>
      </c>
      <c r="L107" s="1144">
        <f>0.4525/L101</f>
        <v>6.0333333333333336E-2</v>
      </c>
      <c r="M107" s="1144">
        <f>0.4525/M101</f>
        <v>6.0333333333333336E-2</v>
      </c>
      <c r="N107" s="1144">
        <f>0.4525/N101</f>
        <v>6.0333333333333336E-2</v>
      </c>
    </row>
    <row r="108" spans="1:14">
      <c r="A108" s="3441"/>
      <c r="B108" s="344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2"/>
      <c r="B109" s="3444"/>
      <c r="C109" s="1146">
        <f>(-0.163*(C108^2)-0.59*C108+7617)*(10^(-4))/C101</f>
        <v>0.10135797333333334</v>
      </c>
      <c r="D109" s="1146">
        <f>(-0.163*(D108^2)-0.59*D108+7617)*(10^(-4))/D101</f>
        <v>0.10135797333333334</v>
      </c>
      <c r="E109" s="1146">
        <f>(-0.161*(E108^2)-7.509*E108+6533)*(10^(-4))/E101</f>
        <v>8.6168320000000007E-2</v>
      </c>
      <c r="F109" s="1146">
        <f>(-0.161*(F108^2)-7.509*F108+6533)*(10^(-4))/F101</f>
        <v>8.6168320000000007E-2</v>
      </c>
      <c r="G109" s="1146">
        <f>(-0.161*(G108^2)-7.509*G108+6533)*(10^(-4))/G101</f>
        <v>8.6168320000000007E-2</v>
      </c>
      <c r="H109" s="1146">
        <f>(-0.161*(H108^2)-7.509*H108+6533)*(10^(-4))/H101</f>
        <v>8.6168320000000007E-2</v>
      </c>
      <c r="I109" s="1146">
        <f>(-0.161*(I108^2)-7.509*I108+6533)*(10^(-4))/I101</f>
        <v>8.6168320000000007E-2</v>
      </c>
      <c r="J109" s="1146">
        <f>(-0.214*(J108^2)-21.991*J108+4665)*(10^(-4))/J101</f>
        <v>5.9671680000000005E-2</v>
      </c>
      <c r="K109" s="1146">
        <f>(-0.214*(K108^2)-21.991*K108+4665)*(10^(-4))/K101</f>
        <v>5.9671680000000005E-2</v>
      </c>
      <c r="L109" s="1146">
        <f>(-0.214*(L108^2)-21.991*L108+4665)*(10^(-4))/L101</f>
        <v>5.9671680000000005E-2</v>
      </c>
      <c r="M109" s="1146">
        <f>(-0.214*(M108^2)-21.991*M108+4665)*(10^(-4))/M101</f>
        <v>5.9671680000000005E-2</v>
      </c>
      <c r="N109" s="1146">
        <f>(-0.214*(N108^2)-21.991*N108+4665)*(10^(-4))/N101</f>
        <v>5.9671680000000005E-2</v>
      </c>
    </row>
    <row r="110" spans="1:14">
      <c r="A110" s="3427" t="s">
        <v>1640</v>
      </c>
      <c r="B110" s="3427"/>
      <c r="C110" s="3427"/>
      <c r="D110" s="3427"/>
      <c r="E110" s="3427"/>
      <c r="F110" s="3427"/>
      <c r="G110" s="3427"/>
      <c r="H110" s="3427"/>
      <c r="I110" s="3427"/>
      <c r="J110" s="3427"/>
      <c r="K110" s="2473"/>
      <c r="L110" s="2473"/>
      <c r="M110" s="2473"/>
      <c r="N110" s="2473"/>
    </row>
    <row r="112" spans="1:14" ht="12.75" thickBot="1"/>
    <row r="113" spans="1:13" ht="25.5" thickBot="1">
      <c r="A113" s="1016" t="s">
        <v>896</v>
      </c>
      <c r="B113" s="2476">
        <f>G3</f>
        <v>7.5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0.86299999999999999</v>
      </c>
      <c r="C115" s="1030">
        <f>B115</f>
        <v>0.86299999999999999</v>
      </c>
      <c r="D115" s="1030">
        <f>ROUND(0.8331-0.0109*B113,4)</f>
        <v>0.75139999999999996</v>
      </c>
      <c r="E115" s="1030">
        <f>D115</f>
        <v>0.75139999999999996</v>
      </c>
      <c r="F115" s="1030">
        <f>E115</f>
        <v>0.75139999999999996</v>
      </c>
      <c r="G115" s="1030">
        <f>F115</f>
        <v>0.75139999999999996</v>
      </c>
      <c r="H115" s="1030">
        <f>G115</f>
        <v>0.75139999999999996</v>
      </c>
      <c r="I115" s="1030">
        <f>ROUND(0.689-0.0155*B113,4)</f>
        <v>0.57279999999999998</v>
      </c>
      <c r="J115" s="1030">
        <f t="shared" ref="J115:M118" si="33">I115</f>
        <v>0.57279999999999998</v>
      </c>
      <c r="K115" s="1030">
        <f t="shared" si="33"/>
        <v>0.57279999999999998</v>
      </c>
      <c r="L115" s="1030">
        <f t="shared" si="33"/>
        <v>0.57279999999999998</v>
      </c>
      <c r="M115" s="1031">
        <f t="shared" si="33"/>
        <v>0.57279999999999998</v>
      </c>
    </row>
    <row r="116" spans="1:13" ht="12.75">
      <c r="A116" s="1029" t="s">
        <v>901</v>
      </c>
      <c r="B116" s="1030">
        <f>ROUND(0.949-0.012*B113,4)</f>
        <v>0.85899999999999999</v>
      </c>
      <c r="C116" s="1030">
        <f>B116</f>
        <v>0.85899999999999999</v>
      </c>
      <c r="D116" s="1030">
        <f>ROUND(0.8567-0.013*B113,4)</f>
        <v>0.75919999999999999</v>
      </c>
      <c r="E116" s="1030">
        <f t="shared" ref="E116:H117" si="34">D116</f>
        <v>0.75919999999999999</v>
      </c>
      <c r="F116" s="1030">
        <f t="shared" si="34"/>
        <v>0.75919999999999999</v>
      </c>
      <c r="G116" s="1030">
        <f t="shared" si="34"/>
        <v>0.75919999999999999</v>
      </c>
      <c r="H116" s="1030">
        <f t="shared" si="34"/>
        <v>0.75919999999999999</v>
      </c>
      <c r="I116" s="1030">
        <f>ROUND(0.7694-0.014*B113,4)</f>
        <v>0.66439999999999999</v>
      </c>
      <c r="J116" s="1030">
        <f t="shared" si="33"/>
        <v>0.66439999999999999</v>
      </c>
      <c r="K116" s="1030">
        <f t="shared" si="33"/>
        <v>0.66439999999999999</v>
      </c>
      <c r="L116" s="1030">
        <f t="shared" si="33"/>
        <v>0.66439999999999999</v>
      </c>
      <c r="M116" s="1031">
        <f t="shared" si="33"/>
        <v>0.66439999999999999</v>
      </c>
    </row>
    <row r="117" spans="1:13" ht="12.75">
      <c r="A117" s="1032" t="s">
        <v>902</v>
      </c>
      <c r="B117" s="1030">
        <f>ROUND(0.8808-0.006*B113,4)</f>
        <v>0.83579999999999999</v>
      </c>
      <c r="C117" s="1030">
        <f>B117</f>
        <v>0.83579999999999999</v>
      </c>
      <c r="D117" s="1030">
        <f>ROUND(0.8748-0.008*B113,4)</f>
        <v>0.81479999999999997</v>
      </c>
      <c r="E117" s="1030">
        <f t="shared" si="34"/>
        <v>0.81479999999999997</v>
      </c>
      <c r="F117" s="1030">
        <f t="shared" si="34"/>
        <v>0.81479999999999997</v>
      </c>
      <c r="G117" s="1030">
        <f t="shared" si="34"/>
        <v>0.81479999999999997</v>
      </c>
      <c r="H117" s="1030">
        <f t="shared" si="34"/>
        <v>0.81479999999999997</v>
      </c>
      <c r="I117" s="1030">
        <f>ROUND(0.7412-0.0095*B113,4)</f>
        <v>0.67</v>
      </c>
      <c r="J117" s="1030">
        <f t="shared" si="33"/>
        <v>0.67</v>
      </c>
      <c r="K117" s="1030">
        <f t="shared" si="33"/>
        <v>0.67</v>
      </c>
      <c r="L117" s="1030">
        <f t="shared" si="33"/>
        <v>0.67</v>
      </c>
      <c r="M117" s="1031">
        <f t="shared" si="33"/>
        <v>0.67</v>
      </c>
    </row>
    <row r="118" spans="1:13" ht="13.5" thickBot="1">
      <c r="A118" s="1033" t="s">
        <v>903</v>
      </c>
      <c r="B118" s="1034">
        <f>ROUND(0.7275-0.01*B113,4)</f>
        <v>0.65249999999999997</v>
      </c>
      <c r="C118" s="1034">
        <f>B118</f>
        <v>0.65249999999999997</v>
      </c>
      <c r="D118" s="1034">
        <f>ROUND(0.7043-0.012*B113,4)</f>
        <v>0.61429999999999996</v>
      </c>
      <c r="E118" s="1034">
        <f>D118</f>
        <v>0.61429999999999996</v>
      </c>
      <c r="F118" s="1034">
        <f>E118</f>
        <v>0.61429999999999996</v>
      </c>
      <c r="G118" s="1034">
        <f>ROUND(0.6299-0.0122*B113,4)</f>
        <v>0.53839999999999999</v>
      </c>
      <c r="H118" s="1034">
        <f>G118</f>
        <v>0.53839999999999999</v>
      </c>
      <c r="I118" s="1034">
        <f>ROUND(0.5667-0.0136*B113,4)</f>
        <v>0.4647</v>
      </c>
      <c r="J118" s="1034">
        <f t="shared" si="33"/>
        <v>0.4647</v>
      </c>
      <c r="K118" s="1034">
        <f t="shared" si="33"/>
        <v>0.4647</v>
      </c>
      <c r="L118" s="1034">
        <f t="shared" si="33"/>
        <v>0.4647</v>
      </c>
      <c r="M118" s="1035">
        <f t="shared" si="33"/>
        <v>0.4647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3" t="s">
        <v>1008</v>
      </c>
      <c r="B18" s="1154" t="s">
        <v>1447</v>
      </c>
      <c r="C18" s="1131" t="s">
        <v>1448</v>
      </c>
      <c r="D18" s="1132"/>
      <c r="E18" s="1154">
        <v>1</v>
      </c>
      <c r="F18" s="1133" t="s">
        <v>1449</v>
      </c>
      <c r="G18" s="1134"/>
      <c r="H18" s="1105"/>
      <c r="I18" s="1105"/>
    </row>
    <row r="19" spans="1:9" s="1600" customFormat="1" ht="19.5" customHeight="1">
      <c r="A19" s="3433"/>
      <c r="B19" s="3433" t="s">
        <v>1450</v>
      </c>
      <c r="C19" s="1131" t="s">
        <v>1451</v>
      </c>
      <c r="D19" s="1132"/>
      <c r="E19" s="1154">
        <v>0.9</v>
      </c>
      <c r="F19" s="1133" t="s">
        <v>1452</v>
      </c>
      <c r="G19" s="1134"/>
      <c r="H19" s="1105"/>
      <c r="I19" s="1105"/>
    </row>
    <row r="20" spans="1:9" s="1600" customFormat="1" ht="19.5" customHeight="1">
      <c r="A20" s="3433"/>
      <c r="B20" s="3433"/>
      <c r="C20" s="1131" t="s">
        <v>1453</v>
      </c>
      <c r="D20" s="1132"/>
      <c r="E20" s="1154">
        <v>1.1000000000000001</v>
      </c>
      <c r="F20" s="1133" t="s">
        <v>1454</v>
      </c>
      <c r="G20" s="1134"/>
      <c r="H20" s="1105"/>
      <c r="I20" s="1105"/>
    </row>
    <row r="21" spans="1:9" s="1600" customFormat="1" ht="19.5" customHeight="1">
      <c r="A21" s="3433"/>
      <c r="B21" s="3433"/>
      <c r="C21" s="1131" t="s">
        <v>1455</v>
      </c>
      <c r="D21" s="1132"/>
      <c r="E21" s="1154">
        <v>0.8</v>
      </c>
      <c r="F21" s="1133" t="s">
        <v>1456</v>
      </c>
      <c r="G21" s="1134"/>
      <c r="H21" s="1105"/>
      <c r="I21" s="1105"/>
    </row>
    <row r="22" spans="1:9" s="1600" customFormat="1" ht="19.5" customHeight="1">
      <c r="A22" s="3433"/>
      <c r="B22" s="3433"/>
      <c r="C22" s="1131" t="s">
        <v>1457</v>
      </c>
      <c r="D22" s="1132"/>
      <c r="E22" s="1154">
        <v>0.5</v>
      </c>
      <c r="F22" s="1133"/>
      <c r="G22" s="1134"/>
      <c r="H22" s="1105"/>
      <c r="I22" s="1105"/>
    </row>
    <row r="23" spans="1:9" s="1600" customFormat="1" ht="19.5" customHeight="1">
      <c r="A23" s="3433" t="s">
        <v>1030</v>
      </c>
      <c r="B23" s="1154" t="s">
        <v>1447</v>
      </c>
      <c r="C23" s="1131" t="s">
        <v>1458</v>
      </c>
      <c r="D23" s="1132"/>
      <c r="E23" s="1154">
        <v>1</v>
      </c>
      <c r="F23" s="1133" t="s">
        <v>1459</v>
      </c>
      <c r="G23" s="1134"/>
      <c r="H23" s="1105"/>
      <c r="I23" s="1105"/>
    </row>
    <row r="24" spans="1:9" s="1600" customFormat="1" ht="19.5" customHeight="1">
      <c r="A24" s="3433"/>
      <c r="B24" s="3433" t="s">
        <v>1450</v>
      </c>
      <c r="C24" s="1131" t="s">
        <v>1460</v>
      </c>
      <c r="D24" s="1132"/>
      <c r="E24" s="1154">
        <v>0.5</v>
      </c>
      <c r="F24" s="1133"/>
      <c r="G24" s="1134"/>
      <c r="H24" s="1105"/>
      <c r="I24" s="1105"/>
    </row>
    <row r="25" spans="1:9" s="1600" customFormat="1" ht="19.5" customHeight="1">
      <c r="A25" s="3433"/>
      <c r="B25" s="3433"/>
      <c r="C25" s="1131" t="s">
        <v>1461</v>
      </c>
      <c r="D25" s="1132"/>
      <c r="E25" s="1154">
        <v>1.1000000000000001</v>
      </c>
      <c r="F25" s="1133"/>
      <c r="G25" s="1134"/>
      <c r="H25" s="1105"/>
      <c r="I25" s="1105"/>
    </row>
    <row r="26" spans="1:9" s="1600" customFormat="1" ht="19.5" customHeight="1">
      <c r="A26" s="3433"/>
      <c r="B26" s="3433"/>
      <c r="C26" s="1131" t="s">
        <v>1462</v>
      </c>
      <c r="D26" s="1132"/>
      <c r="E26" s="1154">
        <v>1.1000000000000001</v>
      </c>
      <c r="F26" s="1133"/>
      <c r="G26" s="1134"/>
      <c r="H26" s="1105"/>
      <c r="I26" s="1105"/>
    </row>
    <row r="27" spans="1:9" s="1600" customFormat="1" ht="19.5" customHeight="1">
      <c r="A27" s="3433"/>
      <c r="B27" s="3433"/>
      <c r="C27" s="1131" t="s">
        <v>1463</v>
      </c>
      <c r="D27" s="1132"/>
      <c r="E27" s="1154">
        <v>0.9</v>
      </c>
      <c r="F27" s="1133" t="s">
        <v>1464</v>
      </c>
      <c r="G27" s="1134"/>
      <c r="H27" s="1105"/>
      <c r="I27" s="1105"/>
    </row>
    <row r="28" spans="1:9" s="1600" customFormat="1" ht="19.5" customHeight="1">
      <c r="A28" s="3433"/>
      <c r="B28" s="3433"/>
      <c r="C28" s="1131" t="s">
        <v>1465</v>
      </c>
      <c r="D28" s="1132"/>
      <c r="E28" s="1154">
        <v>0.9</v>
      </c>
      <c r="F28" s="1133" t="s">
        <v>1466</v>
      </c>
      <c r="G28" s="1134"/>
      <c r="H28" s="1105"/>
      <c r="I28" s="1105"/>
    </row>
    <row r="29" spans="1:9" s="1600" customFormat="1" ht="19.5" customHeight="1">
      <c r="A29" s="3433"/>
      <c r="B29" s="3433"/>
      <c r="C29" s="1131" t="s">
        <v>1467</v>
      </c>
      <c r="D29" s="1132"/>
      <c r="E29" s="1154">
        <v>0.9</v>
      </c>
      <c r="F29" s="1133" t="s">
        <v>1468</v>
      </c>
      <c r="G29" s="1134"/>
      <c r="H29" s="1105"/>
      <c r="I29" s="1105"/>
    </row>
    <row r="30" spans="1:9" s="1600" customFormat="1" ht="19.5" customHeight="1">
      <c r="A30" s="3433"/>
      <c r="B30" s="3433"/>
      <c r="C30" s="1131" t="s">
        <v>1469</v>
      </c>
      <c r="D30" s="1132"/>
      <c r="E30" s="1154">
        <v>0.9</v>
      </c>
      <c r="F30" s="1133" t="s">
        <v>1470</v>
      </c>
      <c r="G30" s="1134"/>
      <c r="H30" s="1105"/>
      <c r="I30" s="1105"/>
    </row>
    <row r="31" spans="1:9" s="1600" customFormat="1" ht="19.5" customHeight="1">
      <c r="A31" s="3433"/>
      <c r="B31" s="3433"/>
      <c r="C31" s="1131" t="s">
        <v>1471</v>
      </c>
      <c r="D31" s="1132"/>
      <c r="E31" s="1154">
        <v>0.8</v>
      </c>
      <c r="F31" s="1133" t="s">
        <v>1472</v>
      </c>
      <c r="G31" s="1134"/>
      <c r="H31" s="1105"/>
      <c r="I31" s="1105"/>
    </row>
    <row r="32" spans="1:9" s="1600" customFormat="1" ht="19.5" customHeight="1">
      <c r="A32" s="3433"/>
      <c r="B32" s="3433"/>
      <c r="C32" s="1131" t="s">
        <v>1473</v>
      </c>
      <c r="D32" s="1132"/>
      <c r="E32" s="1154">
        <v>0.8</v>
      </c>
      <c r="F32" s="1133" t="s">
        <v>1474</v>
      </c>
      <c r="G32" s="1134"/>
      <c r="H32" s="1105"/>
      <c r="I32" s="1105"/>
    </row>
    <row r="33" spans="1:9" s="1600" customFormat="1" ht="19.5" customHeight="1">
      <c r="A33" s="3433" t="s">
        <v>1475</v>
      </c>
      <c r="B33" s="1154" t="s">
        <v>1447</v>
      </c>
      <c r="C33" s="1131" t="s">
        <v>1476</v>
      </c>
      <c r="D33" s="1132"/>
      <c r="E33" s="1154">
        <v>1</v>
      </c>
      <c r="F33" s="1133" t="s">
        <v>1477</v>
      </c>
      <c r="G33" s="1134"/>
      <c r="H33" s="1105"/>
      <c r="I33" s="1105"/>
    </row>
    <row r="34" spans="1:9" s="1600" customFormat="1" ht="19.5" customHeight="1">
      <c r="A34" s="3433"/>
      <c r="B34" s="1154" t="s">
        <v>1450</v>
      </c>
      <c r="C34" s="1131" t="s">
        <v>1478</v>
      </c>
      <c r="D34" s="1132"/>
      <c r="E34" s="1154">
        <v>1.5</v>
      </c>
      <c r="F34" s="1133" t="s">
        <v>1479</v>
      </c>
      <c r="G34" s="1134"/>
      <c r="H34" s="1105"/>
      <c r="I34" s="1105"/>
    </row>
    <row r="35" spans="1:9" s="1600" customFormat="1" ht="19.5" customHeight="1">
      <c r="A35" s="3433" t="s">
        <v>1433</v>
      </c>
      <c r="B35" s="1154" t="s">
        <v>1447</v>
      </c>
      <c r="C35" s="1131" t="s">
        <v>1480</v>
      </c>
      <c r="D35" s="1132"/>
      <c r="E35" s="1154">
        <v>1</v>
      </c>
      <c r="F35" s="1133" t="s">
        <v>1481</v>
      </c>
      <c r="G35" s="1134"/>
      <c r="H35" s="1105"/>
      <c r="I35" s="1105"/>
    </row>
    <row r="36" spans="1:9" s="1600" customFormat="1" ht="19.5" customHeight="1">
      <c r="A36" s="3433"/>
      <c r="B36" s="3433" t="s">
        <v>1450</v>
      </c>
      <c r="C36" s="1131" t="s">
        <v>1482</v>
      </c>
      <c r="D36" s="1132"/>
      <c r="E36" s="1154">
        <v>1</v>
      </c>
      <c r="F36" s="1133" t="s">
        <v>1483</v>
      </c>
      <c r="G36" s="1134"/>
      <c r="H36" s="1105"/>
      <c r="I36" s="1105"/>
    </row>
    <row r="37" spans="1:9" s="1600" customFormat="1" ht="19.5" customHeight="1">
      <c r="A37" s="3433"/>
      <c r="B37" s="3433"/>
      <c r="C37" s="1131" t="s">
        <v>1484</v>
      </c>
      <c r="D37" s="1132"/>
      <c r="E37" s="1154">
        <v>1.5</v>
      </c>
      <c r="F37" s="1133" t="s">
        <v>1485</v>
      </c>
      <c r="G37" s="1134"/>
      <c r="H37" s="1105"/>
      <c r="I37" s="1105"/>
    </row>
    <row r="38" spans="1:9" s="1600" customFormat="1" ht="19.5" customHeight="1">
      <c r="A38" s="3433"/>
      <c r="B38" s="3433"/>
      <c r="C38" s="1131" t="s">
        <v>1486</v>
      </c>
      <c r="D38" s="1132"/>
      <c r="E38" s="1154">
        <v>1</v>
      </c>
      <c r="F38" s="1133" t="s">
        <v>1487</v>
      </c>
      <c r="G38" s="1134"/>
      <c r="H38" s="1105"/>
      <c r="I38" s="1105"/>
    </row>
    <row r="39" spans="1:9" s="1600" customFormat="1" ht="19.5" customHeight="1">
      <c r="A39" s="3433"/>
      <c r="B39" s="343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3" t="s">
        <v>1502</v>
      </c>
      <c r="C61" s="1068" t="s">
        <v>1503</v>
      </c>
      <c r="D61" s="1068" t="s">
        <v>1504</v>
      </c>
      <c r="E61" s="1139">
        <v>0.5</v>
      </c>
      <c r="F61" s="1154">
        <v>80</v>
      </c>
      <c r="H61" s="1105">
        <f>SUMIF(C59:C119,基准地价!C8,E59:E119)</f>
        <v>0</v>
      </c>
    </row>
    <row r="62" spans="1:8" s="1105" customFormat="1" ht="24">
      <c r="A62" s="1154">
        <v>2</v>
      </c>
      <c r="B62" s="3433"/>
      <c r="C62" s="1068" t="s">
        <v>1505</v>
      </c>
      <c r="D62" s="1068" t="s">
        <v>1506</v>
      </c>
      <c r="E62" s="1139">
        <v>0.5</v>
      </c>
      <c r="F62" s="1154">
        <v>80</v>
      </c>
    </row>
    <row r="63" spans="1:8" s="1105" customFormat="1" ht="36">
      <c r="A63" s="1154">
        <v>3</v>
      </c>
      <c r="B63" s="3433"/>
      <c r="C63" s="1068" t="s">
        <v>1507</v>
      </c>
      <c r="D63" s="1068" t="s">
        <v>1508</v>
      </c>
      <c r="E63" s="1139">
        <v>0.5</v>
      </c>
      <c r="F63" s="1154">
        <v>80</v>
      </c>
    </row>
    <row r="64" spans="1:8" s="1105" customFormat="1" ht="36">
      <c r="A64" s="1154">
        <v>4</v>
      </c>
      <c r="B64" s="3433"/>
      <c r="C64" s="1068" t="s">
        <v>1509</v>
      </c>
      <c r="D64" s="1068" t="s">
        <v>1510</v>
      </c>
      <c r="E64" s="1139">
        <v>0.4</v>
      </c>
      <c r="F64" s="1154">
        <v>60</v>
      </c>
    </row>
    <row r="65" spans="1:6" s="1105" customFormat="1" ht="36">
      <c r="A65" s="1154">
        <v>5</v>
      </c>
      <c r="B65" s="3433"/>
      <c r="C65" s="1068" t="s">
        <v>1511</v>
      </c>
      <c r="D65" s="1068" t="s">
        <v>1512</v>
      </c>
      <c r="E65" s="1139">
        <v>0.2</v>
      </c>
      <c r="F65" s="1154">
        <v>30</v>
      </c>
    </row>
    <row r="66" spans="1:6" s="1105" customFormat="1" ht="36">
      <c r="A66" s="1154">
        <v>6</v>
      </c>
      <c r="B66" s="3433"/>
      <c r="C66" s="1068" t="s">
        <v>1513</v>
      </c>
      <c r="D66" s="1068" t="s">
        <v>1514</v>
      </c>
      <c r="E66" s="1139">
        <v>0.3</v>
      </c>
      <c r="F66" s="1154">
        <v>50</v>
      </c>
    </row>
    <row r="67" spans="1:6" s="1105" customFormat="1" ht="36">
      <c r="A67" s="1154">
        <v>7</v>
      </c>
      <c r="B67" s="3433"/>
      <c r="C67" s="1068" t="s">
        <v>1515</v>
      </c>
      <c r="D67" s="1068" t="s">
        <v>1516</v>
      </c>
      <c r="E67" s="1139">
        <v>0.2</v>
      </c>
      <c r="F67" s="1154">
        <v>30</v>
      </c>
    </row>
    <row r="68" spans="1:6" s="1105" customFormat="1" ht="36">
      <c r="A68" s="1154">
        <v>8</v>
      </c>
      <c r="B68" s="3433"/>
      <c r="C68" s="1068" t="s">
        <v>1517</v>
      </c>
      <c r="D68" s="1068" t="s">
        <v>1518</v>
      </c>
      <c r="E68" s="1139">
        <v>0.2</v>
      </c>
      <c r="F68" s="1154">
        <v>30</v>
      </c>
    </row>
    <row r="69" spans="1:6" s="1105" customFormat="1" ht="36">
      <c r="A69" s="1154">
        <v>9</v>
      </c>
      <c r="B69" s="3433"/>
      <c r="C69" s="1068" t="s">
        <v>1519</v>
      </c>
      <c r="D69" s="1068" t="s">
        <v>1520</v>
      </c>
      <c r="E69" s="1139">
        <v>0.2</v>
      </c>
      <c r="F69" s="1154">
        <v>30</v>
      </c>
    </row>
    <row r="70" spans="1:6" s="1105" customFormat="1" ht="48">
      <c r="A70" s="1154">
        <v>10</v>
      </c>
      <c r="B70" s="3433"/>
      <c r="C70" s="1068" t="s">
        <v>1521</v>
      </c>
      <c r="D70" s="1068" t="s">
        <v>1522</v>
      </c>
      <c r="E70" s="1139">
        <v>0.2</v>
      </c>
      <c r="F70" s="1154">
        <v>30</v>
      </c>
    </row>
    <row r="71" spans="1:6" s="1105" customFormat="1" ht="48">
      <c r="A71" s="1154">
        <v>11</v>
      </c>
      <c r="B71" s="3433"/>
      <c r="C71" s="1068" t="s">
        <v>1523</v>
      </c>
      <c r="D71" s="1068" t="s">
        <v>1524</v>
      </c>
      <c r="E71" s="1139">
        <v>0.2</v>
      </c>
      <c r="F71" s="1154">
        <v>30</v>
      </c>
    </row>
    <row r="72" spans="1:6" s="1105" customFormat="1" ht="36">
      <c r="A72" s="1154">
        <v>12</v>
      </c>
      <c r="B72" s="3433"/>
      <c r="C72" s="1068" t="s">
        <v>1525</v>
      </c>
      <c r="D72" s="1068" t="s">
        <v>1526</v>
      </c>
      <c r="E72" s="1139">
        <v>0.5</v>
      </c>
      <c r="F72" s="1154">
        <v>80</v>
      </c>
    </row>
    <row r="73" spans="1:6" s="1105" customFormat="1" ht="24">
      <c r="A73" s="1154">
        <v>13</v>
      </c>
      <c r="B73" s="3433"/>
      <c r="C73" s="1068" t="s">
        <v>1527</v>
      </c>
      <c r="D73" s="1068" t="s">
        <v>1528</v>
      </c>
      <c r="E73" s="1139">
        <v>0.4</v>
      </c>
      <c r="F73" s="1154">
        <v>60</v>
      </c>
    </row>
    <row r="74" spans="1:6" s="1105" customFormat="1" ht="24">
      <c r="A74" s="1154">
        <v>14</v>
      </c>
      <c r="B74" s="3433"/>
      <c r="C74" s="1068" t="s">
        <v>1529</v>
      </c>
      <c r="D74" s="1068" t="s">
        <v>1530</v>
      </c>
      <c r="E74" s="1139">
        <v>0.2</v>
      </c>
      <c r="F74" s="1154">
        <v>30</v>
      </c>
    </row>
    <row r="75" spans="1:6" s="1105" customFormat="1" ht="24">
      <c r="A75" s="1154">
        <v>15</v>
      </c>
      <c r="B75" s="3433"/>
      <c r="C75" s="1068" t="s">
        <v>1531</v>
      </c>
      <c r="D75" s="1068" t="s">
        <v>1532</v>
      </c>
      <c r="E75" s="1139">
        <v>0.2</v>
      </c>
      <c r="F75" s="1154">
        <v>30</v>
      </c>
    </row>
    <row r="76" spans="1:6" s="1105" customFormat="1" ht="24">
      <c r="A76" s="1154">
        <v>16</v>
      </c>
      <c r="B76" s="3433" t="s">
        <v>1533</v>
      </c>
      <c r="C76" s="1068" t="s">
        <v>1534</v>
      </c>
      <c r="D76" s="1068" t="s">
        <v>1535</v>
      </c>
      <c r="E76" s="1139">
        <v>0.5</v>
      </c>
      <c r="F76" s="1154">
        <v>80</v>
      </c>
    </row>
    <row r="77" spans="1:6" s="1105" customFormat="1" ht="24">
      <c r="A77" s="1154">
        <v>17</v>
      </c>
      <c r="B77" s="3433"/>
      <c r="C77" s="1068" t="s">
        <v>1536</v>
      </c>
      <c r="D77" s="1068" t="s">
        <v>1537</v>
      </c>
      <c r="E77" s="1139">
        <v>0.5</v>
      </c>
      <c r="F77" s="1154">
        <v>80</v>
      </c>
    </row>
    <row r="78" spans="1:6" s="1105" customFormat="1" ht="24">
      <c r="A78" s="1154">
        <v>18</v>
      </c>
      <c r="B78" s="3433"/>
      <c r="C78" s="1068" t="s">
        <v>1538</v>
      </c>
      <c r="D78" s="1068" t="s">
        <v>1539</v>
      </c>
      <c r="E78" s="1139">
        <v>0.2</v>
      </c>
      <c r="F78" s="1154">
        <v>30</v>
      </c>
    </row>
    <row r="79" spans="1:6" s="1105" customFormat="1" ht="24">
      <c r="A79" s="1154">
        <v>19</v>
      </c>
      <c r="B79" s="3433"/>
      <c r="C79" s="1068" t="s">
        <v>1540</v>
      </c>
      <c r="D79" s="1068" t="s">
        <v>1541</v>
      </c>
      <c r="E79" s="1139">
        <v>0.5</v>
      </c>
      <c r="F79" s="1154">
        <v>80</v>
      </c>
    </row>
    <row r="80" spans="1:6" s="1105" customFormat="1" ht="36">
      <c r="A80" s="1154">
        <v>20</v>
      </c>
      <c r="B80" s="3433"/>
      <c r="C80" s="1068" t="s">
        <v>1542</v>
      </c>
      <c r="D80" s="1068" t="s">
        <v>1543</v>
      </c>
      <c r="E80" s="1139">
        <v>0.2</v>
      </c>
      <c r="F80" s="1154">
        <v>30</v>
      </c>
    </row>
    <row r="81" spans="1:6" s="1105" customFormat="1" ht="36">
      <c r="A81" s="1154">
        <v>21</v>
      </c>
      <c r="B81" s="3433"/>
      <c r="C81" s="1068" t="s">
        <v>1544</v>
      </c>
      <c r="D81" s="1068" t="s">
        <v>1545</v>
      </c>
      <c r="E81" s="1139">
        <v>0.2</v>
      </c>
      <c r="F81" s="1154">
        <v>30</v>
      </c>
    </row>
    <row r="82" spans="1:6" s="1105" customFormat="1" ht="48">
      <c r="A82" s="1154">
        <v>22</v>
      </c>
      <c r="B82" s="3433"/>
      <c r="C82" s="1068" t="s">
        <v>1546</v>
      </c>
      <c r="D82" s="1068" t="s">
        <v>1547</v>
      </c>
      <c r="E82" s="1139">
        <v>0.2</v>
      </c>
      <c r="F82" s="1154">
        <v>30</v>
      </c>
    </row>
    <row r="83" spans="1:6" s="1105" customFormat="1" ht="48">
      <c r="A83" s="1154">
        <v>23</v>
      </c>
      <c r="B83" s="3433"/>
      <c r="C83" s="1068" t="s">
        <v>1548</v>
      </c>
      <c r="D83" s="1068" t="s">
        <v>1549</v>
      </c>
      <c r="E83" s="1139">
        <v>0.2</v>
      </c>
      <c r="F83" s="1154">
        <v>30</v>
      </c>
    </row>
    <row r="84" spans="1:6" s="1105" customFormat="1" ht="36">
      <c r="A84" s="1154">
        <v>24</v>
      </c>
      <c r="B84" s="3433"/>
      <c r="C84" s="1068" t="s">
        <v>1550</v>
      </c>
      <c r="D84" s="1068" t="s">
        <v>1551</v>
      </c>
      <c r="E84" s="1139">
        <v>0.2</v>
      </c>
      <c r="F84" s="1154">
        <v>30</v>
      </c>
    </row>
    <row r="85" spans="1:6" s="1105" customFormat="1" ht="36">
      <c r="A85" s="1154">
        <v>25</v>
      </c>
      <c r="B85" s="3433"/>
      <c r="C85" s="1068" t="s">
        <v>1552</v>
      </c>
      <c r="D85" s="1068" t="s">
        <v>1553</v>
      </c>
      <c r="E85" s="1139">
        <v>0.5</v>
      </c>
      <c r="F85" s="1154">
        <v>80</v>
      </c>
    </row>
    <row r="86" spans="1:6" s="1105" customFormat="1" ht="36">
      <c r="A86" s="1154">
        <v>26</v>
      </c>
      <c r="B86" s="3433"/>
      <c r="C86" s="1068" t="s">
        <v>1554</v>
      </c>
      <c r="D86" s="1068" t="s">
        <v>1555</v>
      </c>
      <c r="E86" s="1139">
        <v>0.2</v>
      </c>
      <c r="F86" s="1154">
        <v>30</v>
      </c>
    </row>
    <row r="87" spans="1:6" s="1105" customFormat="1" ht="36">
      <c r="A87" s="1154">
        <v>27</v>
      </c>
      <c r="B87" s="3433"/>
      <c r="C87" s="1068" t="s">
        <v>1556</v>
      </c>
      <c r="D87" s="1068" t="s">
        <v>1557</v>
      </c>
      <c r="E87" s="1139">
        <v>0.2</v>
      </c>
      <c r="F87" s="1154">
        <v>30</v>
      </c>
    </row>
    <row r="88" spans="1:6" s="1105" customFormat="1" ht="36">
      <c r="A88" s="1154">
        <v>28</v>
      </c>
      <c r="B88" s="3433"/>
      <c r="C88" s="1068" t="s">
        <v>1558</v>
      </c>
      <c r="D88" s="1068" t="s">
        <v>1559</v>
      </c>
      <c r="E88" s="1139">
        <v>0.2</v>
      </c>
      <c r="F88" s="1154">
        <v>30</v>
      </c>
    </row>
    <row r="89" spans="1:6" s="1105" customFormat="1" ht="24">
      <c r="A89" s="1154">
        <v>29</v>
      </c>
      <c r="B89" s="3433"/>
      <c r="C89" s="1068" t="s">
        <v>1560</v>
      </c>
      <c r="D89" s="1068" t="s">
        <v>1561</v>
      </c>
      <c r="E89" s="1139">
        <v>0.2</v>
      </c>
      <c r="F89" s="1154">
        <v>30</v>
      </c>
    </row>
    <row r="90" spans="1:6" s="1105" customFormat="1" ht="24">
      <c r="A90" s="1154">
        <v>30</v>
      </c>
      <c r="B90" s="3433"/>
      <c r="C90" s="1068" t="s">
        <v>1562</v>
      </c>
      <c r="D90" s="1068" t="s">
        <v>1563</v>
      </c>
      <c r="E90" s="1139">
        <v>0.2</v>
      </c>
      <c r="F90" s="1154">
        <v>30</v>
      </c>
    </row>
    <row r="91" spans="1:6" s="1105" customFormat="1" ht="36">
      <c r="A91" s="1154">
        <v>31</v>
      </c>
      <c r="B91" s="3433"/>
      <c r="C91" s="1068" t="s">
        <v>1564</v>
      </c>
      <c r="D91" s="1068" t="s">
        <v>1565</v>
      </c>
      <c r="E91" s="1139">
        <v>0.2</v>
      </c>
      <c r="F91" s="1154">
        <v>30</v>
      </c>
    </row>
    <row r="92" spans="1:6" s="1105" customFormat="1" ht="24">
      <c r="A92" s="1154">
        <v>32</v>
      </c>
      <c r="B92" s="3433" t="s">
        <v>1566</v>
      </c>
      <c r="C92" s="1154" t="s">
        <v>1567</v>
      </c>
      <c r="D92" s="1068" t="s">
        <v>1568</v>
      </c>
      <c r="E92" s="1139">
        <v>0.2</v>
      </c>
      <c r="F92" s="1154">
        <v>30</v>
      </c>
    </row>
    <row r="93" spans="1:6" s="1105" customFormat="1" ht="36">
      <c r="A93" s="1154">
        <v>33</v>
      </c>
      <c r="B93" s="3433"/>
      <c r="C93" s="1154" t="s">
        <v>1569</v>
      </c>
      <c r="D93" s="1068" t="s">
        <v>1570</v>
      </c>
      <c r="E93" s="1139">
        <v>0.2</v>
      </c>
      <c r="F93" s="1154">
        <v>30</v>
      </c>
    </row>
    <row r="94" spans="1:6" s="1105" customFormat="1" ht="48">
      <c r="A94" s="1154">
        <v>34</v>
      </c>
      <c r="B94" s="3433"/>
      <c r="C94" s="1154" t="s">
        <v>1571</v>
      </c>
      <c r="D94" s="1068" t="s">
        <v>1572</v>
      </c>
      <c r="E94" s="1139">
        <v>0.2</v>
      </c>
      <c r="F94" s="1154">
        <v>30</v>
      </c>
    </row>
    <row r="95" spans="1:6" s="1105" customFormat="1" ht="36">
      <c r="A95" s="1154">
        <v>35</v>
      </c>
      <c r="B95" s="3433"/>
      <c r="C95" s="1154" t="s">
        <v>1573</v>
      </c>
      <c r="D95" s="1068" t="s">
        <v>1574</v>
      </c>
      <c r="E95" s="1139">
        <v>0.2</v>
      </c>
      <c r="F95" s="1154">
        <v>30</v>
      </c>
    </row>
    <row r="96" spans="1:6" s="1105" customFormat="1" ht="48">
      <c r="A96" s="1154">
        <v>36</v>
      </c>
      <c r="B96" s="3433"/>
      <c r="C96" s="1068" t="s">
        <v>1575</v>
      </c>
      <c r="D96" s="1068" t="s">
        <v>1576</v>
      </c>
      <c r="E96" s="1139">
        <v>0.2</v>
      </c>
      <c r="F96" s="1154">
        <v>30</v>
      </c>
    </row>
    <row r="97" spans="1:6" s="1105" customFormat="1" ht="36">
      <c r="A97" s="1154">
        <v>37</v>
      </c>
      <c r="B97" s="3433"/>
      <c r="C97" s="1154" t="s">
        <v>1577</v>
      </c>
      <c r="D97" s="1068" t="s">
        <v>1578</v>
      </c>
      <c r="E97" s="1139">
        <v>0.2</v>
      </c>
      <c r="F97" s="1154">
        <v>30</v>
      </c>
    </row>
    <row r="98" spans="1:6" s="1105" customFormat="1" ht="36">
      <c r="A98" s="1154">
        <v>38</v>
      </c>
      <c r="B98" s="3433"/>
      <c r="C98" s="1154" t="s">
        <v>1579</v>
      </c>
      <c r="D98" s="1068" t="s">
        <v>1580</v>
      </c>
      <c r="E98" s="1139">
        <v>0.2</v>
      </c>
      <c r="F98" s="1154">
        <v>30</v>
      </c>
    </row>
    <row r="99" spans="1:6" s="1105" customFormat="1" ht="36">
      <c r="A99" s="1154">
        <v>39</v>
      </c>
      <c r="B99" s="3433" t="s">
        <v>1581</v>
      </c>
      <c r="C99" s="1154" t="s">
        <v>1582</v>
      </c>
      <c r="D99" s="1068" t="s">
        <v>1583</v>
      </c>
      <c r="E99" s="1139">
        <v>0.3</v>
      </c>
      <c r="F99" s="1154">
        <v>50</v>
      </c>
    </row>
    <row r="100" spans="1:6" s="1105" customFormat="1" ht="24">
      <c r="A100" s="1154">
        <v>40</v>
      </c>
      <c r="B100" s="3433"/>
      <c r="C100" s="1154" t="s">
        <v>1584</v>
      </c>
      <c r="D100" s="1068" t="s">
        <v>1585</v>
      </c>
      <c r="E100" s="1139">
        <v>0.2</v>
      </c>
      <c r="F100" s="1154">
        <v>30</v>
      </c>
    </row>
    <row r="101" spans="1:6" s="1105" customFormat="1" ht="36">
      <c r="A101" s="1154">
        <v>41</v>
      </c>
      <c r="B101" s="343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3" t="s">
        <v>1596</v>
      </c>
      <c r="C105" s="1154" t="s">
        <v>1597</v>
      </c>
      <c r="D105" s="1068" t="s">
        <v>1598</v>
      </c>
      <c r="E105" s="1139">
        <v>0.2</v>
      </c>
      <c r="F105" s="1154">
        <v>30</v>
      </c>
    </row>
    <row r="106" spans="1:6" s="1105" customFormat="1" ht="36">
      <c r="A106" s="1154">
        <v>46</v>
      </c>
      <c r="B106" s="3433"/>
      <c r="C106" s="1154" t="s">
        <v>1599</v>
      </c>
      <c r="D106" s="1068" t="s">
        <v>1600</v>
      </c>
      <c r="E106" s="1139">
        <v>0.2</v>
      </c>
      <c r="F106" s="1154">
        <v>30</v>
      </c>
    </row>
    <row r="107" spans="1:6" s="1105" customFormat="1" ht="36">
      <c r="A107" s="1154">
        <v>47</v>
      </c>
      <c r="B107" s="3433" t="s">
        <v>1601</v>
      </c>
      <c r="C107" s="1154" t="s">
        <v>1602</v>
      </c>
      <c r="D107" s="1068" t="s">
        <v>1603</v>
      </c>
      <c r="E107" s="1139">
        <v>0.3</v>
      </c>
      <c r="F107" s="1154">
        <v>50</v>
      </c>
    </row>
    <row r="108" spans="1:6" s="1105" customFormat="1" ht="36">
      <c r="A108" s="1154">
        <v>48</v>
      </c>
      <c r="B108" s="343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3" t="s">
        <v>1612</v>
      </c>
      <c r="C111" s="1154" t="s">
        <v>1613</v>
      </c>
      <c r="D111" s="1068" t="s">
        <v>1614</v>
      </c>
      <c r="E111" s="1139">
        <v>0.2</v>
      </c>
      <c r="F111" s="1154">
        <v>30</v>
      </c>
    </row>
    <row r="112" spans="1:6" s="1105" customFormat="1" ht="24">
      <c r="A112" s="1154">
        <v>52</v>
      </c>
      <c r="B112" s="3433"/>
      <c r="C112" s="1154" t="s">
        <v>1615</v>
      </c>
      <c r="D112" s="1068" t="s">
        <v>1616</v>
      </c>
      <c r="E112" s="1139">
        <v>0.2</v>
      </c>
      <c r="F112" s="1154">
        <v>30</v>
      </c>
    </row>
    <row r="113" spans="1:14" s="1105" customFormat="1" ht="24">
      <c r="A113" s="1154">
        <v>53</v>
      </c>
      <c r="B113" s="343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3" t="s">
        <v>1625</v>
      </c>
      <c r="C116" s="1154" t="s">
        <v>1626</v>
      </c>
      <c r="D116" s="1068" t="s">
        <v>1627</v>
      </c>
      <c r="E116" s="1139">
        <v>0.2</v>
      </c>
      <c r="F116" s="1154">
        <v>30</v>
      </c>
    </row>
    <row r="117" spans="1:14" ht="36">
      <c r="A117" s="1154">
        <v>57</v>
      </c>
      <c r="B117" s="343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2" t="s">
        <v>1634</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5" t="s">
        <v>1040</v>
      </c>
      <c r="B1" s="3445"/>
      <c r="C1" s="3445"/>
      <c r="D1" s="3445"/>
      <c r="E1" s="3445"/>
      <c r="F1" s="344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6" t="s">
        <v>1053</v>
      </c>
      <c r="B2" s="3446"/>
      <c r="C2" s="3446"/>
      <c r="D2" s="3446"/>
      <c r="E2" s="3446"/>
      <c r="F2" s="344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9" t="s">
        <v>2079</v>
      </c>
      <c r="B1" s="3449"/>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2947</v>
      </c>
      <c r="B1" s="3135"/>
      <c r="C1" s="3135"/>
      <c r="D1" s="3135"/>
      <c r="E1" s="3135"/>
      <c r="F1" s="3135"/>
    </row>
    <row r="2" spans="1:6" ht="14.25">
      <c r="A2" s="3136" t="s">
        <v>2942</v>
      </c>
      <c r="B2" s="3137" t="e">
        <f ca="1">SUMIF(B7:B14,"&lt;&gt;#ref!",B7:B14)</f>
        <v>#DIV/0!</v>
      </c>
      <c r="C2" s="3136" t="s">
        <v>2943</v>
      </c>
      <c r="D2" s="3135"/>
      <c r="E2" s="3135"/>
      <c r="F2" s="3135"/>
    </row>
    <row r="3" spans="1:6" ht="14.25">
      <c r="A3" s="3136" t="s">
        <v>2977</v>
      </c>
      <c r="B3" s="3137" t="e">
        <f ca="1">ROUND(B2*10000/E3,0)</f>
        <v>#DIV/0!</v>
      </c>
      <c r="C3" s="3136" t="s">
        <v>2078</v>
      </c>
      <c r="D3" s="3136" t="s">
        <v>2944</v>
      </c>
      <c r="E3" s="3137">
        <f ca="1">SUMIF(E7:E14,"&lt;&gt;#ref!",E7:E14)</f>
        <v>0</v>
      </c>
      <c r="F3" s="3135"/>
    </row>
    <row r="4" spans="1:6" ht="14.25">
      <c r="A4" s="3136" t="s">
        <v>2951</v>
      </c>
      <c r="B4" s="3137" t="e">
        <f ca="1">ROUND(B2*10000/E4,0)</f>
        <v>#DIV/0!</v>
      </c>
      <c r="C4" s="3136" t="s">
        <v>2078</v>
      </c>
      <c r="D4" s="3136" t="s">
        <v>2952</v>
      </c>
      <c r="E4" s="3137">
        <f ca="1">SUMIF(F7:F14,"&lt;&gt;#ref!",F7:F14)</f>
        <v>0</v>
      </c>
      <c r="F4" s="3135"/>
    </row>
    <row r="5" spans="1:6" ht="14.25">
      <c r="A5" s="3138"/>
      <c r="B5" s="1882"/>
      <c r="C5" s="1882"/>
      <c r="D5" s="1882"/>
      <c r="E5" s="1882"/>
      <c r="F5" s="3135"/>
    </row>
    <row r="6" spans="1:6" ht="28.5">
      <c r="A6" s="3139" t="s">
        <v>2948</v>
      </c>
      <c r="B6" s="3136" t="s">
        <v>2945</v>
      </c>
      <c r="C6" s="3137"/>
      <c r="D6" s="1882"/>
      <c r="E6" s="3136" t="s">
        <v>2946</v>
      </c>
      <c r="F6" s="3136" t="s">
        <v>2950</v>
      </c>
    </row>
    <row r="7" spans="1:6" ht="14.25">
      <c r="A7" s="260" t="s">
        <v>2949</v>
      </c>
      <c r="B7" s="3140" t="e">
        <f ca="1">SUMIF(INDIRECT("'"&amp;A7&amp;"'"&amp;"!A:A"),"总价",INDIRECT("'"&amp;A7&amp;"'"&amp;"!B:B"))</f>
        <v>#DIV/0!</v>
      </c>
      <c r="C7" s="3136" t="s">
        <v>2943</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2943</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2943</v>
      </c>
      <c r="D9" s="1882"/>
      <c r="E9" s="3141" t="e">
        <f t="shared" ca="1" si="1"/>
        <v>#REF!</v>
      </c>
      <c r="F9" s="3141" t="e">
        <f t="shared" ca="1" si="2"/>
        <v>#REF!</v>
      </c>
    </row>
    <row r="10" spans="1:6" ht="14.25">
      <c r="A10" s="260"/>
      <c r="B10" s="3140" t="e">
        <f t="shared" ca="1" si="0"/>
        <v>#REF!</v>
      </c>
      <c r="C10" s="3136" t="s">
        <v>2943</v>
      </c>
      <c r="D10" s="1882"/>
      <c r="E10" s="3141" t="e">
        <f t="shared" ca="1" si="1"/>
        <v>#REF!</v>
      </c>
      <c r="F10" s="3141" t="e">
        <f t="shared" ca="1" si="2"/>
        <v>#REF!</v>
      </c>
    </row>
    <row r="11" spans="1:6" ht="14.25">
      <c r="A11" s="260"/>
      <c r="B11" s="3140" t="e">
        <f t="shared" ca="1" si="0"/>
        <v>#REF!</v>
      </c>
      <c r="C11" s="3136" t="s">
        <v>2943</v>
      </c>
      <c r="D11" s="1882"/>
      <c r="E11" s="3141" t="e">
        <f t="shared" ca="1" si="1"/>
        <v>#REF!</v>
      </c>
      <c r="F11" s="3141" t="e">
        <f t="shared" ca="1" si="2"/>
        <v>#REF!</v>
      </c>
    </row>
    <row r="12" spans="1:6" ht="14.25">
      <c r="A12" s="260"/>
      <c r="B12" s="3140" t="e">
        <f t="shared" ca="1" si="0"/>
        <v>#REF!</v>
      </c>
      <c r="C12" s="3136" t="s">
        <v>2943</v>
      </c>
      <c r="D12" s="1882"/>
      <c r="E12" s="3141" t="e">
        <f t="shared" ca="1" si="1"/>
        <v>#REF!</v>
      </c>
      <c r="F12" s="3141" t="e">
        <f t="shared" ca="1" si="2"/>
        <v>#REF!</v>
      </c>
    </row>
    <row r="13" spans="1:6" ht="14.25">
      <c r="A13" s="260"/>
      <c r="B13" s="3140" t="e">
        <f t="shared" ca="1" si="0"/>
        <v>#REF!</v>
      </c>
      <c r="C13" s="3136" t="s">
        <v>2943</v>
      </c>
      <c r="D13" s="1882"/>
      <c r="E13" s="3141" t="e">
        <f t="shared" ca="1" si="1"/>
        <v>#REF!</v>
      </c>
      <c r="F13" s="3141" t="e">
        <f t="shared" ca="1" si="2"/>
        <v>#REF!</v>
      </c>
    </row>
    <row r="14" spans="1:6" ht="14.25">
      <c r="A14" s="3134"/>
      <c r="B14" s="3140" t="e">
        <f t="shared" ca="1" si="0"/>
        <v>#REF!</v>
      </c>
      <c r="C14" s="3136" t="s">
        <v>2943</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2374</v>
      </c>
      <c r="F1" s="2413">
        <f ca="1">J54</f>
        <v>0</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2457</v>
      </c>
      <c r="C7" s="53">
        <f ca="1">C8+C12+C14</f>
        <v>0</v>
      </c>
      <c r="D7" s="2521" t="s">
        <v>2460</v>
      </c>
      <c r="E7" s="2515"/>
      <c r="F7" s="2516"/>
      <c r="G7" s="1593"/>
      <c r="H7" s="781">
        <v>1</v>
      </c>
      <c r="I7" s="782" t="s">
        <v>2457</v>
      </c>
      <c r="J7" s="53">
        <f ca="1">J8+J12+J14</f>
        <v>0</v>
      </c>
      <c r="K7" s="2521" t="s">
        <v>2460</v>
      </c>
      <c r="L7" s="2515"/>
      <c r="M7" s="2516"/>
    </row>
    <row r="8" spans="1:25" ht="18" customHeight="1">
      <c r="A8" s="1831" t="s">
        <v>1825</v>
      </c>
      <c r="B8" s="3451" t="s">
        <v>2462</v>
      </c>
      <c r="C8" s="1826">
        <f ca="1">ROUND(F8*F10*F9*(1-F11)/10000,0)</f>
        <v>0</v>
      </c>
      <c r="D8" s="1823" t="s">
        <v>2533</v>
      </c>
      <c r="E8" s="61" t="s">
        <v>637</v>
      </c>
      <c r="F8" s="785">
        <f ca="1">INDIRECT("'数据-取费表'!u"&amp;$G$1)</f>
        <v>0</v>
      </c>
      <c r="G8" s="1593"/>
      <c r="H8" s="2529" t="s">
        <v>1825</v>
      </c>
      <c r="I8" s="3451" t="s">
        <v>2462</v>
      </c>
      <c r="J8" s="783">
        <f ca="1">ROUND(M8*M10*M9*(1-M11)/10000,0)</f>
        <v>0</v>
      </c>
      <c r="K8" s="341" t="s">
        <v>2533</v>
      </c>
      <c r="L8" s="784" t="s">
        <v>1739</v>
      </c>
      <c r="M8" s="785">
        <f ca="1">INDIRECT("'数据-取费表'!z"&amp;$G$1)</f>
        <v>0</v>
      </c>
    </row>
    <row r="9" spans="1:25" ht="18" customHeight="1">
      <c r="A9" s="2525"/>
      <c r="B9" s="3452"/>
      <c r="C9" s="1827"/>
      <c r="D9" s="1824"/>
      <c r="E9" s="61" t="s">
        <v>638</v>
      </c>
      <c r="F9" s="785">
        <f ca="1">IF(INDIRECT("'数据-取费表'!ah"&amp;$G$1)="",INDIRECT("'数据-取费表'!k"&amp;$G$1),INDIRECT("'数据-取费表'!ah"&amp;$G$1))</f>
        <v>0</v>
      </c>
      <c r="G9" s="1593"/>
      <c r="H9" s="2514"/>
      <c r="I9" s="3452"/>
      <c r="J9" s="788"/>
      <c r="K9" s="789"/>
      <c r="L9" s="784" t="s">
        <v>1740</v>
      </c>
      <c r="M9" s="785">
        <f ca="1">F9</f>
        <v>0</v>
      </c>
    </row>
    <row r="10" spans="1:25" ht="18" customHeight="1">
      <c r="A10" s="2518"/>
      <c r="B10" s="3453"/>
      <c r="C10" s="1827"/>
      <c r="D10" s="1824"/>
      <c r="E10" s="61" t="s">
        <v>639</v>
      </c>
      <c r="F10" s="785">
        <f ca="1">INDIRECT("'数据-取费表'!ai"&amp;$G$1)</f>
        <v>0</v>
      </c>
      <c r="G10" s="1593"/>
      <c r="H10" s="2514"/>
      <c r="I10" s="3453"/>
      <c r="J10" s="788"/>
      <c r="K10" s="789"/>
      <c r="L10" s="784" t="s">
        <v>1741</v>
      </c>
      <c r="M10" s="785">
        <f ca="1">INDIRECT("'数据-取费表'!ai"&amp;$G$1)</f>
        <v>0</v>
      </c>
    </row>
    <row r="11" spans="1:25" ht="18" customHeight="1">
      <c r="A11" s="786"/>
      <c r="B11" s="3454"/>
      <c r="C11" s="1827"/>
      <c r="D11" s="1824"/>
      <c r="E11" s="61" t="s">
        <v>640</v>
      </c>
      <c r="F11" s="794">
        <f ca="1">INDIRECT("'数据-取费表'!w"&amp;$G$1)</f>
        <v>0</v>
      </c>
      <c r="G11" s="1593"/>
      <c r="H11" s="2530"/>
      <c r="I11" s="3453"/>
      <c r="J11" s="788"/>
      <c r="K11" s="789"/>
      <c r="L11" s="795" t="s">
        <v>1742</v>
      </c>
      <c r="M11" s="796">
        <f ca="1">INDIRECT("'数据-取费表'!ab"&amp;$G$1)</f>
        <v>0</v>
      </c>
    </row>
    <row r="12" spans="1:25" ht="18" customHeight="1">
      <c r="A12" s="1831" t="s">
        <v>1826</v>
      </c>
      <c r="B12" s="2519" t="s">
        <v>2458</v>
      </c>
      <c r="C12" s="799">
        <f ca="1">ROUND(IF(F12="押一",C8/12*F13,IF(F12="押二",C8/12*2*F13,IF(F12="押三",C8/12*3*F13,C13*F13))),0)</f>
        <v>0</v>
      </c>
      <c r="D12" s="2526" t="s">
        <v>2972</v>
      </c>
      <c r="E12" s="2523" t="s">
        <v>2463</v>
      </c>
      <c r="F12" s="2646"/>
      <c r="G12" s="1593"/>
      <c r="H12" s="2586" t="s">
        <v>1826</v>
      </c>
      <c r="I12" s="2591" t="s">
        <v>2458</v>
      </c>
      <c r="J12" s="783">
        <f ca="1">ROUND(IF(M12="押一",J8/12*M13,IF(M12="押二",J8/12*2*M13,IF(M12="押三",J8/12*3*M13,J13*M13))),0)</f>
        <v>0</v>
      </c>
      <c r="K12" s="2526" t="s">
        <v>2972</v>
      </c>
      <c r="L12" s="2523" t="s">
        <v>2463</v>
      </c>
      <c r="M12" s="2646"/>
    </row>
    <row r="13" spans="1:25" ht="18" customHeight="1">
      <c r="A13" s="790"/>
      <c r="B13" s="2520" t="s">
        <v>2572</v>
      </c>
      <c r="C13" s="2524"/>
      <c r="D13" s="789"/>
      <c r="E13" s="2523" t="s">
        <v>2455</v>
      </c>
      <c r="F13" s="796">
        <f ca="1">'数据-取费表'!B39</f>
        <v>1.4999999999999999E-2</v>
      </c>
      <c r="G13" s="1593"/>
      <c r="H13" s="2587"/>
      <c r="I13" s="2520" t="s">
        <v>2572</v>
      </c>
      <c r="J13" s="2524"/>
      <c r="K13" s="2588"/>
      <c r="L13" s="2523" t="s">
        <v>2455</v>
      </c>
      <c r="M13" s="2517">
        <f ca="1">'数据-取费表'!B39</f>
        <v>1.4999999999999999E-2</v>
      </c>
    </row>
    <row r="14" spans="1:25" ht="18" customHeight="1" thickBot="1">
      <c r="A14" s="2562" t="s">
        <v>2466</v>
      </c>
      <c r="B14" s="2563" t="s">
        <v>2459</v>
      </c>
      <c r="C14" s="2564"/>
      <c r="D14" s="2565"/>
      <c r="E14" s="2566"/>
      <c r="F14" s="2567"/>
      <c r="G14" s="1593"/>
      <c r="H14" s="2576" t="s">
        <v>2466</v>
      </c>
      <c r="I14" s="2589" t="s">
        <v>2459</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2824</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8</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1.4E-3</v>
      </c>
      <c r="D26" s="2596"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36" t="s">
        <v>2821</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2822</v>
      </c>
      <c r="C31" s="2569">
        <f ca="1">ROUND((C21+C22+C25+C28)/(1-F23-C26-C29-C30),0)</f>
        <v>0</v>
      </c>
      <c r="D31" s="2570"/>
      <c r="E31" s="2571"/>
      <c r="F31" s="2572"/>
      <c r="G31" s="1594"/>
      <c r="H31" s="823" t="s">
        <v>1873</v>
      </c>
      <c r="I31" s="3037"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8</v>
      </c>
      <c r="G36" s="2063"/>
      <c r="H36" s="2066"/>
      <c r="I36" s="3450"/>
      <c r="J36" s="2080"/>
      <c r="K36" s="2081"/>
      <c r="L36" s="2080"/>
      <c r="M36" s="2080"/>
    </row>
    <row r="37" spans="1:18" ht="18" customHeight="1">
      <c r="A37" s="815"/>
      <c r="B37" s="793"/>
      <c r="C37" s="69"/>
      <c r="D37" s="816"/>
      <c r="E37" s="784" t="s">
        <v>674</v>
      </c>
      <c r="F37" s="785">
        <f ca="1">INDIRECT("'数据-取费表'!r"&amp;$G$1)</f>
        <v>0</v>
      </c>
      <c r="G37" s="2063"/>
      <c r="H37" s="2066"/>
      <c r="I37" s="3450"/>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54" t="s">
        <v>2960</v>
      </c>
      <c r="F43" s="315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6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6" t="s">
        <v>2963</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3"/>
      <c r="Q47" s="1605"/>
      <c r="R47" s="1593"/>
    </row>
    <row r="48" spans="1:18" s="2060" customFormat="1" ht="18" customHeight="1" thickBot="1">
      <c r="A48" s="2085"/>
      <c r="C48" s="2088"/>
      <c r="D48" s="2089"/>
      <c r="E48" s="2089"/>
      <c r="F48" s="2090"/>
      <c r="G48" s="2091"/>
      <c r="I48" s="2383" t="s">
        <v>2343</v>
      </c>
      <c r="J48" s="2388"/>
      <c r="K48" s="2389" t="s">
        <v>2349</v>
      </c>
      <c r="L48" s="2390">
        <f ca="1">INDIRECT("'数据-取费表'!d"&amp;$G$1)</f>
        <v>0</v>
      </c>
      <c r="M48" s="3151"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455"/>
      <c r="L54" s="3456"/>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28" t="s">
        <v>2355</v>
      </c>
      <c r="J56" s="3152" t="e">
        <f ca="1">ROUND(IF(J48="钢混",J58/J51,1-(1-2%)*(J51-J58)/J51),3)</f>
        <v>#VALUE!</v>
      </c>
      <c r="K56" s="2402" t="s">
        <v>2356</v>
      </c>
      <c r="L56" s="2403"/>
      <c r="O56" s="2429" t="s">
        <v>2411</v>
      </c>
      <c r="P56" s="1593"/>
      <c r="Q56" s="1605"/>
      <c r="R56" s="1593"/>
    </row>
    <row r="57" spans="1:18" s="2060" customFormat="1" ht="43.5" thickBot="1">
      <c r="A57" s="2097"/>
      <c r="B57" s="2098"/>
      <c r="C57" s="2098"/>
      <c r="I57" s="2404" t="s">
        <v>2357</v>
      </c>
      <c r="J57" s="3151" t="s">
        <v>1679</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3"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30" t="s">
        <v>2940</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1">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2">
        <v>0</v>
      </c>
      <c r="O65" s="2429" t="s">
        <v>2415</v>
      </c>
      <c r="P65" s="1593"/>
      <c r="Q65" s="1605"/>
      <c r="R65" s="1593"/>
    </row>
    <row r="66" spans="1:18" s="2060" customFormat="1" ht="15.75" thickBot="1">
      <c r="A66" s="2097"/>
      <c r="B66" s="2098"/>
      <c r="C66" s="2098"/>
      <c r="I66" s="2410" t="s">
        <v>2372</v>
      </c>
      <c r="J66" s="2411">
        <v>40</v>
      </c>
      <c r="K66" s="2411">
        <v>30</v>
      </c>
      <c r="L66" s="2411">
        <v>50</v>
      </c>
      <c r="M66" s="3131">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9" t="s">
        <v>2575</v>
      </c>
      <c r="C1" s="3459"/>
      <c r="D1" s="3459"/>
      <c r="E1" s="3459"/>
      <c r="F1" s="3459"/>
      <c r="G1" s="3458" t="s">
        <v>2576</v>
      </c>
      <c r="H1" s="3458"/>
      <c r="I1" s="3458"/>
      <c r="J1" s="3458"/>
      <c r="K1" s="3458"/>
      <c r="L1" s="3458"/>
      <c r="N1" s="3458" t="s">
        <v>2577</v>
      </c>
      <c r="O1" s="3458"/>
      <c r="P1" s="3458"/>
      <c r="Q1" s="3458"/>
      <c r="R1" s="2679"/>
      <c r="S1" s="3458" t="s">
        <v>2578</v>
      </c>
      <c r="T1" s="3458"/>
      <c r="U1" s="3458"/>
      <c r="V1" s="3458"/>
      <c r="X1" s="3457" t="s">
        <v>2638</v>
      </c>
      <c r="Y1" s="3458"/>
      <c r="Z1" s="3458"/>
      <c r="AA1" s="3458"/>
      <c r="AB1" s="3458"/>
      <c r="AD1" s="3457" t="s">
        <v>2642</v>
      </c>
      <c r="AE1" s="3458"/>
      <c r="AF1" s="3458"/>
      <c r="AG1" s="3458"/>
      <c r="AH1" s="3458"/>
    </row>
    <row r="2" spans="1:34" s="2781" customFormat="1" ht="14.25" thickBot="1">
      <c r="B2" s="2789" t="s">
        <v>2579</v>
      </c>
      <c r="C2" s="2789" t="s">
        <v>2640</v>
      </c>
      <c r="D2" s="2782" t="s">
        <v>1645</v>
      </c>
      <c r="E2" s="2782" t="s">
        <v>1952</v>
      </c>
      <c r="F2" s="2789" t="s">
        <v>2641</v>
      </c>
      <c r="G2" s="2785"/>
      <c r="H2" s="2784"/>
      <c r="I2" s="2789" t="s">
        <v>2954</v>
      </c>
      <c r="J2" s="2782" t="s">
        <v>2956</v>
      </c>
      <c r="K2" s="2782" t="s">
        <v>2957</v>
      </c>
      <c r="L2" s="2789" t="s">
        <v>2958</v>
      </c>
      <c r="N2" s="2789" t="s">
        <v>2579</v>
      </c>
      <c r="O2" s="2782" t="s">
        <v>2955</v>
      </c>
      <c r="P2" s="2782" t="s">
        <v>1952</v>
      </c>
      <c r="Q2" s="2789" t="s">
        <v>2641</v>
      </c>
      <c r="R2" s="2783"/>
      <c r="S2" s="2789" t="s">
        <v>2579</v>
      </c>
      <c r="T2" s="2782" t="s">
        <v>2955</v>
      </c>
      <c r="U2" s="2782" t="s">
        <v>1952</v>
      </c>
      <c r="V2" s="2789" t="s">
        <v>2641</v>
      </c>
      <c r="X2" s="2789" t="s">
        <v>2579</v>
      </c>
      <c r="Y2" s="2789" t="s">
        <v>2640</v>
      </c>
      <c r="Z2" s="2782" t="s">
        <v>1645</v>
      </c>
      <c r="AA2" s="2782" t="s">
        <v>1952</v>
      </c>
      <c r="AB2" s="2789" t="s">
        <v>2641</v>
      </c>
      <c r="AD2" s="2789" t="s">
        <v>2579</v>
      </c>
      <c r="AE2" s="2789" t="s">
        <v>2640</v>
      </c>
      <c r="AF2" s="2782" t="s">
        <v>1645</v>
      </c>
      <c r="AG2" s="2782" t="s">
        <v>1952</v>
      </c>
      <c r="AH2" s="2789" t="s">
        <v>2641</v>
      </c>
    </row>
    <row r="3" spans="1:34" s="3166" customFormat="1" ht="14.25">
      <c r="A3" s="3178" t="s">
        <v>2967</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c r="A5" s="3143" t="s">
        <v>2974</v>
      </c>
      <c r="B5" s="2820">
        <f>B6*(1+N5)</f>
        <v>446.46299999999997</v>
      </c>
      <c r="C5" s="2820">
        <f>C6*(1+O5)</f>
        <v>333.27840000000003</v>
      </c>
      <c r="D5" s="2820">
        <f>C5</f>
        <v>333.27840000000003</v>
      </c>
      <c r="E5" s="2820">
        <f>E6*(1+P5)</f>
        <v>637.28279999999995</v>
      </c>
      <c r="F5" s="2820">
        <f>F6*(1+Q5)</f>
        <v>288.68830000000003</v>
      </c>
      <c r="G5" s="2780">
        <v>2018</v>
      </c>
      <c r="H5" s="3144">
        <v>2</v>
      </c>
      <c r="I5" s="3160">
        <v>0</v>
      </c>
      <c r="J5" s="3160">
        <v>0</v>
      </c>
      <c r="K5" s="3160">
        <v>0</v>
      </c>
      <c r="L5" s="3160">
        <v>0</v>
      </c>
      <c r="N5" s="2787">
        <f>I5/100</f>
        <v>0</v>
      </c>
      <c r="O5" s="2787">
        <f>J5/100</f>
        <v>0</v>
      </c>
      <c r="P5" s="2787">
        <f>K5/100</f>
        <v>0</v>
      </c>
      <c r="Q5" s="2787">
        <f>L5/100</f>
        <v>0</v>
      </c>
      <c r="R5" s="3146"/>
      <c r="S5" s="3147"/>
      <c r="T5" s="3146"/>
      <c r="U5" s="3146"/>
      <c r="V5" s="3146"/>
      <c r="W5" s="3176" t="s">
        <v>2968</v>
      </c>
      <c r="X5" s="3148">
        <f>ROUND(SUMPRODUCT(PRODUCT(1+N5:N$21)),4)</f>
        <v>1.4517</v>
      </c>
      <c r="Y5" s="3148">
        <f>ROUND(SUMPRODUCT(PRODUCT(1+O5:O$21)),4)</f>
        <v>1.2928999999999999</v>
      </c>
      <c r="Z5" s="3148">
        <f>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AE5</f>
        <v>1.5699999999999999E-2</v>
      </c>
      <c r="AG5" s="3149">
        <f>ROUND(AVERAGE(K5:K$22)/100,4)</f>
        <v>2.5000000000000001E-2</v>
      </c>
      <c r="AH5" s="3149">
        <f>ROUND(AVERAGE(L5:L$22)/100,4)</f>
        <v>1.35E-2</v>
      </c>
    </row>
    <row r="6" spans="1:34" s="2786" customFormat="1" ht="13.5" thickBot="1">
      <c r="A6" s="2680" t="s">
        <v>2975</v>
      </c>
      <c r="B6" s="2694">
        <f>B7*(1+N6)</f>
        <v>446.46299999999997</v>
      </c>
      <c r="C6" s="2694">
        <f>C7*(1+O6)</f>
        <v>333.27840000000003</v>
      </c>
      <c r="D6" s="2694">
        <f t="shared" ref="D6:D11" si="2">C6</f>
        <v>333.27840000000003</v>
      </c>
      <c r="E6" s="2694">
        <f>E7*(1+P6)</f>
        <v>637.28279999999995</v>
      </c>
      <c r="F6" s="2694">
        <f>F7*(1+Q6)</f>
        <v>288.68830000000003</v>
      </c>
      <c r="G6" s="3165">
        <v>2018</v>
      </c>
      <c r="H6" s="2684">
        <v>1</v>
      </c>
      <c r="I6" s="2684">
        <v>1.7</v>
      </c>
      <c r="J6" s="2684">
        <v>1.92</v>
      </c>
      <c r="K6" s="2684">
        <v>1.64</v>
      </c>
      <c r="L6" s="2695">
        <v>2.0099999999999998</v>
      </c>
      <c r="M6" s="2688"/>
      <c r="N6" s="2689">
        <f t="shared" ref="N6:N11" si="3">I6/100</f>
        <v>1.7000000000000001E-2</v>
      </c>
      <c r="O6" s="2690">
        <f t="shared" ref="O6:Q10" si="4">J6/100</f>
        <v>1.9199999999999998E-2</v>
      </c>
      <c r="P6" s="2690">
        <f t="shared" si="4"/>
        <v>1.6399999999999998E-2</v>
      </c>
      <c r="Q6" s="2690">
        <f t="shared" si="4"/>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Y6</f>
        <v>1.2928999999999999</v>
      </c>
      <c r="AA6" s="2779">
        <f>ROUND(SUMPRODUCT(PRODUCT(1+P6:P$21)),4)</f>
        <v>1.5068999999999999</v>
      </c>
      <c r="AB6" s="2779">
        <f>ROUND(SUMPRODUCT(PRODUCT(1+Q6:Q$21)),4)</f>
        <v>1.2557</v>
      </c>
      <c r="AC6" s="2688"/>
      <c r="AD6" s="2699">
        <f>ROUND(AVERAGE(I6:I$22)/100,4)</f>
        <v>2.4E-2</v>
      </c>
      <c r="AE6" s="2699">
        <f>ROUND(AVERAGE(J6:J$22)/100,4)</f>
        <v>1.66E-2</v>
      </c>
      <c r="AF6" s="2699">
        <f>AE6</f>
        <v>1.66E-2</v>
      </c>
      <c r="AG6" s="2699">
        <f>ROUND(AVERAGE(K6:K$22)/100,4)</f>
        <v>2.6499999999999999E-2</v>
      </c>
      <c r="AH6" s="2699">
        <f>ROUND(AVERAGE(L6:L$22)/100,4)</f>
        <v>1.43E-2</v>
      </c>
    </row>
    <row r="7" spans="1:34">
      <c r="A7" s="2680" t="s">
        <v>2965</v>
      </c>
      <c r="B7" s="3180">
        <v>439</v>
      </c>
      <c r="C7" s="3180">
        <v>327</v>
      </c>
      <c r="D7" s="3180">
        <f t="shared" si="2"/>
        <v>327</v>
      </c>
      <c r="E7" s="3180">
        <v>627</v>
      </c>
      <c r="F7" s="3181">
        <v>283</v>
      </c>
      <c r="G7" s="3163">
        <v>2017</v>
      </c>
      <c r="H7" s="2681">
        <v>4</v>
      </c>
      <c r="I7" s="2681">
        <v>1.71</v>
      </c>
      <c r="J7" s="2681">
        <v>1.78</v>
      </c>
      <c r="K7" s="2681">
        <v>1.71</v>
      </c>
      <c r="L7" s="2682">
        <v>1.43</v>
      </c>
      <c r="N7" s="2689">
        <f t="shared" si="3"/>
        <v>1.7100000000000001E-2</v>
      </c>
      <c r="O7" s="2690">
        <f t="shared" si="4"/>
        <v>1.78E-2</v>
      </c>
      <c r="P7" s="2690">
        <f t="shared" si="4"/>
        <v>1.7100000000000001E-2</v>
      </c>
      <c r="Q7" s="2690">
        <f t="shared" si="4"/>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2969</v>
      </c>
      <c r="B8" s="2694">
        <f t="shared" ref="B8:C10" si="5">B9*(1+N8)</f>
        <v>431.80730811680002</v>
      </c>
      <c r="C8" s="2694">
        <f t="shared" si="5"/>
        <v>320.57880516480003</v>
      </c>
      <c r="D8" s="2694">
        <f t="shared" si="2"/>
        <v>320.57880516480003</v>
      </c>
      <c r="E8" s="2694">
        <f t="shared" ref="E8:F10" si="6">E9*(1+P8)</f>
        <v>615.96110553196797</v>
      </c>
      <c r="F8" s="2694">
        <f t="shared" si="6"/>
        <v>279.46777300108801</v>
      </c>
      <c r="G8" s="3165"/>
      <c r="H8" s="2684">
        <v>3</v>
      </c>
      <c r="I8" s="2684">
        <v>2.98</v>
      </c>
      <c r="J8" s="2684">
        <v>2.11</v>
      </c>
      <c r="K8" s="2684">
        <v>3.24</v>
      </c>
      <c r="L8" s="2695">
        <v>1.72</v>
      </c>
      <c r="M8" s="2688"/>
      <c r="N8" s="2689">
        <f t="shared" si="3"/>
        <v>2.98E-2</v>
      </c>
      <c r="O8" s="2690">
        <f t="shared" si="4"/>
        <v>2.1099999999999997E-2</v>
      </c>
      <c r="P8" s="2690">
        <f t="shared" si="4"/>
        <v>3.2400000000000005E-2</v>
      </c>
      <c r="Q8" s="2690">
        <f t="shared" si="4"/>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2580</v>
      </c>
      <c r="B9" s="2694">
        <f t="shared" si="5"/>
        <v>419.31181600000002</v>
      </c>
      <c r="C9" s="2694">
        <f t="shared" si="5"/>
        <v>313.95436800000004</v>
      </c>
      <c r="D9" s="2694">
        <f t="shared" si="2"/>
        <v>313.95436800000004</v>
      </c>
      <c r="E9" s="2694">
        <f t="shared" si="6"/>
        <v>596.63028431999999</v>
      </c>
      <c r="F9" s="2694">
        <f t="shared" si="6"/>
        <v>274.74220703999998</v>
      </c>
      <c r="G9" s="3164"/>
      <c r="H9" s="2685">
        <v>2</v>
      </c>
      <c r="I9" s="2685">
        <v>3.4</v>
      </c>
      <c r="J9" s="2685">
        <v>2</v>
      </c>
      <c r="K9" s="2685">
        <v>3.82</v>
      </c>
      <c r="L9" s="2696">
        <v>1.68</v>
      </c>
      <c r="N9" s="2689">
        <f t="shared" si="3"/>
        <v>3.4000000000000002E-2</v>
      </c>
      <c r="O9" s="2690">
        <f t="shared" si="4"/>
        <v>0.02</v>
      </c>
      <c r="P9" s="2690">
        <f t="shared" si="4"/>
        <v>3.8199999999999998E-2</v>
      </c>
      <c r="Q9" s="2690">
        <f t="shared" si="4"/>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2581</v>
      </c>
      <c r="B10" s="2694">
        <f t="shared" si="5"/>
        <v>405.524</v>
      </c>
      <c r="C10" s="2694">
        <f t="shared" si="5"/>
        <v>307.79840000000002</v>
      </c>
      <c r="D10" s="2694">
        <f t="shared" si="2"/>
        <v>307.79840000000002</v>
      </c>
      <c r="E10" s="2694">
        <f t="shared" si="6"/>
        <v>574.67759999999998</v>
      </c>
      <c r="F10" s="2694">
        <f t="shared" si="6"/>
        <v>270.20280000000002</v>
      </c>
      <c r="G10" s="3165"/>
      <c r="H10" s="2684">
        <v>1</v>
      </c>
      <c r="I10" s="2684">
        <v>3.45</v>
      </c>
      <c r="J10" s="2684">
        <v>1.92</v>
      </c>
      <c r="K10" s="2684">
        <v>3.92</v>
      </c>
      <c r="L10" s="2695">
        <v>1.58</v>
      </c>
      <c r="M10" s="2688"/>
      <c r="N10" s="2689">
        <f t="shared" si="3"/>
        <v>3.4500000000000003E-2</v>
      </c>
      <c r="O10" s="2690">
        <f t="shared" si="4"/>
        <v>1.9199999999999998E-2</v>
      </c>
      <c r="P10" s="2690">
        <f t="shared" si="4"/>
        <v>3.9199999999999999E-2</v>
      </c>
      <c r="Q10" s="2690">
        <f t="shared" si="4"/>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2"/>
        <v>302</v>
      </c>
      <c r="E11" s="2686">
        <v>553</v>
      </c>
      <c r="F11" s="2687">
        <v>266</v>
      </c>
      <c r="G11" s="3466">
        <v>2016</v>
      </c>
      <c r="H11" s="2681">
        <v>4</v>
      </c>
      <c r="I11" s="2681">
        <v>4.5599999999999996</v>
      </c>
      <c r="J11" s="2681">
        <v>2.15</v>
      </c>
      <c r="K11" s="2681">
        <v>5.32</v>
      </c>
      <c r="L11" s="2682">
        <v>1.57</v>
      </c>
      <c r="N11" s="2689">
        <f t="shared" si="3"/>
        <v>4.5599999999999995E-2</v>
      </c>
      <c r="O11" s="2690">
        <f t="shared" ref="O11:Q26" si="7">J11/100</f>
        <v>2.1499999999999998E-2</v>
      </c>
      <c r="P11" s="2690">
        <f t="shared" si="7"/>
        <v>5.3200000000000004E-2</v>
      </c>
      <c r="Q11" s="2690">
        <f t="shared" si="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8">B11/(1+N11)</f>
        <v>374.90436113236416</v>
      </c>
      <c r="C12" s="2694">
        <f t="shared" si="8"/>
        <v>295.64366128242779</v>
      </c>
      <c r="D12" s="2694">
        <f t="shared" ref="D12:D71" si="9">C12</f>
        <v>295.64366128242779</v>
      </c>
      <c r="E12" s="2694">
        <f t="shared" ref="E12:F14" si="10">E11/(1+P11)</f>
        <v>525.06646410938095</v>
      </c>
      <c r="F12" s="2694">
        <f t="shared" si="10"/>
        <v>261.88835286009646</v>
      </c>
      <c r="G12" s="3461"/>
      <c r="H12" s="2684">
        <v>3</v>
      </c>
      <c r="I12" s="2684">
        <v>4.12</v>
      </c>
      <c r="J12" s="2684">
        <v>2</v>
      </c>
      <c r="K12" s="2684">
        <v>4.79</v>
      </c>
      <c r="L12" s="2695">
        <v>1.97</v>
      </c>
      <c r="N12" s="2689">
        <f t="shared" ref="N12:Q46" si="11">I12/100</f>
        <v>4.1200000000000001E-2</v>
      </c>
      <c r="O12" s="2690">
        <f t="shared" si="7"/>
        <v>0.02</v>
      </c>
      <c r="P12" s="2690">
        <f t="shared" si="7"/>
        <v>4.7899999999999998E-2</v>
      </c>
      <c r="Q12" s="2690">
        <f t="shared" si="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8"/>
        <v>360.06949782209392</v>
      </c>
      <c r="C13" s="2694">
        <f t="shared" si="8"/>
        <v>289.84672674747821</v>
      </c>
      <c r="D13" s="2694">
        <f t="shared" si="9"/>
        <v>289.84672674747821</v>
      </c>
      <c r="E13" s="2694">
        <f t="shared" si="10"/>
        <v>501.06543001181495</v>
      </c>
      <c r="F13" s="2694">
        <f t="shared" si="10"/>
        <v>256.82882500744967</v>
      </c>
      <c r="G13" s="3461"/>
      <c r="H13" s="2685">
        <v>2</v>
      </c>
      <c r="I13" s="2685">
        <v>3.85</v>
      </c>
      <c r="J13" s="2685">
        <v>1.95</v>
      </c>
      <c r="K13" s="2685">
        <v>4.4800000000000004</v>
      </c>
      <c r="L13" s="2696">
        <v>1.41</v>
      </c>
      <c r="N13" s="2689">
        <f t="shared" si="11"/>
        <v>3.85E-2</v>
      </c>
      <c r="O13" s="2690">
        <f t="shared" si="7"/>
        <v>1.95E-2</v>
      </c>
      <c r="P13" s="2690">
        <f t="shared" si="7"/>
        <v>4.4800000000000006E-2</v>
      </c>
      <c r="Q13" s="2690">
        <f t="shared" si="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8"/>
        <v>346.720748986128</v>
      </c>
      <c r="C14" s="2694">
        <f t="shared" si="8"/>
        <v>284.30282172386285</v>
      </c>
      <c r="D14" s="2694">
        <f t="shared" si="9"/>
        <v>284.30282172386285</v>
      </c>
      <c r="E14" s="2694">
        <f t="shared" si="10"/>
        <v>479.58023546306947</v>
      </c>
      <c r="F14" s="2694">
        <f t="shared" si="10"/>
        <v>253.25788877571213</v>
      </c>
      <c r="G14" s="3462"/>
      <c r="H14" s="2684">
        <v>1</v>
      </c>
      <c r="I14" s="2684">
        <v>4.09</v>
      </c>
      <c r="J14" s="2684">
        <v>2.93</v>
      </c>
      <c r="K14" s="2684">
        <v>4.54</v>
      </c>
      <c r="L14" s="2695">
        <v>1.48</v>
      </c>
      <c r="N14" s="2689">
        <f t="shared" si="11"/>
        <v>4.0899999999999999E-2</v>
      </c>
      <c r="O14" s="2690">
        <f t="shared" si="7"/>
        <v>2.9300000000000003E-2</v>
      </c>
      <c r="P14" s="2690">
        <f t="shared" si="7"/>
        <v>4.5400000000000003E-2</v>
      </c>
      <c r="Q14" s="2690">
        <f t="shared" si="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9"/>
        <v>277</v>
      </c>
      <c r="E15" s="2686">
        <v>459</v>
      </c>
      <c r="F15" s="2687">
        <v>249</v>
      </c>
      <c r="G15" s="3460">
        <v>2015</v>
      </c>
      <c r="H15" s="2700">
        <v>4</v>
      </c>
      <c r="I15" s="2700">
        <v>1.63</v>
      </c>
      <c r="J15" s="2700">
        <v>1.1100000000000001</v>
      </c>
      <c r="K15" s="2700">
        <v>1.77</v>
      </c>
      <c r="L15" s="2701">
        <v>1.89</v>
      </c>
      <c r="N15" s="2702">
        <f t="shared" si="11"/>
        <v>1.6299999999999999E-2</v>
      </c>
      <c r="O15" s="2703">
        <f t="shared" si="7"/>
        <v>1.11E-2</v>
      </c>
      <c r="P15" s="2703">
        <f t="shared" si="7"/>
        <v>1.77E-2</v>
      </c>
      <c r="Q15" s="2703">
        <f t="shared" si="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12">B15/(1+N15)</f>
        <v>327.65915576109415</v>
      </c>
      <c r="C16" s="2694">
        <f t="shared" si="12"/>
        <v>273.95905449510434</v>
      </c>
      <c r="D16" s="2694">
        <f t="shared" si="9"/>
        <v>273.95905449510434</v>
      </c>
      <c r="E16" s="2694">
        <f t="shared" ref="E16:F18" si="13">E15/(1+P15)</f>
        <v>451.01699911565294</v>
      </c>
      <c r="F16" s="2694">
        <f t="shared" si="13"/>
        <v>244.38119540681129</v>
      </c>
      <c r="G16" s="3461"/>
      <c r="H16" s="2705">
        <v>3</v>
      </c>
      <c r="I16" s="2705">
        <v>1.65</v>
      </c>
      <c r="J16" s="2705">
        <v>0.92</v>
      </c>
      <c r="K16" s="2705">
        <v>1.88</v>
      </c>
      <c r="L16" s="2706">
        <v>1.26</v>
      </c>
      <c r="N16" s="2689">
        <f t="shared" si="11"/>
        <v>1.6500000000000001E-2</v>
      </c>
      <c r="O16" s="2707">
        <f t="shared" si="7"/>
        <v>9.1999999999999998E-3</v>
      </c>
      <c r="P16" s="2707">
        <f t="shared" si="7"/>
        <v>1.8799999999999997E-2</v>
      </c>
      <c r="Q16" s="2707">
        <f t="shared" si="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12"/>
        <v>322.34053690220776</v>
      </c>
      <c r="C17" s="2694">
        <f t="shared" si="12"/>
        <v>271.46160770422546</v>
      </c>
      <c r="D17" s="2694">
        <f t="shared" si="9"/>
        <v>271.46160770422546</v>
      </c>
      <c r="E17" s="2694">
        <f t="shared" si="13"/>
        <v>442.69434542172456</v>
      </c>
      <c r="F17" s="2694">
        <f t="shared" si="13"/>
        <v>241.34030753190925</v>
      </c>
      <c r="G17" s="3461"/>
      <c r="H17" s="2685">
        <v>2</v>
      </c>
      <c r="I17" s="2685">
        <v>0.77</v>
      </c>
      <c r="J17" s="2685">
        <v>0.69</v>
      </c>
      <c r="K17" s="2685">
        <v>0.8</v>
      </c>
      <c r="L17" s="2696">
        <v>0.88</v>
      </c>
      <c r="N17" s="2689">
        <f t="shared" si="11"/>
        <v>7.7000000000000002E-3</v>
      </c>
      <c r="O17" s="2707">
        <f t="shared" si="7"/>
        <v>6.8999999999999999E-3</v>
      </c>
      <c r="P17" s="2707">
        <f t="shared" si="7"/>
        <v>8.0000000000000002E-3</v>
      </c>
      <c r="Q17" s="2707">
        <f t="shared" si="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12"/>
        <v>319.87748030386797</v>
      </c>
      <c r="C18" s="2694">
        <f t="shared" si="12"/>
        <v>269.60135833173649</v>
      </c>
      <c r="D18" s="2694">
        <f t="shared" si="9"/>
        <v>269.60135833173649</v>
      </c>
      <c r="E18" s="2694">
        <f t="shared" si="13"/>
        <v>439.18089823583784</v>
      </c>
      <c r="F18" s="2694">
        <f t="shared" si="13"/>
        <v>239.23503918706311</v>
      </c>
      <c r="G18" s="3462"/>
      <c r="H18" s="2684">
        <v>1</v>
      </c>
      <c r="I18" s="2684">
        <v>0.51</v>
      </c>
      <c r="J18" s="2684">
        <v>0.54</v>
      </c>
      <c r="K18" s="2684">
        <v>0.48</v>
      </c>
      <c r="L18" s="2695">
        <v>0.93</v>
      </c>
      <c r="N18" s="2697">
        <f t="shared" si="11"/>
        <v>5.1000000000000004E-3</v>
      </c>
      <c r="O18" s="2698">
        <f t="shared" si="7"/>
        <v>5.4000000000000003E-3</v>
      </c>
      <c r="P18" s="2698">
        <f t="shared" si="7"/>
        <v>4.7999999999999996E-3</v>
      </c>
      <c r="Q18" s="2698">
        <f t="shared" si="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9"/>
        <v>268</v>
      </c>
      <c r="E19" s="2708">
        <v>437</v>
      </c>
      <c r="F19" s="2709">
        <v>237</v>
      </c>
      <c r="G19" s="3460">
        <v>2014</v>
      </c>
      <c r="H19" s="2700">
        <v>4</v>
      </c>
      <c r="I19" s="2700">
        <v>0.21</v>
      </c>
      <c r="J19" s="2700">
        <v>0.41</v>
      </c>
      <c r="K19" s="2700">
        <v>0.12</v>
      </c>
      <c r="L19" s="2701">
        <v>0.89</v>
      </c>
      <c r="N19" s="2689">
        <f t="shared" si="11"/>
        <v>2.0999999999999999E-3</v>
      </c>
      <c r="O19" s="2690">
        <f t="shared" si="7"/>
        <v>4.0999999999999995E-3</v>
      </c>
      <c r="P19" s="2690">
        <f t="shared" si="7"/>
        <v>1.1999999999999999E-3</v>
      </c>
      <c r="Q19" s="2690">
        <f t="shared" si="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14">B19/(1+N19)</f>
        <v>317.33359944117353</v>
      </c>
      <c r="C20" s="2694">
        <f t="shared" si="14"/>
        <v>266.90568668459315</v>
      </c>
      <c r="D20" s="2694">
        <f t="shared" si="9"/>
        <v>266.90568668459315</v>
      </c>
      <c r="E20" s="2694">
        <f t="shared" ref="E20:F22" si="15">E19/(1+P19)</f>
        <v>436.47622852576905</v>
      </c>
      <c r="F20" s="2694">
        <f t="shared" si="15"/>
        <v>234.90930716622066</v>
      </c>
      <c r="G20" s="3461"/>
      <c r="H20" s="2710">
        <v>3</v>
      </c>
      <c r="I20" s="2710">
        <v>0.83</v>
      </c>
      <c r="J20" s="2710">
        <v>1.47</v>
      </c>
      <c r="K20" s="2710">
        <v>0.65</v>
      </c>
      <c r="L20" s="2711">
        <v>0.72</v>
      </c>
      <c r="N20" s="2689">
        <f t="shared" si="11"/>
        <v>8.3000000000000001E-3</v>
      </c>
      <c r="O20" s="2690">
        <f t="shared" si="7"/>
        <v>1.47E-2</v>
      </c>
      <c r="P20" s="2690">
        <f t="shared" si="7"/>
        <v>6.5000000000000006E-3</v>
      </c>
      <c r="Q20" s="2690">
        <f t="shared" si="7"/>
        <v>7.1999999999999998E-3</v>
      </c>
      <c r="R20" s="2691"/>
      <c r="S20" s="2689"/>
      <c r="T20" s="2690"/>
      <c r="U20" s="2690"/>
      <c r="V20" s="2690"/>
      <c r="X20" s="2779">
        <f>ROUND(SUMPRODUCT(PRODUCT(1+N20:N$21)),4)</f>
        <v>1.0325</v>
      </c>
      <c r="Y20" s="2779">
        <f>ROUND(SUMPRODUCT(PRODUCT(1+O20:O$21)),4)</f>
        <v>1.0353000000000001</v>
      </c>
      <c r="Z20" s="2779">
        <f>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14"/>
        <v>314.72141172386546</v>
      </c>
      <c r="C21" s="2694">
        <f t="shared" si="14"/>
        <v>263.03901319069001</v>
      </c>
      <c r="D21" s="2694">
        <f t="shared" si="9"/>
        <v>263.03901319069001</v>
      </c>
      <c r="E21" s="2694">
        <f t="shared" si="15"/>
        <v>433.65745506782821</v>
      </c>
      <c r="F21" s="2694">
        <f t="shared" si="15"/>
        <v>233.23005080045735</v>
      </c>
      <c r="G21" s="3461"/>
      <c r="H21" s="2700">
        <v>2</v>
      </c>
      <c r="I21" s="2700">
        <v>2.4</v>
      </c>
      <c r="J21" s="2700">
        <v>2.0299999999999998</v>
      </c>
      <c r="K21" s="2700">
        <v>2.59</v>
      </c>
      <c r="L21" s="2701">
        <v>1.52</v>
      </c>
      <c r="N21" s="2689">
        <f t="shared" si="11"/>
        <v>2.4E-2</v>
      </c>
      <c r="O21" s="2690">
        <f t="shared" si="7"/>
        <v>2.0299999999999999E-2</v>
      </c>
      <c r="P21" s="2690">
        <f t="shared" si="7"/>
        <v>2.5899999999999999E-2</v>
      </c>
      <c r="Q21" s="2690">
        <f t="shared" si="7"/>
        <v>1.52E-2</v>
      </c>
      <c r="R21" s="2691"/>
      <c r="S21" s="2689"/>
      <c r="T21" s="2690"/>
      <c r="U21" s="2690"/>
      <c r="V21" s="2690"/>
      <c r="X21" s="2779">
        <f>1+N21</f>
        <v>1.024</v>
      </c>
      <c r="Y21" s="2779">
        <f>1+O21</f>
        <v>1.0203</v>
      </c>
      <c r="Z21" s="2779">
        <f>Y21</f>
        <v>1.0203</v>
      </c>
      <c r="AA21" s="2779">
        <f>1+P21</f>
        <v>1.0259</v>
      </c>
      <c r="AB21" s="2779">
        <f>1+Q21</f>
        <v>1.0152000000000001</v>
      </c>
      <c r="AD21" s="2699">
        <f>ROUND(AVERAGE(I21:I$22)/100,4)</f>
        <v>2.69E-2</v>
      </c>
      <c r="AE21" s="2699">
        <f>ROUND(AVERAGE(J21:J$22)/100,4)</f>
        <v>2.1899999999999999E-2</v>
      </c>
      <c r="AF21" s="2699">
        <f>AE21</f>
        <v>2.1899999999999999E-2</v>
      </c>
      <c r="AG21" s="2699">
        <f>ROUND(AVERAGE(K21:K$22)/100,4)</f>
        <v>2.9399999999999999E-2</v>
      </c>
      <c r="AH21" s="2699">
        <f>ROUND(AVERAGE(L21:L$22)/100,4)</f>
        <v>1.44E-2</v>
      </c>
    </row>
    <row r="22" spans="1:34" s="2716" customFormat="1" ht="13.5" thickBot="1">
      <c r="A22" s="2712" t="s">
        <v>961</v>
      </c>
      <c r="B22" s="2713">
        <f t="shared" si="14"/>
        <v>307.34512863658733</v>
      </c>
      <c r="C22" s="2713">
        <f t="shared" si="14"/>
        <v>257.80556031626975</v>
      </c>
      <c r="D22" s="2713">
        <f t="shared" si="9"/>
        <v>257.80556031626975</v>
      </c>
      <c r="E22" s="2713">
        <f t="shared" si="15"/>
        <v>422.70928459677179</v>
      </c>
      <c r="F22" s="2713">
        <f t="shared" si="15"/>
        <v>229.73803270336617</v>
      </c>
      <c r="G22" s="3462"/>
      <c r="H22" s="2714">
        <v>1</v>
      </c>
      <c r="I22" s="2714">
        <v>2.97</v>
      </c>
      <c r="J22" s="2714">
        <v>2.34</v>
      </c>
      <c r="K22" s="2714">
        <v>3.28</v>
      </c>
      <c r="L22" s="2715">
        <v>1.36</v>
      </c>
      <c r="N22" s="2717">
        <f t="shared" si="11"/>
        <v>2.9700000000000001E-2</v>
      </c>
      <c r="O22" s="2718">
        <f t="shared" si="7"/>
        <v>2.3399999999999997E-2</v>
      </c>
      <c r="P22" s="2718">
        <f t="shared" si="7"/>
        <v>3.2799999999999996E-2</v>
      </c>
      <c r="Q22" s="2718">
        <f t="shared" si="7"/>
        <v>1.3600000000000001E-2</v>
      </c>
      <c r="R22" s="2719"/>
      <c r="S22" s="2720">
        <f>B22/B23-1</f>
        <v>2.7910129219355539E-2</v>
      </c>
      <c r="T22" s="2721">
        <f>C22/C23-1</f>
        <v>2.3037937762975247E-2</v>
      </c>
      <c r="U22" s="2721">
        <f>E22/E23-1</f>
        <v>3.3519033243940788E-2</v>
      </c>
      <c r="V22" s="2721">
        <f>F22/F23-1</f>
        <v>1.2061818076502862E-2</v>
      </c>
      <c r="W22" s="2788" t="s">
        <v>2639</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2582</v>
      </c>
      <c r="B23" s="2686">
        <v>299</v>
      </c>
      <c r="C23" s="2686">
        <v>252</v>
      </c>
      <c r="D23" s="2686">
        <f t="shared" si="9"/>
        <v>252</v>
      </c>
      <c r="E23" s="2686">
        <v>409</v>
      </c>
      <c r="F23" s="2687">
        <v>227</v>
      </c>
      <c r="G23" s="3463">
        <v>2013</v>
      </c>
      <c r="H23" s="2722">
        <v>4</v>
      </c>
      <c r="I23" s="2722">
        <v>1.83</v>
      </c>
      <c r="J23" s="2722">
        <v>1.68</v>
      </c>
      <c r="K23" s="2722">
        <v>1.97</v>
      </c>
      <c r="L23" s="2723">
        <v>0.87</v>
      </c>
      <c r="N23" s="2702">
        <f t="shared" si="11"/>
        <v>1.83E-2</v>
      </c>
      <c r="O23" s="2703">
        <f t="shared" si="7"/>
        <v>1.6799999999999999E-2</v>
      </c>
      <c r="P23" s="2703">
        <f t="shared" si="7"/>
        <v>1.9699999999999999E-2</v>
      </c>
      <c r="Q23" s="2703">
        <f t="shared" si="7"/>
        <v>8.6999999999999994E-3</v>
      </c>
      <c r="R23" s="2691"/>
      <c r="S23" s="2692"/>
      <c r="T23" s="2693"/>
      <c r="U23" s="2693"/>
      <c r="V23" s="2693"/>
      <c r="X23" s="2693"/>
      <c r="Y23" s="2693"/>
      <c r="Z23" s="2693"/>
    </row>
    <row r="24" spans="1:34">
      <c r="A24" s="2680" t="s">
        <v>2583</v>
      </c>
      <c r="B24" s="2694">
        <f t="shared" ref="B24:C26" si="16">B23/(1+N23)</f>
        <v>293.62663262299913</v>
      </c>
      <c r="C24" s="2694">
        <f t="shared" si="16"/>
        <v>247.83634933123525</v>
      </c>
      <c r="D24" s="2694">
        <f t="shared" si="9"/>
        <v>247.83634933123525</v>
      </c>
      <c r="E24" s="2694">
        <f t="shared" ref="E24:F26" si="17">E23/(1+P23)</f>
        <v>401.09836226341076</v>
      </c>
      <c r="F24" s="2694">
        <f t="shared" si="17"/>
        <v>225.04213343908003</v>
      </c>
      <c r="G24" s="3464"/>
      <c r="H24" s="2705">
        <v>3</v>
      </c>
      <c r="I24" s="2705">
        <v>1.86</v>
      </c>
      <c r="J24" s="2705">
        <v>1.72</v>
      </c>
      <c r="K24" s="2705">
        <v>1.98</v>
      </c>
      <c r="L24" s="2706">
        <v>0.88</v>
      </c>
      <c r="N24" s="2689">
        <f t="shared" si="11"/>
        <v>1.8600000000000002E-2</v>
      </c>
      <c r="O24" s="2707">
        <f t="shared" si="7"/>
        <v>1.72E-2</v>
      </c>
      <c r="P24" s="2707">
        <f t="shared" si="7"/>
        <v>1.9799999999999998E-2</v>
      </c>
      <c r="Q24" s="2707">
        <f t="shared" si="7"/>
        <v>8.8000000000000005E-3</v>
      </c>
      <c r="R24" s="2691"/>
      <c r="S24" s="2689"/>
      <c r="T24" s="2690"/>
      <c r="U24" s="2690"/>
      <c r="V24" s="2690"/>
    </row>
    <row r="25" spans="1:34">
      <c r="A25" s="2680" t="s">
        <v>2584</v>
      </c>
      <c r="B25" s="2694">
        <f t="shared" si="16"/>
        <v>288.2649053828776</v>
      </c>
      <c r="C25" s="2694">
        <f t="shared" si="16"/>
        <v>243.64564425013293</v>
      </c>
      <c r="D25" s="2694">
        <f t="shared" si="9"/>
        <v>243.64564425013293</v>
      </c>
      <c r="E25" s="2694">
        <f t="shared" si="17"/>
        <v>393.31080825986544</v>
      </c>
      <c r="F25" s="2694">
        <f t="shared" si="17"/>
        <v>223.07903790551154</v>
      </c>
      <c r="G25" s="3464"/>
      <c r="H25" s="2685">
        <v>2</v>
      </c>
      <c r="I25" s="2685">
        <v>2.04</v>
      </c>
      <c r="J25" s="2685">
        <v>2.33</v>
      </c>
      <c r="K25" s="2685">
        <v>2.0699999999999998</v>
      </c>
      <c r="L25" s="2696">
        <v>0.69</v>
      </c>
      <c r="N25" s="2689">
        <f t="shared" si="11"/>
        <v>2.0400000000000001E-2</v>
      </c>
      <c r="O25" s="2707">
        <f t="shared" si="7"/>
        <v>2.3300000000000001E-2</v>
      </c>
      <c r="P25" s="2707">
        <f t="shared" si="7"/>
        <v>2.07E-2</v>
      </c>
      <c r="Q25" s="2707">
        <f t="shared" si="7"/>
        <v>6.8999999999999999E-3</v>
      </c>
      <c r="R25" s="2691"/>
      <c r="S25" s="2689"/>
      <c r="T25" s="2690"/>
      <c r="U25" s="2690"/>
      <c r="V25" s="2690"/>
      <c r="X25" s="2791"/>
      <c r="Y25" s="2793"/>
    </row>
    <row r="26" spans="1:34">
      <c r="A26" s="2680" t="s">
        <v>2585</v>
      </c>
      <c r="B26" s="2694">
        <f t="shared" si="16"/>
        <v>282.50186729015837</v>
      </c>
      <c r="C26" s="2694">
        <f t="shared" si="16"/>
        <v>238.09796174155468</v>
      </c>
      <c r="D26" s="2694">
        <f t="shared" si="9"/>
        <v>238.09796174155468</v>
      </c>
      <c r="E26" s="2694">
        <f t="shared" si="17"/>
        <v>385.33438646014054</v>
      </c>
      <c r="F26" s="2694">
        <f t="shared" si="17"/>
        <v>221.55034055567739</v>
      </c>
      <c r="G26" s="3465"/>
      <c r="H26" s="2684">
        <v>1</v>
      </c>
      <c r="I26" s="2684">
        <v>1.67</v>
      </c>
      <c r="J26" s="2684">
        <v>1.31</v>
      </c>
      <c r="K26" s="2684">
        <v>1.85</v>
      </c>
      <c r="L26" s="2695">
        <v>0.96</v>
      </c>
      <c r="N26" s="2697">
        <f t="shared" si="11"/>
        <v>1.67E-2</v>
      </c>
      <c r="O26" s="2698">
        <f t="shared" si="7"/>
        <v>1.3100000000000001E-2</v>
      </c>
      <c r="P26" s="2698">
        <f t="shared" si="7"/>
        <v>1.8500000000000003E-2</v>
      </c>
      <c r="Q26" s="2698">
        <f t="shared" si="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2586</v>
      </c>
      <c r="B27" s="2724">
        <v>278</v>
      </c>
      <c r="C27" s="2724">
        <v>234</v>
      </c>
      <c r="D27" s="2724">
        <f t="shared" si="9"/>
        <v>234</v>
      </c>
      <c r="E27" s="2724">
        <v>379</v>
      </c>
      <c r="F27" s="2725">
        <v>220</v>
      </c>
      <c r="G27" s="3460">
        <v>2012</v>
      </c>
      <c r="H27" s="2700">
        <v>4</v>
      </c>
      <c r="I27" s="2700">
        <v>0.91</v>
      </c>
      <c r="J27" s="2700">
        <v>0.68</v>
      </c>
      <c r="K27" s="2700">
        <v>0.98</v>
      </c>
      <c r="L27" s="2701">
        <v>0.9</v>
      </c>
      <c r="N27" s="2689">
        <f t="shared" si="11"/>
        <v>9.1000000000000004E-3</v>
      </c>
      <c r="O27" s="2690">
        <f t="shared" si="11"/>
        <v>6.8000000000000005E-3</v>
      </c>
      <c r="P27" s="2690">
        <f t="shared" si="11"/>
        <v>9.7999999999999997E-3</v>
      </c>
      <c r="Q27" s="2690">
        <f t="shared" si="11"/>
        <v>9.0000000000000011E-3</v>
      </c>
      <c r="R27" s="2691"/>
      <c r="S27" s="2692"/>
      <c r="T27" s="2693"/>
      <c r="U27" s="2693"/>
      <c r="V27" s="2693"/>
      <c r="X27" s="2693"/>
      <c r="Y27" s="2693"/>
      <c r="Z27" s="2693"/>
    </row>
    <row r="28" spans="1:34">
      <c r="A28" s="2680" t="s">
        <v>2587</v>
      </c>
      <c r="B28" s="2694">
        <f>B27/(1+N27)</f>
        <v>275.49301357645425</v>
      </c>
      <c r="C28" s="2694">
        <f>C27/(1+O27)</f>
        <v>232.41954707985698</v>
      </c>
      <c r="D28" s="2694">
        <f t="shared" si="9"/>
        <v>232.41954707985698</v>
      </c>
      <c r="E28" s="2694">
        <f t="shared" ref="E28:F30" si="18">E27/(1+P27)</f>
        <v>375.32184591008121</v>
      </c>
      <c r="F28" s="2694">
        <f t="shared" si="18"/>
        <v>218.03766105054513</v>
      </c>
      <c r="G28" s="3461"/>
      <c r="H28" s="2705">
        <v>3</v>
      </c>
      <c r="I28" s="2705">
        <v>0.09</v>
      </c>
      <c r="J28" s="2705">
        <v>0.28999999999999998</v>
      </c>
      <c r="K28" s="2705">
        <v>-0.01</v>
      </c>
      <c r="L28" s="2706">
        <v>0.57999999999999996</v>
      </c>
      <c r="N28" s="2689">
        <f t="shared" si="11"/>
        <v>8.9999999999999998E-4</v>
      </c>
      <c r="O28" s="2690">
        <f t="shared" si="11"/>
        <v>2.8999999999999998E-3</v>
      </c>
      <c r="P28" s="2690">
        <f t="shared" si="11"/>
        <v>-1E-4</v>
      </c>
      <c r="Q28" s="2690">
        <f t="shared" si="11"/>
        <v>5.7999999999999996E-3</v>
      </c>
      <c r="R28" s="2691"/>
      <c r="S28" s="2689"/>
      <c r="T28" s="2690"/>
      <c r="U28" s="2690"/>
      <c r="V28" s="2690"/>
    </row>
    <row r="29" spans="1:34">
      <c r="A29" s="2680" t="s">
        <v>2588</v>
      </c>
      <c r="B29" s="2694">
        <f>B28/(1+N28)</f>
        <v>275.24529281292263</v>
      </c>
      <c r="C29" s="2694">
        <f>C28/(1+O28)</f>
        <v>231.74747938962707</v>
      </c>
      <c r="D29" s="2694">
        <f t="shared" si="9"/>
        <v>231.74747938962707</v>
      </c>
      <c r="E29" s="2694">
        <f t="shared" si="18"/>
        <v>375.35938184826603</v>
      </c>
      <c r="F29" s="2694">
        <f t="shared" si="18"/>
        <v>216.78033510692495</v>
      </c>
      <c r="G29" s="3461"/>
      <c r="H29" s="2685">
        <v>2</v>
      </c>
      <c r="I29" s="2685">
        <v>0.02</v>
      </c>
      <c r="J29" s="2685">
        <v>0.12</v>
      </c>
      <c r="K29" s="2685">
        <v>-0.08</v>
      </c>
      <c r="L29" s="2696">
        <v>1.24</v>
      </c>
      <c r="N29" s="2689">
        <f t="shared" si="11"/>
        <v>2.0000000000000001E-4</v>
      </c>
      <c r="O29" s="2690">
        <f t="shared" si="11"/>
        <v>1.1999999999999999E-3</v>
      </c>
      <c r="P29" s="2690">
        <f t="shared" si="11"/>
        <v>-8.0000000000000004E-4</v>
      </c>
      <c r="Q29" s="2690">
        <f t="shared" si="11"/>
        <v>1.24E-2</v>
      </c>
      <c r="R29" s="2691"/>
      <c r="S29" s="2689"/>
      <c r="T29" s="2690"/>
      <c r="U29" s="2690"/>
      <c r="V29" s="2690"/>
    </row>
    <row r="30" spans="1:34" ht="13.5" thickBot="1">
      <c r="A30" s="2680" t="s">
        <v>2589</v>
      </c>
      <c r="B30" s="2694">
        <f>B29/(1+N29)</f>
        <v>275.19025476197027</v>
      </c>
      <c r="C30" s="2726">
        <v>232</v>
      </c>
      <c r="D30" s="2726">
        <f t="shared" si="9"/>
        <v>232</v>
      </c>
      <c r="E30" s="2694">
        <f t="shared" si="18"/>
        <v>375.65990977608692</v>
      </c>
      <c r="F30" s="2694">
        <f t="shared" si="18"/>
        <v>214.12518283971252</v>
      </c>
      <c r="G30" s="3462"/>
      <c r="H30" s="2684">
        <v>1</v>
      </c>
      <c r="I30" s="2684">
        <v>0.02</v>
      </c>
      <c r="J30" s="2684">
        <v>0.13</v>
      </c>
      <c r="K30" s="2684">
        <v>-0.04</v>
      </c>
      <c r="L30" s="2695">
        <v>0.46</v>
      </c>
      <c r="N30" s="2689">
        <f t="shared" si="11"/>
        <v>2.0000000000000001E-4</v>
      </c>
      <c r="O30" s="2690">
        <f t="shared" si="11"/>
        <v>1.2999999999999999E-3</v>
      </c>
      <c r="P30" s="2690">
        <f t="shared" si="11"/>
        <v>-4.0000000000000002E-4</v>
      </c>
      <c r="Q30" s="2690">
        <f t="shared" si="11"/>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2590</v>
      </c>
      <c r="B31" s="2686">
        <v>275</v>
      </c>
      <c r="C31" s="2686">
        <v>232</v>
      </c>
      <c r="D31" s="2686">
        <f t="shared" si="9"/>
        <v>232</v>
      </c>
      <c r="E31" s="2686">
        <v>376</v>
      </c>
      <c r="F31" s="2687">
        <v>213</v>
      </c>
      <c r="G31" s="3460">
        <v>2011</v>
      </c>
      <c r="H31" s="2700">
        <v>4</v>
      </c>
      <c r="I31" s="2700">
        <v>-0.2</v>
      </c>
      <c r="J31" s="2700">
        <v>0.04</v>
      </c>
      <c r="K31" s="2700">
        <v>-0.34</v>
      </c>
      <c r="L31" s="2701">
        <v>0.46</v>
      </c>
      <c r="N31" s="2702">
        <f t="shared" si="11"/>
        <v>-2E-3</v>
      </c>
      <c r="O31" s="2703">
        <f t="shared" si="11"/>
        <v>4.0000000000000002E-4</v>
      </c>
      <c r="P31" s="2703">
        <f t="shared" si="11"/>
        <v>-3.4000000000000002E-3</v>
      </c>
      <c r="Q31" s="2703">
        <f t="shared" si="11"/>
        <v>4.5999999999999999E-3</v>
      </c>
      <c r="R31" s="2691"/>
      <c r="S31" s="2692"/>
      <c r="T31" s="2693"/>
      <c r="U31" s="2693"/>
      <c r="V31" s="2693"/>
      <c r="X31" s="2693"/>
      <c r="Y31" s="2693"/>
      <c r="Z31" s="2693"/>
    </row>
    <row r="32" spans="1:34">
      <c r="A32" s="2680" t="s">
        <v>2591</v>
      </c>
      <c r="B32" s="2694">
        <f t="shared" ref="B32:C34" si="19">B31/(1+N31)</f>
        <v>275.55110220440883</v>
      </c>
      <c r="C32" s="2694">
        <f t="shared" si="19"/>
        <v>231.90723710515795</v>
      </c>
      <c r="D32" s="2694">
        <f t="shared" si="9"/>
        <v>231.90723710515795</v>
      </c>
      <c r="E32" s="2694">
        <f t="shared" ref="E32:F34" si="20">E31/(1+P31)</f>
        <v>377.28276138872161</v>
      </c>
      <c r="F32" s="2694">
        <f t="shared" si="20"/>
        <v>212.02468644236512</v>
      </c>
      <c r="G32" s="3461">
        <v>2011</v>
      </c>
      <c r="H32" s="2705">
        <v>3</v>
      </c>
      <c r="I32" s="2705">
        <v>0.13</v>
      </c>
      <c r="J32" s="2705">
        <v>0.75</v>
      </c>
      <c r="K32" s="2705">
        <v>-0.08</v>
      </c>
      <c r="L32" s="2706">
        <v>0.53</v>
      </c>
      <c r="N32" s="2689">
        <f t="shared" si="11"/>
        <v>1.2999999999999999E-3</v>
      </c>
      <c r="O32" s="2707">
        <f t="shared" si="11"/>
        <v>7.4999999999999997E-3</v>
      </c>
      <c r="P32" s="2707">
        <f t="shared" si="11"/>
        <v>-8.0000000000000004E-4</v>
      </c>
      <c r="Q32" s="2707">
        <f t="shared" si="11"/>
        <v>5.3E-3</v>
      </c>
      <c r="R32" s="2691"/>
      <c r="S32" s="2689"/>
      <c r="T32" s="2690"/>
      <c r="U32" s="2690"/>
      <c r="V32" s="2690"/>
    </row>
    <row r="33" spans="1:26">
      <c r="A33" s="2680" t="s">
        <v>2592</v>
      </c>
      <c r="B33" s="2694">
        <f t="shared" si="19"/>
        <v>275.19335084830601</v>
      </c>
      <c r="C33" s="2694">
        <f t="shared" si="19"/>
        <v>230.18088050139744</v>
      </c>
      <c r="D33" s="2694">
        <f t="shared" si="9"/>
        <v>230.18088050139744</v>
      </c>
      <c r="E33" s="2694">
        <f t="shared" si="20"/>
        <v>377.58482925212331</v>
      </c>
      <c r="F33" s="2694">
        <f t="shared" si="20"/>
        <v>210.90687997847917</v>
      </c>
      <c r="G33" s="3461">
        <v>2011</v>
      </c>
      <c r="H33" s="2685">
        <v>2</v>
      </c>
      <c r="I33" s="2685">
        <v>-0.4</v>
      </c>
      <c r="J33" s="2685">
        <v>0.17</v>
      </c>
      <c r="K33" s="2685">
        <v>-0.57999999999999996</v>
      </c>
      <c r="L33" s="2696">
        <v>-0.2</v>
      </c>
      <c r="N33" s="2689">
        <f t="shared" si="11"/>
        <v>-4.0000000000000001E-3</v>
      </c>
      <c r="O33" s="2707">
        <f t="shared" si="11"/>
        <v>1.7000000000000001E-3</v>
      </c>
      <c r="P33" s="2707">
        <f t="shared" si="11"/>
        <v>-5.7999999999999996E-3</v>
      </c>
      <c r="Q33" s="2707">
        <f t="shared" si="11"/>
        <v>-2E-3</v>
      </c>
      <c r="R33" s="2691"/>
      <c r="S33" s="2689"/>
      <c r="T33" s="2690"/>
      <c r="U33" s="2690"/>
      <c r="V33" s="2690"/>
    </row>
    <row r="34" spans="1:26" ht="13.5" thickBot="1">
      <c r="A34" s="2680" t="s">
        <v>2593</v>
      </c>
      <c r="B34" s="2694">
        <f t="shared" si="19"/>
        <v>276.29854502841971</v>
      </c>
      <c r="C34" s="2694">
        <f t="shared" si="19"/>
        <v>229.79023709833027</v>
      </c>
      <c r="D34" s="2694">
        <f t="shared" si="9"/>
        <v>229.79023709833027</v>
      </c>
      <c r="E34" s="2694">
        <f t="shared" si="20"/>
        <v>379.78759731655936</v>
      </c>
      <c r="F34" s="2694">
        <f t="shared" si="20"/>
        <v>211.32953905659235</v>
      </c>
      <c r="G34" s="3462">
        <v>2011</v>
      </c>
      <c r="H34" s="2684">
        <v>1</v>
      </c>
      <c r="I34" s="2684">
        <v>2.65</v>
      </c>
      <c r="J34" s="2684">
        <v>3.76</v>
      </c>
      <c r="K34" s="2684">
        <v>1.89</v>
      </c>
      <c r="L34" s="2695">
        <v>7.95</v>
      </c>
      <c r="N34" s="2697">
        <f t="shared" si="11"/>
        <v>2.6499999999999999E-2</v>
      </c>
      <c r="O34" s="2698">
        <f t="shared" si="11"/>
        <v>3.7599999999999995E-2</v>
      </c>
      <c r="P34" s="2698">
        <f t="shared" si="11"/>
        <v>1.89E-2</v>
      </c>
      <c r="Q34" s="2698">
        <f t="shared" si="1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2594</v>
      </c>
      <c r="B35" s="2686">
        <v>269</v>
      </c>
      <c r="C35" s="2686">
        <v>221</v>
      </c>
      <c r="D35" s="2686">
        <f t="shared" si="9"/>
        <v>221</v>
      </c>
      <c r="E35" s="2686">
        <v>373</v>
      </c>
      <c r="F35" s="2687">
        <v>196</v>
      </c>
      <c r="G35" s="3460">
        <v>2010</v>
      </c>
      <c r="H35" s="2700">
        <v>4</v>
      </c>
      <c r="I35" s="2700">
        <v>5.72</v>
      </c>
      <c r="J35" s="2700">
        <v>6.57</v>
      </c>
      <c r="K35" s="2700">
        <v>5.72</v>
      </c>
      <c r="L35" s="2701">
        <v>2.72</v>
      </c>
      <c r="N35" s="2689">
        <f t="shared" si="11"/>
        <v>5.7200000000000001E-2</v>
      </c>
      <c r="O35" s="2690">
        <f t="shared" si="11"/>
        <v>6.5700000000000008E-2</v>
      </c>
      <c r="P35" s="2690">
        <f t="shared" si="11"/>
        <v>5.7200000000000001E-2</v>
      </c>
      <c r="Q35" s="2690">
        <f t="shared" si="11"/>
        <v>2.7200000000000002E-2</v>
      </c>
      <c r="R35" s="2691"/>
      <c r="S35" s="2692"/>
      <c r="T35" s="2693"/>
      <c r="U35" s="2693"/>
      <c r="V35" s="2693"/>
      <c r="X35" s="2693"/>
      <c r="Y35" s="2693"/>
      <c r="Z35" s="2693"/>
    </row>
    <row r="36" spans="1:26">
      <c r="A36" s="2680" t="s">
        <v>2595</v>
      </c>
      <c r="B36" s="2694">
        <f t="shared" ref="B36:C38" si="21">B35/(1+N35)</f>
        <v>254.44570563753314</v>
      </c>
      <c r="C36" s="2694">
        <f t="shared" si="21"/>
        <v>207.37543398705074</v>
      </c>
      <c r="D36" s="2694">
        <f t="shared" si="9"/>
        <v>207.37543398705074</v>
      </c>
      <c r="E36" s="2694">
        <f t="shared" ref="E36:F38" si="22">E35/(1+P35)</f>
        <v>352.81876655315932</v>
      </c>
      <c r="F36" s="2694">
        <f t="shared" si="22"/>
        <v>190.809968847352</v>
      </c>
      <c r="G36" s="3461">
        <v>2010</v>
      </c>
      <c r="H36" s="2705">
        <v>3</v>
      </c>
      <c r="I36" s="2705">
        <v>4.7300000000000004</v>
      </c>
      <c r="J36" s="2705">
        <v>3.9</v>
      </c>
      <c r="K36" s="2705">
        <v>5.03</v>
      </c>
      <c r="L36" s="2706">
        <v>4.21</v>
      </c>
      <c r="N36" s="2689">
        <f t="shared" si="11"/>
        <v>4.7300000000000002E-2</v>
      </c>
      <c r="O36" s="2690">
        <f t="shared" si="11"/>
        <v>3.9E-2</v>
      </c>
      <c r="P36" s="2690">
        <f t="shared" si="11"/>
        <v>5.0300000000000004E-2</v>
      </c>
      <c r="Q36" s="2690">
        <f t="shared" si="11"/>
        <v>4.2099999999999999E-2</v>
      </c>
      <c r="R36" s="2691"/>
      <c r="S36" s="2689"/>
      <c r="T36" s="2690"/>
      <c r="U36" s="2690"/>
      <c r="V36" s="2690"/>
    </row>
    <row r="37" spans="1:26">
      <c r="A37" s="2680" t="s">
        <v>2596</v>
      </c>
      <c r="B37" s="2694">
        <f t="shared" si="21"/>
        <v>242.95398227588385</v>
      </c>
      <c r="C37" s="2694">
        <f t="shared" si="21"/>
        <v>199.59137053614126</v>
      </c>
      <c r="D37" s="2694">
        <f t="shared" si="9"/>
        <v>199.59137053614126</v>
      </c>
      <c r="E37" s="2694">
        <f t="shared" si="22"/>
        <v>335.92189522342125</v>
      </c>
      <c r="F37" s="2694">
        <f t="shared" si="22"/>
        <v>183.10139991109489</v>
      </c>
      <c r="G37" s="3461">
        <v>2010</v>
      </c>
      <c r="H37" s="2685">
        <v>2</v>
      </c>
      <c r="I37" s="2685">
        <v>4.6900000000000004</v>
      </c>
      <c r="J37" s="2685">
        <v>3.55</v>
      </c>
      <c r="K37" s="2685">
        <v>5.07</v>
      </c>
      <c r="L37" s="2696">
        <v>4.2300000000000004</v>
      </c>
      <c r="N37" s="2689">
        <f t="shared" si="11"/>
        <v>4.6900000000000004E-2</v>
      </c>
      <c r="O37" s="2690">
        <f t="shared" si="11"/>
        <v>3.5499999999999997E-2</v>
      </c>
      <c r="P37" s="2690">
        <f t="shared" si="11"/>
        <v>5.0700000000000002E-2</v>
      </c>
      <c r="Q37" s="2690">
        <f t="shared" si="11"/>
        <v>4.2300000000000004E-2</v>
      </c>
      <c r="R37" s="2691"/>
      <c r="S37" s="2689"/>
      <c r="T37" s="2690"/>
      <c r="U37" s="2690"/>
      <c r="V37" s="2690"/>
    </row>
    <row r="38" spans="1:26" ht="13.5" thickBot="1">
      <c r="A38" s="2680" t="s">
        <v>2597</v>
      </c>
      <c r="B38" s="2694">
        <f t="shared" si="21"/>
        <v>232.06990378821649</v>
      </c>
      <c r="C38" s="2694">
        <f t="shared" si="21"/>
        <v>192.74878854286936</v>
      </c>
      <c r="D38" s="2694">
        <f t="shared" si="9"/>
        <v>192.74878854286936</v>
      </c>
      <c r="E38" s="2694">
        <f t="shared" si="22"/>
        <v>319.71247284992984</v>
      </c>
      <c r="F38" s="2694">
        <f t="shared" si="22"/>
        <v>175.67053622862409</v>
      </c>
      <c r="G38" s="3462">
        <v>2010</v>
      </c>
      <c r="H38" s="2684">
        <v>1</v>
      </c>
      <c r="I38" s="2684">
        <v>5.4</v>
      </c>
      <c r="J38" s="2684">
        <v>3.2</v>
      </c>
      <c r="K38" s="2684">
        <v>6.16</v>
      </c>
      <c r="L38" s="2695">
        <v>4.51</v>
      </c>
      <c r="N38" s="2689">
        <f t="shared" si="11"/>
        <v>5.4000000000000006E-2</v>
      </c>
      <c r="O38" s="2690">
        <f t="shared" si="11"/>
        <v>3.2000000000000001E-2</v>
      </c>
      <c r="P38" s="2690">
        <f t="shared" si="11"/>
        <v>6.1600000000000002E-2</v>
      </c>
      <c r="Q38" s="2690">
        <f t="shared" si="1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2598</v>
      </c>
      <c r="B39" s="2686">
        <v>220</v>
      </c>
      <c r="C39" s="2686">
        <v>187</v>
      </c>
      <c r="D39" s="2686">
        <f t="shared" si="9"/>
        <v>187</v>
      </c>
      <c r="E39" s="2686">
        <v>301</v>
      </c>
      <c r="F39" s="2687">
        <v>168</v>
      </c>
      <c r="G39" s="3460">
        <v>2009</v>
      </c>
      <c r="H39" s="2700">
        <v>4</v>
      </c>
      <c r="I39" s="2700">
        <v>2.2999999999999998</v>
      </c>
      <c r="J39" s="2700">
        <v>1.04</v>
      </c>
      <c r="K39" s="2700">
        <v>2.84</v>
      </c>
      <c r="L39" s="2701">
        <v>0.67</v>
      </c>
      <c r="N39" s="2702">
        <f t="shared" si="11"/>
        <v>2.3E-2</v>
      </c>
      <c r="O39" s="2703">
        <f t="shared" si="11"/>
        <v>1.04E-2</v>
      </c>
      <c r="P39" s="2703">
        <f t="shared" si="11"/>
        <v>2.8399999999999998E-2</v>
      </c>
      <c r="Q39" s="2703">
        <f t="shared" si="11"/>
        <v>6.7000000000000002E-3</v>
      </c>
      <c r="R39" s="2691"/>
      <c r="S39" s="2692"/>
      <c r="T39" s="2693"/>
      <c r="U39" s="2693"/>
      <c r="V39" s="2693"/>
      <c r="X39" s="2693"/>
      <c r="Y39" s="2693"/>
      <c r="Z39" s="2693"/>
    </row>
    <row r="40" spans="1:26">
      <c r="A40" s="2680" t="s">
        <v>2599</v>
      </c>
      <c r="B40" s="2694">
        <f t="shared" ref="B40:C42" si="23">B39/(1+N39)</f>
        <v>215.05376344086022</v>
      </c>
      <c r="C40" s="2694">
        <f t="shared" si="23"/>
        <v>185.0752177355503</v>
      </c>
      <c r="D40" s="2694">
        <f t="shared" si="9"/>
        <v>185.0752177355503</v>
      </c>
      <c r="E40" s="2694">
        <f t="shared" ref="E40:F42" si="24">E39/(1+P39)</f>
        <v>292.68767016725008</v>
      </c>
      <c r="F40" s="2694">
        <f t="shared" si="24"/>
        <v>166.88189132810174</v>
      </c>
      <c r="G40" s="3461">
        <v>2009</v>
      </c>
      <c r="H40" s="2705">
        <v>3</v>
      </c>
      <c r="I40" s="2705">
        <v>2.1</v>
      </c>
      <c r="J40" s="2705">
        <v>1.86</v>
      </c>
      <c r="K40" s="2705">
        <v>2.29</v>
      </c>
      <c r="L40" s="2706">
        <v>0.85</v>
      </c>
      <c r="N40" s="2689">
        <f t="shared" si="11"/>
        <v>2.1000000000000001E-2</v>
      </c>
      <c r="O40" s="2707">
        <f t="shared" si="11"/>
        <v>1.8600000000000002E-2</v>
      </c>
      <c r="P40" s="2707">
        <f t="shared" si="11"/>
        <v>2.29E-2</v>
      </c>
      <c r="Q40" s="2707">
        <f t="shared" si="11"/>
        <v>8.5000000000000006E-3</v>
      </c>
      <c r="R40" s="2691"/>
      <c r="S40" s="2689"/>
      <c r="T40" s="2690"/>
      <c r="U40" s="2690"/>
      <c r="V40" s="2690"/>
    </row>
    <row r="41" spans="1:26">
      <c r="A41" s="2680" t="s">
        <v>2600</v>
      </c>
      <c r="B41" s="2694">
        <f t="shared" si="23"/>
        <v>210.630522469011</v>
      </c>
      <c r="C41" s="2694">
        <f t="shared" si="23"/>
        <v>181.69567812247232</v>
      </c>
      <c r="D41" s="2694">
        <f t="shared" si="9"/>
        <v>181.69567812247232</v>
      </c>
      <c r="E41" s="2694">
        <f t="shared" si="24"/>
        <v>286.13517466736738</v>
      </c>
      <c r="F41" s="2694">
        <f t="shared" si="24"/>
        <v>165.47535084591149</v>
      </c>
      <c r="G41" s="3461">
        <v>2009</v>
      </c>
      <c r="H41" s="2685">
        <v>2</v>
      </c>
      <c r="I41" s="2685">
        <v>0.86</v>
      </c>
      <c r="J41" s="2685">
        <v>-1.1299999999999999</v>
      </c>
      <c r="K41" s="2685">
        <v>1.79</v>
      </c>
      <c r="L41" s="2696">
        <v>-2.0699999999999998</v>
      </c>
      <c r="N41" s="2689">
        <f t="shared" si="11"/>
        <v>8.6E-3</v>
      </c>
      <c r="O41" s="2707">
        <f t="shared" si="11"/>
        <v>-1.1299999999999999E-2</v>
      </c>
      <c r="P41" s="2707">
        <f t="shared" si="11"/>
        <v>1.7899999999999999E-2</v>
      </c>
      <c r="Q41" s="2707">
        <f t="shared" si="11"/>
        <v>-2.07E-2</v>
      </c>
      <c r="R41" s="2691"/>
      <c r="S41" s="2689"/>
      <c r="T41" s="2690"/>
      <c r="U41" s="2690"/>
      <c r="V41" s="2690"/>
    </row>
    <row r="42" spans="1:26">
      <c r="A42" s="2680" t="s">
        <v>2601</v>
      </c>
      <c r="B42" s="2694">
        <f t="shared" si="23"/>
        <v>208.83454537875372</v>
      </c>
      <c r="C42" s="2694">
        <f t="shared" si="23"/>
        <v>183.77230517090351</v>
      </c>
      <c r="D42" s="2694">
        <f t="shared" si="9"/>
        <v>183.77230517090351</v>
      </c>
      <c r="E42" s="2694">
        <f t="shared" si="24"/>
        <v>281.10342338870947</v>
      </c>
      <c r="F42" s="2694">
        <f t="shared" si="24"/>
        <v>168.97309388942256</v>
      </c>
      <c r="G42" s="3462">
        <v>2009</v>
      </c>
      <c r="H42" s="2684">
        <v>1</v>
      </c>
      <c r="I42" s="2684">
        <v>-2.64</v>
      </c>
      <c r="J42" s="2684">
        <v>-2.5299999999999998</v>
      </c>
      <c r="K42" s="2684">
        <v>-3.02</v>
      </c>
      <c r="L42" s="2695">
        <v>1.52</v>
      </c>
      <c r="N42" s="2697">
        <f t="shared" si="11"/>
        <v>-2.64E-2</v>
      </c>
      <c r="O42" s="2698">
        <f t="shared" si="11"/>
        <v>-2.53E-2</v>
      </c>
      <c r="P42" s="2698">
        <f t="shared" si="11"/>
        <v>-3.0200000000000001E-2</v>
      </c>
      <c r="Q42" s="2698">
        <f t="shared" si="11"/>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2602</v>
      </c>
      <c r="B43" s="2724">
        <v>214</v>
      </c>
      <c r="C43" s="2724">
        <v>188</v>
      </c>
      <c r="D43" s="2724">
        <f t="shared" si="9"/>
        <v>188</v>
      </c>
      <c r="E43" s="2724">
        <v>289</v>
      </c>
      <c r="F43" s="2725">
        <v>166</v>
      </c>
      <c r="G43" s="3460">
        <v>2008</v>
      </c>
      <c r="H43" s="2700">
        <v>4</v>
      </c>
      <c r="I43" s="2700">
        <v>1.73</v>
      </c>
      <c r="J43" s="2700">
        <v>0.03</v>
      </c>
      <c r="K43" s="2700">
        <v>2.59</v>
      </c>
      <c r="L43" s="2701">
        <v>-1.66</v>
      </c>
      <c r="N43" s="2689">
        <f t="shared" si="11"/>
        <v>1.7299999999999999E-2</v>
      </c>
      <c r="O43" s="2690">
        <f t="shared" si="11"/>
        <v>2.9999999999999997E-4</v>
      </c>
      <c r="P43" s="2690">
        <f t="shared" si="11"/>
        <v>2.5899999999999999E-2</v>
      </c>
      <c r="Q43" s="2690">
        <f t="shared" si="11"/>
        <v>-1.66E-2</v>
      </c>
      <c r="R43" s="2691"/>
      <c r="S43" s="2692"/>
      <c r="T43" s="2693"/>
      <c r="U43" s="2693"/>
      <c r="V43" s="2693"/>
      <c r="X43" s="2693"/>
      <c r="Y43" s="2693"/>
      <c r="Z43" s="2693"/>
    </row>
    <row r="44" spans="1:26">
      <c r="A44" s="2680" t="s">
        <v>2603</v>
      </c>
      <c r="B44" s="2694">
        <f t="shared" ref="B44:C46" si="25">B43/(1+N43)</f>
        <v>210.36075887152265</v>
      </c>
      <c r="C44" s="2694">
        <f t="shared" si="25"/>
        <v>187.94361691492554</v>
      </c>
      <c r="D44" s="2694">
        <f t="shared" si="9"/>
        <v>187.94361691492554</v>
      </c>
      <c r="E44" s="2694">
        <f t="shared" ref="E44:F46" si="26">E43/(1+P43)</f>
        <v>281.70386977288234</v>
      </c>
      <c r="F44" s="2694">
        <f t="shared" si="26"/>
        <v>168.80211511083994</v>
      </c>
      <c r="G44" s="3461">
        <v>2008</v>
      </c>
      <c r="H44" s="2705">
        <v>3</v>
      </c>
      <c r="I44" s="2705">
        <v>1.96</v>
      </c>
      <c r="J44" s="2705">
        <v>2.36</v>
      </c>
      <c r="K44" s="2705">
        <v>1.82</v>
      </c>
      <c r="L44" s="2706">
        <v>2.2200000000000002</v>
      </c>
      <c r="N44" s="2689">
        <f t="shared" si="11"/>
        <v>1.9599999999999999E-2</v>
      </c>
      <c r="O44" s="2690">
        <f t="shared" si="11"/>
        <v>2.3599999999999999E-2</v>
      </c>
      <c r="P44" s="2690">
        <f t="shared" si="11"/>
        <v>1.8200000000000001E-2</v>
      </c>
      <c r="Q44" s="2690">
        <f t="shared" si="11"/>
        <v>2.2200000000000001E-2</v>
      </c>
      <c r="R44" s="2691"/>
      <c r="S44" s="2689"/>
      <c r="T44" s="2690"/>
      <c r="U44" s="2690"/>
      <c r="V44" s="2690"/>
    </row>
    <row r="45" spans="1:26">
      <c r="A45" s="2680" t="s">
        <v>2604</v>
      </c>
      <c r="B45" s="2694">
        <f t="shared" si="25"/>
        <v>206.31694671589116</v>
      </c>
      <c r="C45" s="2694">
        <f t="shared" si="25"/>
        <v>183.61041121036101</v>
      </c>
      <c r="D45" s="2694">
        <f t="shared" si="9"/>
        <v>183.61041121036101</v>
      </c>
      <c r="E45" s="2694">
        <f t="shared" si="26"/>
        <v>276.66850301795557</v>
      </c>
      <c r="F45" s="2694">
        <f t="shared" si="26"/>
        <v>165.1360938278614</v>
      </c>
      <c r="G45" s="3461">
        <v>2008</v>
      </c>
      <c r="H45" s="2685">
        <v>2</v>
      </c>
      <c r="I45" s="2685">
        <v>4.93</v>
      </c>
      <c r="J45" s="2685">
        <v>7.38</v>
      </c>
      <c r="K45" s="2685">
        <v>3.98</v>
      </c>
      <c r="L45" s="2696">
        <v>6.86</v>
      </c>
      <c r="N45" s="2689">
        <f t="shared" si="11"/>
        <v>4.9299999999999997E-2</v>
      </c>
      <c r="O45" s="2690">
        <f t="shared" si="11"/>
        <v>7.3800000000000004E-2</v>
      </c>
      <c r="P45" s="2690">
        <f t="shared" si="11"/>
        <v>3.9800000000000002E-2</v>
      </c>
      <c r="Q45" s="2690">
        <f t="shared" si="11"/>
        <v>6.8600000000000008E-2</v>
      </c>
      <c r="R45" s="2691"/>
      <c r="S45" s="2689"/>
      <c r="T45" s="2690"/>
      <c r="U45" s="2690"/>
      <c r="V45" s="2690"/>
    </row>
    <row r="46" spans="1:26" s="2730" customFormat="1" ht="13.5" thickBot="1">
      <c r="A46" s="2680" t="s">
        <v>2605</v>
      </c>
      <c r="B46" s="2727">
        <f t="shared" si="25"/>
        <v>196.62341248059772</v>
      </c>
      <c r="C46" s="2727">
        <f t="shared" si="25"/>
        <v>170.99125648199012</v>
      </c>
      <c r="D46" s="2727">
        <f t="shared" si="9"/>
        <v>170.99125648199012</v>
      </c>
      <c r="E46" s="2727">
        <f t="shared" si="26"/>
        <v>266.07857570490052</v>
      </c>
      <c r="F46" s="2727">
        <f t="shared" si="26"/>
        <v>154.53499328828505</v>
      </c>
      <c r="G46" s="3462">
        <v>2008</v>
      </c>
      <c r="H46" s="2728">
        <v>1</v>
      </c>
      <c r="I46" s="2728">
        <v>4.1399999999999997</v>
      </c>
      <c r="J46" s="2728">
        <v>3.45</v>
      </c>
      <c r="K46" s="2728">
        <v>4.95</v>
      </c>
      <c r="L46" s="2729">
        <v>4.82</v>
      </c>
      <c r="N46" s="2731">
        <f t="shared" si="11"/>
        <v>4.1399999999999999E-2</v>
      </c>
      <c r="O46" s="2732">
        <f t="shared" si="11"/>
        <v>3.4500000000000003E-2</v>
      </c>
      <c r="P46" s="2732">
        <f t="shared" si="11"/>
        <v>4.9500000000000002E-2</v>
      </c>
      <c r="Q46" s="2732">
        <f t="shared" si="11"/>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2606</v>
      </c>
      <c r="B47" s="2686">
        <v>188</v>
      </c>
      <c r="C47" s="2686">
        <v>165</v>
      </c>
      <c r="D47" s="2686">
        <f t="shared" si="9"/>
        <v>165</v>
      </c>
      <c r="E47" s="2686">
        <v>254</v>
      </c>
      <c r="F47" s="2687">
        <v>148</v>
      </c>
      <c r="G47" s="3460">
        <v>2007</v>
      </c>
      <c r="H47" s="2735">
        <v>4</v>
      </c>
      <c r="I47" s="2735">
        <v>5.51</v>
      </c>
      <c r="J47" s="2735">
        <v>4.8899999999999997</v>
      </c>
      <c r="K47" s="2735">
        <v>6.43</v>
      </c>
      <c r="L47" s="2736">
        <v>5.36</v>
      </c>
      <c r="N47" s="2737">
        <f t="shared" ref="N47:O50" si="27">B47/B48-1</f>
        <v>4.1339718365245526E-2</v>
      </c>
      <c r="O47" s="2738">
        <f t="shared" si="27"/>
        <v>4.0324492593776018E-2</v>
      </c>
      <c r="P47" s="2738">
        <f t="shared" ref="P47:Q50" si="28">E47/E48-1</f>
        <v>6.1625555347990968E-2</v>
      </c>
      <c r="Q47" s="2738">
        <f t="shared" si="28"/>
        <v>4.6757569250590603E-2</v>
      </c>
      <c r="R47" s="2691"/>
      <c r="S47" s="2692"/>
      <c r="T47" s="2693"/>
      <c r="U47" s="2693"/>
      <c r="V47" s="2693"/>
      <c r="X47" s="2693"/>
      <c r="Y47" s="2693"/>
      <c r="Z47" s="2693"/>
    </row>
    <row r="48" spans="1:26">
      <c r="A48" s="2680" t="s">
        <v>2607</v>
      </c>
      <c r="B48" s="2694">
        <f t="shared" ref="B48:C50" si="29">B49+(B$47-B$51)*I48/SUM(I$47:I$50)</f>
        <v>180.5366651097618</v>
      </c>
      <c r="C48" s="2694">
        <f t="shared" si="29"/>
        <v>158.60435967302453</v>
      </c>
      <c r="D48" s="2694">
        <f t="shared" si="9"/>
        <v>158.60435967302453</v>
      </c>
      <c r="E48" s="2694">
        <f t="shared" ref="E48:F50" si="30">E49+(E$47-E$51)*K48/SUM(K$47:K$50)</f>
        <v>239.25573260785075</v>
      </c>
      <c r="F48" s="2694">
        <f t="shared" si="30"/>
        <v>141.38899430740037</v>
      </c>
      <c r="G48" s="3461">
        <v>2007</v>
      </c>
      <c r="H48" s="2705">
        <v>3</v>
      </c>
      <c r="I48" s="2705">
        <v>8.65</v>
      </c>
      <c r="J48" s="2705">
        <v>8.06</v>
      </c>
      <c r="K48" s="2705">
        <v>9.94</v>
      </c>
      <c r="L48" s="2706">
        <v>5.8</v>
      </c>
      <c r="N48" s="2737">
        <f t="shared" si="27"/>
        <v>6.940217571740015E-2</v>
      </c>
      <c r="O48" s="2738">
        <f t="shared" si="27"/>
        <v>7.1197482471153428E-2</v>
      </c>
      <c r="P48" s="2738">
        <f t="shared" si="28"/>
        <v>0.10529679922579582</v>
      </c>
      <c r="Q48" s="2738">
        <f t="shared" si="28"/>
        <v>5.3292245059512133E-2</v>
      </c>
      <c r="R48" s="2691"/>
      <c r="S48" s="2689"/>
      <c r="T48" s="2690"/>
      <c r="U48" s="2690"/>
      <c r="V48" s="2690"/>
      <c r="X48" s="2739"/>
      <c r="Y48" s="2739"/>
      <c r="Z48" s="2739"/>
    </row>
    <row r="49" spans="1:26">
      <c r="A49" s="2680" t="s">
        <v>2608</v>
      </c>
      <c r="B49" s="2694">
        <f t="shared" si="29"/>
        <v>168.82017748715555</v>
      </c>
      <c r="C49" s="2694">
        <f t="shared" si="29"/>
        <v>148.06267029972753</v>
      </c>
      <c r="D49" s="2694">
        <f t="shared" si="9"/>
        <v>148.06267029972753</v>
      </c>
      <c r="E49" s="2694">
        <f t="shared" si="30"/>
        <v>216.46288379323747</v>
      </c>
      <c r="F49" s="2694">
        <f t="shared" si="30"/>
        <v>134.23529411764704</v>
      </c>
      <c r="G49" s="3461">
        <v>2007</v>
      </c>
      <c r="H49" s="2685">
        <v>2</v>
      </c>
      <c r="I49" s="2685">
        <v>3.67</v>
      </c>
      <c r="J49" s="2685">
        <v>2.3199999999999998</v>
      </c>
      <c r="K49" s="2685">
        <v>5.0199999999999996</v>
      </c>
      <c r="L49" s="2696">
        <v>6.71</v>
      </c>
      <c r="N49" s="2737">
        <f t="shared" si="27"/>
        <v>3.0339138143848032E-2</v>
      </c>
      <c r="O49" s="2738">
        <f t="shared" si="27"/>
        <v>2.0922341588790472E-2</v>
      </c>
      <c r="P49" s="2738">
        <f t="shared" si="28"/>
        <v>5.6164796592717003E-2</v>
      </c>
      <c r="Q49" s="2738">
        <f t="shared" si="28"/>
        <v>6.5704536723887319E-2</v>
      </c>
      <c r="R49" s="2691"/>
      <c r="S49" s="2689"/>
      <c r="T49" s="2690"/>
      <c r="U49" s="2690"/>
      <c r="V49" s="2690"/>
      <c r="X49" s="2739"/>
      <c r="Y49" s="2739"/>
      <c r="Z49" s="2739"/>
    </row>
    <row r="50" spans="1:26">
      <c r="A50" s="2680" t="s">
        <v>2609</v>
      </c>
      <c r="B50" s="2694">
        <f t="shared" si="29"/>
        <v>163.84913591779542</v>
      </c>
      <c r="C50" s="2694">
        <f t="shared" si="29"/>
        <v>145.0283378746594</v>
      </c>
      <c r="D50" s="2694">
        <f t="shared" si="9"/>
        <v>145.0283378746594</v>
      </c>
      <c r="E50" s="2694">
        <f t="shared" si="30"/>
        <v>204.95180722891567</v>
      </c>
      <c r="F50" s="2694">
        <f t="shared" si="30"/>
        <v>125.95920303605313</v>
      </c>
      <c r="G50" s="3462">
        <v>2007</v>
      </c>
      <c r="H50" s="2684">
        <v>1</v>
      </c>
      <c r="I50" s="2684">
        <v>3.58</v>
      </c>
      <c r="J50" s="2684">
        <v>3.08</v>
      </c>
      <c r="K50" s="2684">
        <v>4.34</v>
      </c>
      <c r="L50" s="2695">
        <v>3.21</v>
      </c>
      <c r="N50" s="2740">
        <f t="shared" si="27"/>
        <v>3.0497710174814063E-2</v>
      </c>
      <c r="O50" s="2741">
        <f t="shared" si="27"/>
        <v>2.8569772160704998E-2</v>
      </c>
      <c r="P50" s="2741">
        <f t="shared" si="28"/>
        <v>5.1034908866234296E-2</v>
      </c>
      <c r="Q50" s="2741">
        <f t="shared" si="28"/>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2610</v>
      </c>
      <c r="B51" s="2708">
        <v>159</v>
      </c>
      <c r="C51" s="2708">
        <v>141</v>
      </c>
      <c r="D51" s="2708">
        <f t="shared" si="9"/>
        <v>141</v>
      </c>
      <c r="E51" s="2708">
        <v>195</v>
      </c>
      <c r="F51" s="2709">
        <v>122</v>
      </c>
      <c r="G51" s="3460">
        <v>2006</v>
      </c>
      <c r="H51" s="2700">
        <v>4</v>
      </c>
      <c r="I51" s="2700">
        <v>3.79</v>
      </c>
      <c r="J51" s="2700">
        <v>2.21</v>
      </c>
      <c r="K51" s="2700">
        <v>5.65</v>
      </c>
      <c r="L51" s="2701">
        <v>5.41</v>
      </c>
      <c r="N51" s="2737">
        <f t="shared" ref="N51:O54" si="31">I51/SUM(I$51:I$54)*(B$51/B$55-1)</f>
        <v>7.245466462748526E-2</v>
      </c>
      <c r="O51" s="2738">
        <f t="shared" si="31"/>
        <v>2.3237230038062766E-2</v>
      </c>
      <c r="P51" s="2738">
        <f t="shared" ref="P51:Q54" si="32">K51/SUM(K$51:K$54)*(E$51/E$55-1)</f>
        <v>0.16146893866323722</v>
      </c>
      <c r="Q51" s="2738">
        <f t="shared" si="32"/>
        <v>5.0755230321793784E-2</v>
      </c>
      <c r="R51" s="2691"/>
      <c r="S51" s="2692"/>
      <c r="T51" s="2693"/>
      <c r="U51" s="2693"/>
      <c r="V51" s="2693"/>
      <c r="X51" s="2739"/>
      <c r="Y51" s="2739"/>
      <c r="Z51" s="2739"/>
    </row>
    <row r="52" spans="1:26">
      <c r="A52" s="2680" t="s">
        <v>2611</v>
      </c>
      <c r="B52" s="2694">
        <f t="shared" ref="B52:C54" si="33">B53+(B$51-B$55)*I52/SUM(I$51:I$54)</f>
        <v>149.00125628140702</v>
      </c>
      <c r="C52" s="2694">
        <f t="shared" si="33"/>
        <v>137.95592286501378</v>
      </c>
      <c r="D52" s="2694">
        <f t="shared" si="9"/>
        <v>137.95592286501378</v>
      </c>
      <c r="E52" s="2694">
        <f t="shared" ref="E52:F54" si="34">E53+(E$51-E$55)*K52/SUM(K$51:K$54)</f>
        <v>169.97231450719823</v>
      </c>
      <c r="F52" s="2694">
        <f t="shared" si="34"/>
        <v>116.21390374331551</v>
      </c>
      <c r="G52" s="3461">
        <v>2006</v>
      </c>
      <c r="H52" s="2705">
        <v>3</v>
      </c>
      <c r="I52" s="2705">
        <v>0.92</v>
      </c>
      <c r="J52" s="2705">
        <v>1.08</v>
      </c>
      <c r="K52" s="2705">
        <v>0.73</v>
      </c>
      <c r="L52" s="2706">
        <v>1.08</v>
      </c>
      <c r="N52" s="2737">
        <f t="shared" si="31"/>
        <v>1.7587939698492462E-2</v>
      </c>
      <c r="O52" s="2738">
        <f t="shared" si="31"/>
        <v>1.1355750425840628E-2</v>
      </c>
      <c r="P52" s="2738">
        <f t="shared" si="32"/>
        <v>2.0862358446754544E-2</v>
      </c>
      <c r="Q52" s="2738">
        <f t="shared" si="32"/>
        <v>1.0132282578103011E-2</v>
      </c>
      <c r="R52" s="2691"/>
      <c r="S52" s="2689"/>
      <c r="T52" s="2690"/>
      <c r="U52" s="2690"/>
      <c r="V52" s="2690"/>
      <c r="X52" s="2739"/>
      <c r="Y52" s="2739"/>
      <c r="Z52" s="2739"/>
    </row>
    <row r="53" spans="1:26">
      <c r="A53" s="2680" t="s">
        <v>2612</v>
      </c>
      <c r="B53" s="2694">
        <f t="shared" si="33"/>
        <v>146.57412060301507</v>
      </c>
      <c r="C53" s="2694">
        <f t="shared" si="33"/>
        <v>136.46831955922866</v>
      </c>
      <c r="D53" s="2694">
        <f t="shared" si="9"/>
        <v>136.46831955922866</v>
      </c>
      <c r="E53" s="2694">
        <f t="shared" si="34"/>
        <v>166.73864894795128</v>
      </c>
      <c r="F53" s="2694">
        <f t="shared" si="34"/>
        <v>115.05882352941177</v>
      </c>
      <c r="G53" s="3461">
        <v>2006</v>
      </c>
      <c r="H53" s="2685">
        <v>2</v>
      </c>
      <c r="I53" s="2685">
        <v>0.96</v>
      </c>
      <c r="J53" s="2685">
        <v>0.25</v>
      </c>
      <c r="K53" s="2685">
        <v>1.9</v>
      </c>
      <c r="L53" s="2696">
        <v>0.95</v>
      </c>
      <c r="N53" s="2737">
        <f t="shared" si="31"/>
        <v>1.8352632728861701E-2</v>
      </c>
      <c r="O53" s="2738">
        <f t="shared" si="31"/>
        <v>2.6286459319075526E-3</v>
      </c>
      <c r="P53" s="2738">
        <f t="shared" si="32"/>
        <v>5.4299289107991269E-2</v>
      </c>
      <c r="Q53" s="2738">
        <f t="shared" si="32"/>
        <v>8.9126559714794995E-3</v>
      </c>
      <c r="R53" s="2691"/>
      <c r="S53" s="2689"/>
      <c r="T53" s="2690"/>
      <c r="U53" s="2690"/>
      <c r="V53" s="2690"/>
      <c r="X53" s="2739"/>
      <c r="Y53" s="2739"/>
      <c r="Z53" s="2739"/>
    </row>
    <row r="54" spans="1:26">
      <c r="A54" s="2680" t="s">
        <v>2613</v>
      </c>
      <c r="B54" s="2694">
        <f t="shared" si="33"/>
        <v>144.04145728643215</v>
      </c>
      <c r="C54" s="2694">
        <f t="shared" si="33"/>
        <v>136.12396694214877</v>
      </c>
      <c r="D54" s="2694">
        <f t="shared" si="9"/>
        <v>136.12396694214877</v>
      </c>
      <c r="E54" s="2694">
        <f t="shared" si="34"/>
        <v>158.32225913621264</v>
      </c>
      <c r="F54" s="2694">
        <f t="shared" si="34"/>
        <v>114.04278074866311</v>
      </c>
      <c r="G54" s="3462">
        <v>2006</v>
      </c>
      <c r="H54" s="2684">
        <v>1</v>
      </c>
      <c r="I54" s="2684">
        <v>2.29</v>
      </c>
      <c r="J54" s="2684">
        <v>3.72</v>
      </c>
      <c r="K54" s="2684">
        <v>0.75</v>
      </c>
      <c r="L54" s="2695">
        <v>0.04</v>
      </c>
      <c r="N54" s="2740">
        <f t="shared" si="31"/>
        <v>4.3778675988638847E-2</v>
      </c>
      <c r="O54" s="2741">
        <f t="shared" si="31"/>
        <v>3.9114251466784385E-2</v>
      </c>
      <c r="P54" s="2741">
        <f t="shared" si="32"/>
        <v>2.1433929911049188E-2</v>
      </c>
      <c r="Q54" s="2741">
        <f t="shared" si="32"/>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2614</v>
      </c>
      <c r="B55" s="2708">
        <v>138</v>
      </c>
      <c r="C55" s="2708">
        <v>131</v>
      </c>
      <c r="D55" s="2708">
        <f t="shared" si="9"/>
        <v>131</v>
      </c>
      <c r="E55" s="2708">
        <v>155</v>
      </c>
      <c r="F55" s="2709">
        <v>114</v>
      </c>
      <c r="G55" s="3460">
        <v>2005</v>
      </c>
      <c r="H55" s="2700">
        <v>4</v>
      </c>
      <c r="I55" s="2700">
        <v>3.29</v>
      </c>
      <c r="J55" s="2700">
        <v>1.44</v>
      </c>
      <c r="K55" s="2700">
        <v>0.66</v>
      </c>
      <c r="L55" s="2701">
        <v>7.78</v>
      </c>
      <c r="N55" s="2737">
        <f t="shared" ref="N55:O58" si="35">I55/SUM(I$55:I$58)*(B$55/B$59-1)</f>
        <v>9.9404603216919935E-2</v>
      </c>
      <c r="O55" s="2738">
        <f t="shared" si="35"/>
        <v>4.7636550760861554E-2</v>
      </c>
      <c r="P55" s="2738">
        <f t="shared" ref="P55:Q58" si="36">K55/SUM(K$55:K$58)*(E$55/E$59-1)</f>
        <v>8.3756345177664976E-2</v>
      </c>
      <c r="Q55" s="2738">
        <f t="shared" si="36"/>
        <v>5.2148766661559584E-2</v>
      </c>
      <c r="R55" s="2691"/>
      <c r="S55" s="2692"/>
      <c r="T55" s="2693"/>
      <c r="U55" s="2693"/>
      <c r="V55" s="2693"/>
      <c r="X55" s="2739"/>
      <c r="Y55" s="2739"/>
      <c r="Z55" s="2739"/>
    </row>
    <row r="56" spans="1:26">
      <c r="A56" s="2680" t="s">
        <v>2615</v>
      </c>
      <c r="B56" s="2694">
        <f t="shared" ref="B56:C58" si="37">B57+(B$55-B$59)*I56/SUM(I$55:I$58)</f>
        <v>125.9720430107527</v>
      </c>
      <c r="C56" s="2694">
        <f t="shared" si="37"/>
        <v>125.1883408071749</v>
      </c>
      <c r="D56" s="2694">
        <f t="shared" si="9"/>
        <v>125.1883408071749</v>
      </c>
      <c r="E56" s="2694">
        <f t="shared" ref="E56:F58" si="38">E57+(E$55-E$59)*K56/SUM(K$55:K$58)</f>
        <v>144.61421319796952</v>
      </c>
      <c r="F56" s="2694">
        <f t="shared" si="38"/>
        <v>108.42008196721311</v>
      </c>
      <c r="G56" s="3461">
        <v>2005</v>
      </c>
      <c r="H56" s="2705">
        <v>3</v>
      </c>
      <c r="I56" s="2705">
        <v>0.46</v>
      </c>
      <c r="J56" s="2705">
        <v>0.32</v>
      </c>
      <c r="K56" s="2705">
        <v>0.42</v>
      </c>
      <c r="L56" s="2706">
        <v>0.64</v>
      </c>
      <c r="N56" s="2737">
        <f t="shared" si="35"/>
        <v>1.3898515951301874E-2</v>
      </c>
      <c r="O56" s="2738">
        <f t="shared" si="35"/>
        <v>1.0585900169080346E-2</v>
      </c>
      <c r="P56" s="2738">
        <f t="shared" si="36"/>
        <v>5.3299492385786795E-2</v>
      </c>
      <c r="Q56" s="2738">
        <f t="shared" si="36"/>
        <v>4.2898728359123568E-3</v>
      </c>
      <c r="R56" s="2691"/>
      <c r="S56" s="2689"/>
      <c r="T56" s="2690"/>
      <c r="U56" s="2690"/>
      <c r="V56" s="2690"/>
      <c r="X56" s="2739"/>
      <c r="Y56" s="2739"/>
      <c r="Z56" s="2739"/>
    </row>
    <row r="57" spans="1:26">
      <c r="A57" s="2680" t="s">
        <v>2616</v>
      </c>
      <c r="B57" s="2694">
        <f t="shared" si="37"/>
        <v>124.29032258064517</v>
      </c>
      <c r="C57" s="2694">
        <f t="shared" si="37"/>
        <v>123.8968609865471</v>
      </c>
      <c r="D57" s="2694">
        <f t="shared" si="9"/>
        <v>123.8968609865471</v>
      </c>
      <c r="E57" s="2694">
        <f t="shared" si="38"/>
        <v>138.00507614213197</v>
      </c>
      <c r="F57" s="2694">
        <f t="shared" si="38"/>
        <v>107.96106557377048</v>
      </c>
      <c r="G57" s="3461">
        <v>2005</v>
      </c>
      <c r="H57" s="2685">
        <v>2</v>
      </c>
      <c r="I57" s="2685">
        <v>0.47</v>
      </c>
      <c r="J57" s="2685">
        <v>0.1</v>
      </c>
      <c r="K57" s="2685">
        <v>0.52</v>
      </c>
      <c r="L57" s="2696">
        <v>0.79</v>
      </c>
      <c r="N57" s="2737">
        <f t="shared" si="35"/>
        <v>1.420065760241713E-2</v>
      </c>
      <c r="O57" s="2738">
        <f t="shared" si="35"/>
        <v>3.3080938028376083E-3</v>
      </c>
      <c r="P57" s="2738">
        <f t="shared" si="36"/>
        <v>6.598984771573603E-2</v>
      </c>
      <c r="Q57" s="2738">
        <f t="shared" si="36"/>
        <v>5.2953117818293153E-3</v>
      </c>
      <c r="R57" s="2691"/>
      <c r="S57" s="2689"/>
      <c r="T57" s="2690"/>
      <c r="U57" s="2690"/>
      <c r="V57" s="2690"/>
      <c r="X57" s="2739"/>
      <c r="Y57" s="2739"/>
      <c r="Z57" s="2739"/>
    </row>
    <row r="58" spans="1:26">
      <c r="A58" s="2680" t="s">
        <v>2617</v>
      </c>
      <c r="B58" s="2694">
        <f t="shared" si="37"/>
        <v>122.57204301075269</v>
      </c>
      <c r="C58" s="2694">
        <f t="shared" si="37"/>
        <v>123.4932735426009</v>
      </c>
      <c r="D58" s="2694">
        <f t="shared" si="9"/>
        <v>123.4932735426009</v>
      </c>
      <c r="E58" s="2694">
        <f t="shared" si="38"/>
        <v>129.82233502538071</v>
      </c>
      <c r="F58" s="2694">
        <f t="shared" si="38"/>
        <v>107.39446721311475</v>
      </c>
      <c r="G58" s="3462">
        <v>2005</v>
      </c>
      <c r="H58" s="2684">
        <v>1</v>
      </c>
      <c r="I58" s="2684">
        <v>0.43</v>
      </c>
      <c r="J58" s="2684">
        <v>0.37</v>
      </c>
      <c r="K58" s="2684">
        <v>0.37</v>
      </c>
      <c r="L58" s="2695">
        <v>0.55000000000000004</v>
      </c>
      <c r="N58" s="2740">
        <f t="shared" si="35"/>
        <v>1.2992090997956099E-2</v>
      </c>
      <c r="O58" s="2741">
        <f t="shared" si="35"/>
        <v>1.2239947070499151E-2</v>
      </c>
      <c r="P58" s="2741">
        <f t="shared" si="36"/>
        <v>4.6954314720812178E-2</v>
      </c>
      <c r="Q58" s="2741">
        <f t="shared" si="36"/>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2618</v>
      </c>
      <c r="B59" s="2724">
        <v>121</v>
      </c>
      <c r="C59" s="2724">
        <v>122</v>
      </c>
      <c r="D59" s="2724">
        <f t="shared" si="9"/>
        <v>122</v>
      </c>
      <c r="E59" s="2724">
        <v>124</v>
      </c>
      <c r="F59" s="2725">
        <v>107</v>
      </c>
      <c r="G59" s="3460">
        <v>2004</v>
      </c>
      <c r="H59" s="2700">
        <v>4</v>
      </c>
      <c r="I59" s="2700">
        <v>0.33</v>
      </c>
      <c r="J59" s="2700">
        <v>0.5</v>
      </c>
      <c r="K59" s="2700">
        <v>0.5</v>
      </c>
      <c r="L59" s="2701">
        <v>0</v>
      </c>
      <c r="N59" s="2737">
        <f t="shared" ref="N59:O62" si="39">I59/SUM(I$59:I$62)*(B$59/B$63-1)</f>
        <v>1.3391770148526898E-2</v>
      </c>
      <c r="O59" s="2738">
        <f t="shared" si="39"/>
        <v>1.063264221158958E-2</v>
      </c>
      <c r="P59" s="2738">
        <f t="shared" ref="P59:Q62" si="40">K59/SUM(K$59:K$62)*(E$59/E$63-1)</f>
        <v>2.2244466688911134E-2</v>
      </c>
      <c r="Q59" s="2738">
        <f t="shared" si="40"/>
        <v>0</v>
      </c>
      <c r="R59" s="2691"/>
      <c r="S59" s="2692"/>
      <c r="T59" s="2693"/>
      <c r="U59" s="2693"/>
      <c r="V59" s="2693"/>
      <c r="X59" s="2739"/>
      <c r="Y59" s="2739"/>
      <c r="Z59" s="2739"/>
    </row>
    <row r="60" spans="1:26">
      <c r="A60" s="2680" t="s">
        <v>2619</v>
      </c>
      <c r="B60" s="2694">
        <f t="shared" ref="B60:C62" si="41">B61+(B$59-B$63)*I60/SUM(I$59:I$62)</f>
        <v>119.51351351351352</v>
      </c>
      <c r="C60" s="2694">
        <f t="shared" si="41"/>
        <v>120.7878787878788</v>
      </c>
      <c r="D60" s="2694">
        <f t="shared" si="9"/>
        <v>120.7878787878788</v>
      </c>
      <c r="E60" s="2694">
        <f t="shared" ref="E60:F62" si="42">E61+(E$59-E$63)*K60/SUM(K$59:K$62)</f>
        <v>121.5975975975976</v>
      </c>
      <c r="F60" s="2694">
        <f t="shared" si="42"/>
        <v>107</v>
      </c>
      <c r="G60" s="3461">
        <v>2004</v>
      </c>
      <c r="H60" s="2705">
        <v>3</v>
      </c>
      <c r="I60" s="2705">
        <v>0.56000000000000005</v>
      </c>
      <c r="J60" s="2705">
        <v>0.8</v>
      </c>
      <c r="K60" s="2705">
        <v>0.83</v>
      </c>
      <c r="L60" s="2706">
        <v>0.06</v>
      </c>
      <c r="N60" s="2737">
        <f t="shared" si="39"/>
        <v>2.2725428130833527E-2</v>
      </c>
      <c r="O60" s="2738">
        <f t="shared" si="39"/>
        <v>1.7012227538543329E-2</v>
      </c>
      <c r="P60" s="2738">
        <f t="shared" si="40"/>
        <v>3.6925814703592477E-2</v>
      </c>
      <c r="Q60" s="2738">
        <f t="shared" si="40"/>
        <v>2.8846153846153744E-2</v>
      </c>
      <c r="R60" s="2691"/>
      <c r="S60" s="2689"/>
      <c r="T60" s="2690"/>
      <c r="U60" s="2690"/>
      <c r="V60" s="2690"/>
      <c r="X60" s="2739"/>
      <c r="Y60" s="2739"/>
      <c r="Z60" s="2739"/>
    </row>
    <row r="61" spans="1:26">
      <c r="A61" s="2680" t="s">
        <v>2620</v>
      </c>
      <c r="B61" s="2694">
        <f t="shared" si="41"/>
        <v>116.99099099099099</v>
      </c>
      <c r="C61" s="2694">
        <f t="shared" si="41"/>
        <v>118.84848484848486</v>
      </c>
      <c r="D61" s="2694">
        <f t="shared" si="9"/>
        <v>118.84848484848486</v>
      </c>
      <c r="E61" s="2694">
        <f t="shared" si="42"/>
        <v>117.60960960960961</v>
      </c>
      <c r="F61" s="2694">
        <f t="shared" si="42"/>
        <v>104</v>
      </c>
      <c r="G61" s="3461">
        <v>2004</v>
      </c>
      <c r="H61" s="2685">
        <v>2</v>
      </c>
      <c r="I61" s="2685">
        <v>1</v>
      </c>
      <c r="J61" s="2685">
        <v>1.5</v>
      </c>
      <c r="K61" s="2685">
        <v>1.5</v>
      </c>
      <c r="L61" s="2696">
        <v>0</v>
      </c>
      <c r="N61" s="2737">
        <f t="shared" si="39"/>
        <v>4.0581121662202721E-2</v>
      </c>
      <c r="O61" s="2738">
        <f t="shared" si="39"/>
        <v>3.1897926634768738E-2</v>
      </c>
      <c r="P61" s="2738">
        <f t="shared" si="40"/>
        <v>6.6733400066733395E-2</v>
      </c>
      <c r="Q61" s="2738">
        <f t="shared" si="40"/>
        <v>0</v>
      </c>
      <c r="R61" s="2691"/>
      <c r="S61" s="2689"/>
      <c r="T61" s="2690"/>
      <c r="U61" s="2690"/>
      <c r="V61" s="2690"/>
      <c r="X61" s="2739"/>
      <c r="Y61" s="2739"/>
      <c r="Z61" s="2739"/>
    </row>
    <row r="62" spans="1:26" s="2730" customFormat="1" ht="13.5" thickBot="1">
      <c r="A62" s="2680" t="s">
        <v>2621</v>
      </c>
      <c r="B62" s="2727">
        <f t="shared" si="41"/>
        <v>112.48648648648648</v>
      </c>
      <c r="C62" s="2727">
        <f t="shared" si="41"/>
        <v>115.21212121212122</v>
      </c>
      <c r="D62" s="2727">
        <f t="shared" si="9"/>
        <v>115.21212121212122</v>
      </c>
      <c r="E62" s="2727">
        <f t="shared" si="42"/>
        <v>110.4024024024024</v>
      </c>
      <c r="F62" s="2727">
        <f t="shared" si="42"/>
        <v>104</v>
      </c>
      <c r="G62" s="3462">
        <v>2004</v>
      </c>
      <c r="H62" s="2728">
        <v>1</v>
      </c>
      <c r="I62" s="2728">
        <v>0.33</v>
      </c>
      <c r="J62" s="2728">
        <v>0.5</v>
      </c>
      <c r="K62" s="2728">
        <v>0.5</v>
      </c>
      <c r="L62" s="2729">
        <v>0</v>
      </c>
      <c r="N62" s="2742">
        <f t="shared" si="39"/>
        <v>1.3391770148526898E-2</v>
      </c>
      <c r="O62" s="2743">
        <f t="shared" si="39"/>
        <v>1.063264221158958E-2</v>
      </c>
      <c r="P62" s="2743">
        <f t="shared" si="40"/>
        <v>2.2244466688911134E-2</v>
      </c>
      <c r="Q62" s="2743">
        <f t="shared" si="40"/>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2622</v>
      </c>
      <c r="B63" s="2745">
        <v>111</v>
      </c>
      <c r="C63" s="2745">
        <v>114</v>
      </c>
      <c r="D63" s="2745">
        <f t="shared" si="9"/>
        <v>114</v>
      </c>
      <c r="E63" s="2745">
        <v>108</v>
      </c>
      <c r="F63" s="2746">
        <v>104</v>
      </c>
      <c r="G63" s="3460">
        <v>2003</v>
      </c>
      <c r="H63" s="2735">
        <v>4</v>
      </c>
      <c r="I63" s="2747"/>
      <c r="J63" s="2747"/>
      <c r="K63" s="2747"/>
      <c r="L63" s="2747"/>
      <c r="N63" s="2748"/>
      <c r="O63" s="2747"/>
      <c r="P63" s="2747"/>
      <c r="Q63" s="2747"/>
      <c r="S63" s="2748"/>
      <c r="T63" s="2747"/>
      <c r="U63" s="2747"/>
      <c r="V63" s="2747"/>
      <c r="X63" s="2739"/>
      <c r="Y63" s="2739"/>
      <c r="Z63" s="2739"/>
    </row>
    <row r="64" spans="1:26">
      <c r="A64" s="2680" t="s">
        <v>2623</v>
      </c>
      <c r="B64" s="2749">
        <f t="shared" ref="B64:C66" si="43">B65+(B$63-B$67)/4</f>
        <v>109.75</v>
      </c>
      <c r="C64" s="2749">
        <f t="shared" si="43"/>
        <v>112.25</v>
      </c>
      <c r="D64" s="2749">
        <f t="shared" si="9"/>
        <v>112.25</v>
      </c>
      <c r="E64" s="2749">
        <f t="shared" ref="E64:F66" si="44">E65+(E$63-E$67)/4</f>
        <v>107.25</v>
      </c>
      <c r="F64" s="2749">
        <f t="shared" si="44"/>
        <v>103.5</v>
      </c>
      <c r="G64" s="3461">
        <v>2003</v>
      </c>
      <c r="H64" s="2705">
        <v>3</v>
      </c>
      <c r="I64" s="2747"/>
      <c r="J64" s="2747"/>
      <c r="K64" s="2747"/>
      <c r="L64" s="2747"/>
      <c r="X64" s="2739"/>
      <c r="Y64" s="2739"/>
      <c r="Z64" s="2739"/>
    </row>
    <row r="65" spans="1:26">
      <c r="A65" s="2680" t="s">
        <v>2624</v>
      </c>
      <c r="B65" s="2749">
        <f t="shared" si="43"/>
        <v>108.5</v>
      </c>
      <c r="C65" s="2749">
        <f t="shared" si="43"/>
        <v>110.5</v>
      </c>
      <c r="D65" s="2749">
        <f t="shared" si="9"/>
        <v>110.5</v>
      </c>
      <c r="E65" s="2749">
        <f t="shared" si="44"/>
        <v>106.5</v>
      </c>
      <c r="F65" s="2749">
        <f t="shared" si="44"/>
        <v>103</v>
      </c>
      <c r="G65" s="3461">
        <v>2003</v>
      </c>
      <c r="H65" s="2685">
        <v>2</v>
      </c>
      <c r="I65" s="2747"/>
      <c r="J65" s="2747"/>
      <c r="K65" s="2747"/>
      <c r="L65" s="2747"/>
      <c r="X65" s="2739"/>
      <c r="Y65" s="2739"/>
      <c r="Z65" s="2739"/>
    </row>
    <row r="66" spans="1:26" ht="13.5" thickBot="1">
      <c r="A66" s="2680" t="s">
        <v>2625</v>
      </c>
      <c r="B66" s="2749">
        <f t="shared" si="43"/>
        <v>107.25</v>
      </c>
      <c r="C66" s="2749">
        <f t="shared" si="43"/>
        <v>108.75</v>
      </c>
      <c r="D66" s="2749">
        <f t="shared" si="9"/>
        <v>108.75</v>
      </c>
      <c r="E66" s="2749">
        <f t="shared" si="44"/>
        <v>105.75</v>
      </c>
      <c r="F66" s="2749">
        <f t="shared" si="44"/>
        <v>102.5</v>
      </c>
      <c r="G66" s="3462">
        <v>2003</v>
      </c>
      <c r="H66" s="2750">
        <v>1</v>
      </c>
      <c r="I66" s="2747"/>
      <c r="J66" s="2747"/>
      <c r="K66" s="2747"/>
      <c r="L66" s="2747"/>
      <c r="S66" s="2689"/>
      <c r="T66" s="2690"/>
      <c r="U66" s="2690"/>
      <c r="X66" s="2739"/>
      <c r="Y66" s="2739"/>
      <c r="Z66" s="2739"/>
    </row>
    <row r="67" spans="1:26" ht="13.5" thickBot="1">
      <c r="A67" s="2680" t="s">
        <v>2626</v>
      </c>
      <c r="B67" s="2751">
        <v>106</v>
      </c>
      <c r="C67" s="2751">
        <v>107</v>
      </c>
      <c r="D67" s="2751">
        <f t="shared" si="9"/>
        <v>107</v>
      </c>
      <c r="E67" s="2751">
        <v>105</v>
      </c>
      <c r="F67" s="2752">
        <v>102</v>
      </c>
      <c r="G67" s="3460">
        <v>2002</v>
      </c>
      <c r="H67" s="2700">
        <v>4</v>
      </c>
      <c r="I67" s="2747"/>
      <c r="J67" s="2747"/>
      <c r="K67" s="2747"/>
      <c r="L67" s="2747"/>
      <c r="N67" s="2748"/>
      <c r="O67" s="2747"/>
      <c r="P67" s="2747"/>
      <c r="Q67" s="2747"/>
      <c r="S67" s="2748"/>
      <c r="T67" s="2747"/>
      <c r="U67" s="2747"/>
      <c r="V67" s="2747"/>
      <c r="X67" s="2739"/>
      <c r="Y67" s="2739"/>
      <c r="Z67" s="2739"/>
    </row>
    <row r="68" spans="1:26">
      <c r="A68" s="2680" t="s">
        <v>2627</v>
      </c>
      <c r="B68" s="2749">
        <f t="shared" ref="B68:C70" si="45">B69+(B$67-B$71)/4</f>
        <v>105</v>
      </c>
      <c r="C68" s="2749">
        <f t="shared" si="45"/>
        <v>106</v>
      </c>
      <c r="D68" s="2749">
        <f t="shared" si="9"/>
        <v>106</v>
      </c>
      <c r="E68" s="2749">
        <f t="shared" ref="E68:F70" si="46">E69+(E$67-E$71)/4</f>
        <v>104.5</v>
      </c>
      <c r="F68" s="2749">
        <f t="shared" si="46"/>
        <v>101.5</v>
      </c>
      <c r="G68" s="3461">
        <v>2002</v>
      </c>
      <c r="H68" s="2705">
        <v>3</v>
      </c>
      <c r="I68" s="2747"/>
      <c r="J68" s="2747"/>
      <c r="K68" s="2747"/>
      <c r="L68" s="2747"/>
      <c r="X68" s="2739"/>
      <c r="Y68" s="2739"/>
      <c r="Z68" s="2739"/>
    </row>
    <row r="69" spans="1:26">
      <c r="A69" s="2680" t="s">
        <v>2628</v>
      </c>
      <c r="B69" s="2749">
        <f t="shared" si="45"/>
        <v>104</v>
      </c>
      <c r="C69" s="2749">
        <f t="shared" si="45"/>
        <v>105</v>
      </c>
      <c r="D69" s="2749">
        <f t="shared" si="9"/>
        <v>105</v>
      </c>
      <c r="E69" s="2749">
        <f t="shared" si="46"/>
        <v>104</v>
      </c>
      <c r="F69" s="2749">
        <f t="shared" si="46"/>
        <v>101</v>
      </c>
      <c r="G69" s="3461">
        <v>2002</v>
      </c>
      <c r="H69" s="2685">
        <v>2</v>
      </c>
      <c r="I69" s="2747"/>
      <c r="J69" s="2747"/>
      <c r="K69" s="2747"/>
      <c r="L69" s="2747"/>
      <c r="X69" s="2739"/>
      <c r="Y69" s="2739"/>
      <c r="Z69" s="2739"/>
    </row>
    <row r="70" spans="1:26" s="2716" customFormat="1" ht="13.5" thickBot="1">
      <c r="A70" s="2712" t="s">
        <v>2629</v>
      </c>
      <c r="B70" s="2753">
        <f t="shared" si="45"/>
        <v>103</v>
      </c>
      <c r="C70" s="2753">
        <f t="shared" si="45"/>
        <v>104</v>
      </c>
      <c r="D70" s="2753">
        <f t="shared" si="9"/>
        <v>104</v>
      </c>
      <c r="E70" s="2753">
        <f t="shared" si="46"/>
        <v>103.5</v>
      </c>
      <c r="F70" s="2753">
        <f t="shared" si="46"/>
        <v>100.5</v>
      </c>
      <c r="G70" s="3462">
        <v>2002</v>
      </c>
      <c r="H70" s="2754">
        <v>1</v>
      </c>
      <c r="I70" s="2755"/>
      <c r="J70" s="2755"/>
      <c r="K70" s="2755"/>
      <c r="L70" s="2755"/>
      <c r="N70" s="2756"/>
      <c r="S70" s="2756"/>
      <c r="X70" s="2757"/>
      <c r="Y70" s="2757"/>
      <c r="Z70" s="2757"/>
    </row>
    <row r="71" spans="1:26" ht="13.5" thickBot="1">
      <c r="B71" s="2758">
        <v>102</v>
      </c>
      <c r="C71" s="2759">
        <v>103</v>
      </c>
      <c r="D71" s="2759">
        <f t="shared" si="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2630</v>
      </c>
      <c r="G73" s="2763"/>
      <c r="N73" s="2763"/>
      <c r="S73" s="2763"/>
    </row>
    <row r="74" spans="1:26" s="2762" customFormat="1">
      <c r="A74" s="2762" t="s">
        <v>2631</v>
      </c>
      <c r="G74" s="2763"/>
      <c r="N74" s="2763"/>
      <c r="S74" s="2763"/>
    </row>
    <row r="75" spans="1:26" s="2762" customFormat="1">
      <c r="A75" s="2762" t="s">
        <v>2632</v>
      </c>
      <c r="G75" s="2763"/>
      <c r="I75" s="2764"/>
      <c r="J75" s="2764"/>
      <c r="K75" s="2764"/>
      <c r="L75" s="2764"/>
      <c r="N75" s="2765"/>
      <c r="O75" s="2764"/>
      <c r="P75" s="2764"/>
      <c r="Q75" s="2764"/>
      <c r="S75" s="2765"/>
      <c r="T75" s="2764"/>
      <c r="U75" s="2764"/>
      <c r="V75" s="2764"/>
    </row>
    <row r="76" spans="1:26" s="2762" customFormat="1">
      <c r="A76" s="2762" t="s">
        <v>2633</v>
      </c>
      <c r="G76" s="2763"/>
      <c r="N76" s="2763"/>
      <c r="S76" s="2763"/>
    </row>
    <row r="83" spans="7:22" ht="13.5" thickBot="1"/>
    <row r="84" spans="7:22">
      <c r="G84" s="2688"/>
      <c r="S84" s="2766" t="s">
        <v>2634</v>
      </c>
      <c r="T84" s="2767" t="s">
        <v>2635</v>
      </c>
      <c r="U84" s="2767" t="s">
        <v>2636</v>
      </c>
      <c r="V84" s="2767" t="s">
        <v>2637</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汕头蓝水星乐园有限公司：</v>
      </c>
    </row>
    <row r="4" spans="1:4" ht="37.5">
      <c r="A4" s="1792" t="str">
        <f>"受贵公司委托，我公司对"&amp;项目基本情况!K2&amp;项目基本情况!B9&amp;"进行了预评估。"</f>
        <v>受贵公司委托，我公司对广东省汕头市龙湖区海湾公园片区（335-00-02-112）出让国有建设用地使用权市场价格进行了预评估。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汕头市龙湖区海湾公园片区（335-00-02-112）出让国有建设用地使用权。根据《国有土地使用证》[汕国用（2013）第10700254号]，估价对象（分摊）出让国有建设用地使用权面积为7876.6平方米。根据《建设用地规划许可证》[[2013]汕规地字第020号]，估价对象规划建筑面积为59074.5平方米。</v>
      </c>
    </row>
    <row r="7" spans="1:4" ht="56.25">
      <c r="A7" s="1796" t="s">
        <v>2746</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2939</v>
      </c>
    </row>
    <row r="14" spans="1:4" ht="37.5">
      <c r="A14" s="1792" t="str">
        <f>"根据"&amp;项目基本情况!F12&amp;"，本次评估估价对象证载（地类）用途为"&amp;项目基本情况!B12&amp;"。"</f>
        <v>根据《国有土地使用证》[汕国用（2013）第10700254号]，本次评估估价对象证载（地类）用途为商业、游乐（兼容酒店）和住宅。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本次评估设定用途即为证载用途商业、游乐（兼容酒店）和住宅。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根据《国有土地使用证》[汕国用（2013）第10700254号]，估价对象（分摊）出让国有建设用地使用权面积为7876.6平方米。根据《建设用地规划许可证》[[2013]汕规地字第020号]，估价对象规划建筑面积为59074.5平方米。</v>
      </c>
    </row>
    <row r="21" spans="1:1" ht="18.75">
      <c r="A21" s="1792" t="s">
        <v>2074</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本次估价对象为出让国有建设用地使用权，《国有土地使用证》[汕国用（2013）第10700254号]证载土地终止日期为商业2053年11月30日。截至估价期日，出让国有建设用地使用权剩余土地使用年限为住宅、商业35.56年。</v>
      </c>
    </row>
    <row r="23" spans="1:1" ht="18.75">
      <c r="A23" s="1792" t="str">
        <f>IF(项目基本情况!B16="出让","本次评估设定估价对象剩余土地使用年限为"&amp;项目基本情况!D20&amp;"。","")</f>
        <v>本次评估设定估价对象剩余土地使用年限为住宅、商业35.56年。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H14" sqref="H1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3058</v>
      </c>
      <c r="D1" s="3157" t="s">
        <v>3048</v>
      </c>
      <c r="E1" s="2412" t="s">
        <v>2374</v>
      </c>
      <c r="F1" s="2413">
        <f ca="1">J53</f>
        <v>33.54</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99205</v>
      </c>
      <c r="C2" s="2058"/>
      <c r="D2" s="2056"/>
      <c r="E2" s="2057"/>
      <c r="F2" s="2057"/>
      <c r="G2" s="1591"/>
      <c r="H2" s="2058"/>
      <c r="I2" s="2058"/>
      <c r="J2" s="2058"/>
      <c r="K2" s="2059"/>
      <c r="L2" s="2058"/>
      <c r="M2" s="2058"/>
    </row>
    <row r="3" spans="1:33" ht="18" customHeight="1" thickBot="1">
      <c r="A3" s="833" t="s">
        <v>1728</v>
      </c>
      <c r="B3" s="834">
        <f ca="1">IF(ISERROR(B2*10000/F43),0,ROUND(B2*10000/F43,0))</f>
        <v>16793</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5699</v>
      </c>
      <c r="D5" s="2521" t="s">
        <v>2460</v>
      </c>
      <c r="E5" s="2515"/>
      <c r="F5" s="2516"/>
      <c r="G5" s="1593"/>
      <c r="H5" s="781">
        <v>1</v>
      </c>
      <c r="I5" s="782" t="s">
        <v>2457</v>
      </c>
      <c r="J5" s="55">
        <f ca="1">J6+J10+J12</f>
        <v>0</v>
      </c>
      <c r="K5" s="2521" t="s">
        <v>2460</v>
      </c>
      <c r="L5" s="2515"/>
      <c r="M5" s="2516"/>
    </row>
    <row r="6" spans="1:33" ht="18" customHeight="1">
      <c r="A6" s="1831" t="s">
        <v>1825</v>
      </c>
      <c r="B6" s="3451" t="s">
        <v>2462</v>
      </c>
      <c r="C6" s="783">
        <f ca="1">ROUND(F6*F8*F7*(1-F9)/10000,0)</f>
        <v>5692</v>
      </c>
      <c r="D6" s="2522" t="s">
        <v>2461</v>
      </c>
      <c r="E6" s="784" t="s">
        <v>1739</v>
      </c>
      <c r="F6" s="785">
        <f ca="1">INDIRECT("'数据-取费表'!u"&amp;$G$1)</f>
        <v>3.3</v>
      </c>
      <c r="G6" s="1593"/>
      <c r="H6" s="2529" t="s">
        <v>2467</v>
      </c>
      <c r="I6" s="3451" t="s">
        <v>2462</v>
      </c>
      <c r="J6" s="783">
        <f ca="1">ROUND(M6*M8*M7*(1-M9)/10000,0)</f>
        <v>0</v>
      </c>
      <c r="K6" s="341" t="s">
        <v>1738</v>
      </c>
      <c r="L6" s="784" t="s">
        <v>1739</v>
      </c>
      <c r="M6" s="785">
        <f ca="1">INDIRECT("'数据-取费表'!z"&amp;$G$1)</f>
        <v>0</v>
      </c>
    </row>
    <row r="7" spans="1:33" ht="18" customHeight="1">
      <c r="A7" s="2525"/>
      <c r="B7" s="3452"/>
      <c r="C7" s="788"/>
      <c r="D7" s="789"/>
      <c r="E7" s="784" t="s">
        <v>1740</v>
      </c>
      <c r="F7" s="785">
        <f ca="1">IF(INDIRECT("'数据-取费表'!ah"&amp;$G$1)="",INDIRECT("'数据-取费表'!k"&amp;$G$1),INDIRECT("'数据-取费表'!ah"&amp;$G$1))</f>
        <v>59074.5</v>
      </c>
      <c r="G7" s="1593"/>
      <c r="H7" s="2514"/>
      <c r="I7" s="3452"/>
      <c r="J7" s="788"/>
      <c r="K7" s="789"/>
      <c r="L7" s="784" t="s">
        <v>1740</v>
      </c>
      <c r="M7" s="785">
        <f ca="1">F7</f>
        <v>59074.5</v>
      </c>
    </row>
    <row r="8" spans="1:33" ht="18" customHeight="1">
      <c r="A8" s="2518"/>
      <c r="B8" s="3453"/>
      <c r="C8" s="788"/>
      <c r="D8" s="789"/>
      <c r="E8" s="784" t="s">
        <v>1741</v>
      </c>
      <c r="F8" s="785">
        <f ca="1">INDIRECT("'数据-取费表'!ai"&amp;$G$1)</f>
        <v>365</v>
      </c>
      <c r="G8" s="1593"/>
      <c r="H8" s="2514"/>
      <c r="I8" s="3453"/>
      <c r="J8" s="788"/>
      <c r="K8" s="789"/>
      <c r="L8" s="784" t="s">
        <v>1741</v>
      </c>
      <c r="M8" s="785">
        <f ca="1">INDIRECT("'数据-取费表'!ai"&amp;$G$1)</f>
        <v>365</v>
      </c>
    </row>
    <row r="9" spans="1:33" ht="18" customHeight="1">
      <c r="A9" s="786"/>
      <c r="B9" s="3454"/>
      <c r="C9" s="788"/>
      <c r="D9" s="789"/>
      <c r="E9" s="784" t="s">
        <v>1742</v>
      </c>
      <c r="F9" s="794">
        <f ca="1">INDIRECT("'数据-取费表'!w"&amp;$G$1)</f>
        <v>0.2</v>
      </c>
      <c r="G9" s="1593"/>
      <c r="H9" s="2530"/>
      <c r="I9" s="3453"/>
      <c r="J9" s="788"/>
      <c r="K9" s="789"/>
      <c r="L9" s="795" t="s">
        <v>1742</v>
      </c>
      <c r="M9" s="796">
        <f ca="1">INDIRECT("'数据-取费表'!ab"&amp;$G$1)</f>
        <v>0</v>
      </c>
    </row>
    <row r="10" spans="1:33" ht="18" customHeight="1">
      <c r="A10" s="1831" t="s">
        <v>2465</v>
      </c>
      <c r="B10" s="2519" t="s">
        <v>2458</v>
      </c>
      <c r="C10" s="799">
        <f ca="1">ROUND(IF(F10="押一",C6/12*F11,IF(F10="押二",C6/12*2*F11,IF(F10="押三",C6/12*3*F11,C11*F11))),0)</f>
        <v>7</v>
      </c>
      <c r="D10" s="2526" t="s">
        <v>2972</v>
      </c>
      <c r="E10" s="2523" t="s">
        <v>2463</v>
      </c>
      <c r="F10" s="2646" t="s">
        <v>3063</v>
      </c>
      <c r="G10" s="1593"/>
      <c r="H10" s="2586" t="s">
        <v>2468</v>
      </c>
      <c r="I10" s="2591" t="s">
        <v>2458</v>
      </c>
      <c r="J10" s="783">
        <f ca="1">ROUND(IF(M10="押一",J6/12*M11,IF(M10="押二",J6/12*2*M11,IF(M10="押三",J6/12*3*M11,J11*M11))),0)</f>
        <v>0</v>
      </c>
      <c r="K10" s="2526" t="s">
        <v>2972</v>
      </c>
      <c r="L10" s="2523" t="s">
        <v>2463</v>
      </c>
      <c r="M10" s="2646"/>
    </row>
    <row r="11" spans="1:33" ht="18" customHeight="1">
      <c r="A11" s="790"/>
      <c r="B11" s="2520" t="s">
        <v>2572</v>
      </c>
      <c r="C11" s="2524"/>
      <c r="D11" s="789"/>
      <c r="E11" s="2523" t="s">
        <v>2464</v>
      </c>
      <c r="F11" s="796">
        <f ca="1">'数据-取费表'!B39</f>
        <v>1.4999999999999999E-2</v>
      </c>
      <c r="G11" s="1593"/>
      <c r="H11" s="2587"/>
      <c r="I11" s="2520" t="s">
        <v>2572</v>
      </c>
      <c r="J11" s="2524"/>
      <c r="K11" s="2588"/>
      <c r="L11" s="2523" t="s">
        <v>2464</v>
      </c>
      <c r="M11" s="2517">
        <f ca="1">'数据-取费表'!B39</f>
        <v>1.4999999999999999E-2</v>
      </c>
    </row>
    <row r="12" spans="1:33" ht="18" customHeight="1" thickBot="1">
      <c r="A12" s="2562" t="s">
        <v>2466</v>
      </c>
      <c r="B12" s="2563" t="s">
        <v>2459</v>
      </c>
      <c r="C12" s="2564"/>
      <c r="D12" s="2565"/>
      <c r="E12" s="2566"/>
      <c r="F12" s="2567"/>
      <c r="G12" s="1593"/>
      <c r="H12" s="2576" t="s">
        <v>2469</v>
      </c>
      <c r="I12" s="2589" t="s">
        <v>2459</v>
      </c>
      <c r="J12" s="2590"/>
      <c r="K12" s="2565"/>
      <c r="L12" s="2566"/>
      <c r="M12" s="2579"/>
    </row>
    <row r="13" spans="1:33" ht="18" customHeight="1" thickTop="1">
      <c r="A13" s="1830">
        <v>2</v>
      </c>
      <c r="B13" s="1828" t="s">
        <v>1743</v>
      </c>
      <c r="C13" s="792">
        <f ca="1">ROUND(C29*F13,0)</f>
        <v>28722</v>
      </c>
      <c r="D13" s="1835" t="s">
        <v>2297</v>
      </c>
      <c r="E13" s="1835" t="s">
        <v>1745</v>
      </c>
      <c r="F13" s="2561">
        <f ca="1">INDIRECT("'数据-取费表'!y"&amp;$G$1)</f>
        <v>1</v>
      </c>
      <c r="G13" s="1593"/>
      <c r="H13" s="1830">
        <v>2</v>
      </c>
      <c r="I13" s="1828" t="s">
        <v>1743</v>
      </c>
      <c r="J13" s="1820">
        <f ca="1">ROUND(J14*J15,0)</f>
        <v>0</v>
      </c>
      <c r="K13" s="1822" t="s">
        <v>1744</v>
      </c>
      <c r="L13" s="2577"/>
      <c r="M13" s="2578"/>
    </row>
    <row r="14" spans="1:33" ht="18" customHeight="1">
      <c r="A14" s="1649" t="s">
        <v>1885</v>
      </c>
      <c r="B14" s="784" t="s">
        <v>645</v>
      </c>
      <c r="C14" s="804">
        <f ca="1">INDIRECT("'数据-取费表'!m"&amp;$G$1)+INDIRECT("'数据-取费表'!t"&amp;$G$1)</f>
        <v>17722</v>
      </c>
      <c r="D14" s="1980" t="s">
        <v>1746</v>
      </c>
      <c r="E14" s="1981"/>
      <c r="F14" s="805"/>
      <c r="G14" s="1593"/>
      <c r="H14" s="1650" t="s">
        <v>1831</v>
      </c>
      <c r="I14" s="2232" t="s">
        <v>2825</v>
      </c>
      <c r="J14" s="53">
        <f ca="1">C29</f>
        <v>28722</v>
      </c>
      <c r="K14" s="26"/>
      <c r="L14" s="801"/>
      <c r="M14" s="802"/>
    </row>
    <row r="15" spans="1:33" s="2065" customFormat="1" ht="18" customHeight="1" thickBot="1">
      <c r="A15" s="1649" t="s">
        <v>1886</v>
      </c>
      <c r="B15" s="784" t="s">
        <v>647</v>
      </c>
      <c r="C15" s="53">
        <f ca="1">ROUND(C14*F15,0)</f>
        <v>532</v>
      </c>
      <c r="D15" s="806" t="s">
        <v>1747</v>
      </c>
      <c r="E15" s="806" t="s">
        <v>1748</v>
      </c>
      <c r="F15" s="807">
        <f>'数据-取费表'!B33</f>
        <v>0.03</v>
      </c>
      <c r="G15" s="1594"/>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2850</v>
      </c>
      <c r="K16" s="1822" t="s">
        <v>1751</v>
      </c>
      <c r="L16" s="2511"/>
      <c r="M16" s="2516"/>
    </row>
    <row r="17" spans="1:33" s="2065" customFormat="1" ht="18" customHeight="1">
      <c r="A17" s="1649" t="s">
        <v>1888</v>
      </c>
      <c r="B17" s="784" t="s">
        <v>653</v>
      </c>
      <c r="C17" s="53">
        <f ca="1">ROUND(F17*(F43+INDIRECT("'数据-取费表'!S"&amp;$G$1))/10000,0)</f>
        <v>1181</v>
      </c>
      <c r="D17" s="784" t="s">
        <v>1752</v>
      </c>
      <c r="E17" s="784" t="s">
        <v>1753</v>
      </c>
      <c r="F17" s="56">
        <f>'数据-取费表'!B35</f>
        <v>200</v>
      </c>
      <c r="G17" s="1594"/>
      <c r="H17" s="1650" t="s">
        <v>1831</v>
      </c>
      <c r="I17" s="784" t="s">
        <v>656</v>
      </c>
      <c r="J17" s="53">
        <f ca="1">ROUND(IF(项目基本情况!B11="自然人",J5*M17,J18+J19+J20),0)</f>
        <v>2419</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266</v>
      </c>
      <c r="D18" s="784" t="s">
        <v>1747</v>
      </c>
      <c r="E18" s="784" t="s">
        <v>1748</v>
      </c>
      <c r="F18" s="809">
        <f>'数据-取费表'!B36</f>
        <v>1.4999999999999999E-2</v>
      </c>
      <c r="G18" s="1594"/>
      <c r="H18" s="1649"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19701</v>
      </c>
      <c r="D19" s="261" t="s">
        <v>1758</v>
      </c>
      <c r="E19" s="1983"/>
      <c r="F19" s="56"/>
      <c r="G19" s="1593"/>
      <c r="H19" s="1649" t="s">
        <v>1886</v>
      </c>
      <c r="I19" s="784" t="s">
        <v>1759</v>
      </c>
      <c r="J19" s="53">
        <f ca="1">IF(K19="按租金收入计税",ROUND(J5*M19,1),ROUND(C29*F33*0.7,1))</f>
        <v>2412.6</v>
      </c>
      <c r="K19" s="811" t="s">
        <v>665</v>
      </c>
      <c r="L19" s="784" t="s">
        <v>1748</v>
      </c>
      <c r="M19" s="809">
        <f>IF(K19="按租金收入计税",'数据-取费表'!B51,'数据-取费表'!B50)</f>
        <v>1.2E-2</v>
      </c>
    </row>
    <row r="20" spans="1:33" s="2065" customFormat="1" ht="18" customHeight="1">
      <c r="A20" s="1650" t="s">
        <v>1890</v>
      </c>
      <c r="B20" s="784" t="s">
        <v>666</v>
      </c>
      <c r="C20" s="53">
        <f ca="1">ROUND(C19*F20,0)</f>
        <v>394</v>
      </c>
      <c r="D20" s="812" t="s">
        <v>1760</v>
      </c>
      <c r="E20" s="784" t="s">
        <v>1748</v>
      </c>
      <c r="F20" s="809">
        <f>'数据-取费表'!B37</f>
        <v>0.02</v>
      </c>
      <c r="G20" s="1594"/>
      <c r="H20" s="1652" t="s">
        <v>1881</v>
      </c>
      <c r="I20" s="341" t="s">
        <v>1761</v>
      </c>
      <c r="J20" s="54">
        <f ca="1">ROUND(M20*M21/10000,0)</f>
        <v>6</v>
      </c>
      <c r="K20" s="814" t="s">
        <v>1762</v>
      </c>
      <c r="L20" s="784" t="s">
        <v>1763</v>
      </c>
      <c r="M20" s="640">
        <f>'数据-取费表'!B52</f>
        <v>8</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0.03</v>
      </c>
      <c r="G21" s="1594"/>
      <c r="H21" s="2531"/>
      <c r="I21" s="793"/>
      <c r="J21" s="69"/>
      <c r="K21" s="816"/>
      <c r="L21" s="784" t="s">
        <v>1767</v>
      </c>
      <c r="M21" s="785">
        <f ca="1">INDIRECT("'数据-取费表'!r"&amp;$G$1)</f>
        <v>7876.6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97"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431</v>
      </c>
      <c r="K22" s="2509" t="s">
        <v>1770</v>
      </c>
      <c r="L22" s="784" t="s">
        <v>1748</v>
      </c>
      <c r="M22" s="817">
        <f ca="1">INDIRECT("'数据-取费表'!Ak"&amp;$G$1)</f>
        <v>1.4999999999999999E-2</v>
      </c>
    </row>
    <row r="23" spans="1:33" s="2065" customFormat="1" ht="18" customHeight="1">
      <c r="A23" s="1649" t="s">
        <v>1832</v>
      </c>
      <c r="B23" s="784" t="s">
        <v>2534</v>
      </c>
      <c r="C23" s="53">
        <f ca="1">ROUND(IF('数据-取费表'!B22&lt;=1,(C19+C20)*F24*F23/2,(C19+C20)*(POWER((1+F24),F23/2)-1)),0)</f>
        <v>955</v>
      </c>
      <c r="D23" s="2596"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1.4E-3</v>
      </c>
      <c r="D24" s="2596" t="str">
        <f>IF(F23&lt;=1,"销售费用×利率×(建设周期÷2)","销售费用×((1+利率)^(建设周期÷2)-1)")</f>
        <v>销售费用×((1+利率)^(建设周期÷2)-1)</v>
      </c>
      <c r="E24" s="784" t="s">
        <v>1774</v>
      </c>
      <c r="F24" s="819">
        <f ca="1">'数据-取费表'!B40</f>
        <v>4.7500000000000001E-2</v>
      </c>
      <c r="G24" s="1594"/>
      <c r="H24" s="2576" t="s">
        <v>1892</v>
      </c>
      <c r="I24" s="2571" t="s">
        <v>666</v>
      </c>
      <c r="J24" s="2569">
        <f ca="1">ROUND(J5*M24,0)</f>
        <v>0</v>
      </c>
      <c r="K24" s="2570" t="s">
        <v>1775</v>
      </c>
      <c r="L24" s="2571" t="s">
        <v>1748</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35" t="s">
        <v>2821</v>
      </c>
      <c r="J25" s="792">
        <f ca="1">J5-J16</f>
        <v>-2850</v>
      </c>
      <c r="K25" s="2573" t="s">
        <v>1778</v>
      </c>
      <c r="L25" s="2574"/>
      <c r="M25" s="2575"/>
    </row>
    <row r="26" spans="1:33" ht="18" customHeight="1">
      <c r="A26" s="1649" t="s">
        <v>1832</v>
      </c>
      <c r="B26" s="784" t="s">
        <v>2438</v>
      </c>
      <c r="C26" s="53">
        <f ca="1">ROUND((C19+C20)*F26,0)</f>
        <v>5024</v>
      </c>
      <c r="D26" s="812" t="s">
        <v>1779</v>
      </c>
      <c r="E26" s="795" t="s">
        <v>1780</v>
      </c>
      <c r="F26" s="794">
        <f ca="1">INDIRECT("'数据-取费表'!q"&amp;$G$1)</f>
        <v>0.25</v>
      </c>
      <c r="G26" s="1593"/>
      <c r="H26" s="2527" t="s">
        <v>1781</v>
      </c>
      <c r="I26" s="2233" t="s">
        <v>2826</v>
      </c>
      <c r="J26" s="783">
        <f ca="1">IF(J5&lt;&gt;0,ROUND(J25*(1-((1+M28)/(1+M26))^M27)/(M26-M28),0),0)</f>
        <v>0</v>
      </c>
      <c r="K26" s="814" t="s">
        <v>1782</v>
      </c>
      <c r="L26" s="784" t="s">
        <v>2419</v>
      </c>
      <c r="M26" s="794">
        <f ca="1">INDIRECT("'数据-取费表'!I"&amp;$G$1)</f>
        <v>0.05</v>
      </c>
    </row>
    <row r="27" spans="1:33" ht="18" customHeight="1">
      <c r="A27" s="1649" t="s">
        <v>1833</v>
      </c>
      <c r="B27" s="784" t="s">
        <v>686</v>
      </c>
      <c r="C27" s="53">
        <f ca="1">ROUND(F21*F26,4)</f>
        <v>7.4999999999999997E-3</v>
      </c>
      <c r="D27" s="812" t="s">
        <v>1783</v>
      </c>
      <c r="E27" s="806"/>
      <c r="F27" s="807"/>
      <c r="G27" s="1593"/>
      <c r="H27" s="2528"/>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2299</v>
      </c>
      <c r="E28" s="784" t="s">
        <v>1786</v>
      </c>
      <c r="F28" s="809">
        <f>'数据-取费表'!B41</f>
        <v>5.6000000000000001E-2</v>
      </c>
      <c r="G28" s="1594"/>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2300</v>
      </c>
      <c r="C29" s="2569">
        <f ca="1">ROUND((C19+C20+C23+C26)/(1-F21-C24-C27-C28),0)</f>
        <v>28722</v>
      </c>
      <c r="D29" s="2570"/>
      <c r="E29" s="2571"/>
      <c r="F29" s="2572"/>
      <c r="G29" s="1594"/>
      <c r="H29" s="823" t="s">
        <v>1788</v>
      </c>
      <c r="I29" s="824" t="s">
        <v>1789</v>
      </c>
      <c r="J29" s="825">
        <f ca="1">ROUND(J26/(1+F40)^F41,0)</f>
        <v>0</v>
      </c>
      <c r="K29" s="826" t="s">
        <v>1790</v>
      </c>
      <c r="L29" s="827"/>
      <c r="M29" s="828">
        <f ca="1">INDIRECT("'数据-取费表'!k"&amp;$G$1)</f>
        <v>59074.5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1525</v>
      </c>
      <c r="D30" s="1822" t="s">
        <v>1792</v>
      </c>
      <c r="E30" s="2511"/>
      <c r="F30" s="2516"/>
      <c r="G30" s="2063"/>
      <c r="H30" s="2066"/>
      <c r="I30" s="2067"/>
      <c r="J30" s="2068"/>
      <c r="K30" s="2069"/>
      <c r="L30" s="2070"/>
      <c r="M30" s="2071"/>
    </row>
    <row r="31" spans="1:33" ht="18" customHeight="1">
      <c r="A31" s="1650" t="s">
        <v>1831</v>
      </c>
      <c r="B31" s="784" t="s">
        <v>656</v>
      </c>
      <c r="C31" s="53">
        <f ca="1">ROUND(IF(项目基本情况!B11="自然人",C5*F31,C32+C33+C34),1)</f>
        <v>994.1</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303.89999999999998</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683.9</v>
      </c>
      <c r="D33" s="811" t="s">
        <v>3050</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6.3</v>
      </c>
      <c r="D34" s="814" t="s">
        <v>1800</v>
      </c>
      <c r="E34" s="784" t="s">
        <v>1801</v>
      </c>
      <c r="F34" s="640">
        <f>'数据-取费表'!B52</f>
        <v>8</v>
      </c>
      <c r="G34" s="2063"/>
      <c r="H34" s="2066"/>
      <c r="I34" s="835" t="s">
        <v>1814</v>
      </c>
      <c r="J34" s="836"/>
      <c r="K34" s="2081"/>
      <c r="L34" s="2080"/>
      <c r="M34" s="2080"/>
    </row>
    <row r="35" spans="1:18" ht="18" customHeight="1">
      <c r="A35" s="815"/>
      <c r="B35" s="793"/>
      <c r="C35" s="69"/>
      <c r="D35" s="816"/>
      <c r="E35" s="784" t="s">
        <v>1802</v>
      </c>
      <c r="F35" s="785">
        <f ca="1">INDIRECT("'数据-取费表'!r"&amp;$G$1)</f>
        <v>7876.6</v>
      </c>
      <c r="G35" s="2063"/>
      <c r="H35" s="2066"/>
      <c r="I35" s="837" t="s">
        <v>1815</v>
      </c>
      <c r="J35" s="838">
        <f ca="1">ROUND(C13*J36,0)</f>
        <v>2154</v>
      </c>
      <c r="K35" s="2079"/>
      <c r="L35" s="2078"/>
      <c r="M35" s="2078"/>
    </row>
    <row r="36" spans="1:18" ht="18" customHeight="1">
      <c r="A36" s="1650" t="s">
        <v>1890</v>
      </c>
      <c r="B36" s="784" t="s">
        <v>1803</v>
      </c>
      <c r="C36" s="53">
        <f ca="1">ROUND(C29*F36,1)</f>
        <v>430.8</v>
      </c>
      <c r="D36" s="1978" t="s">
        <v>1804</v>
      </c>
      <c r="E36" s="784" t="s">
        <v>1797</v>
      </c>
      <c r="F36" s="817">
        <f ca="1">INDIRECT("'数据-取费表'!Ak"&amp;$G$1)</f>
        <v>1.4999999999999999E-2</v>
      </c>
      <c r="G36" s="2063"/>
      <c r="H36" s="2078"/>
      <c r="I36" s="839" t="s">
        <v>1816</v>
      </c>
      <c r="J36" s="840">
        <f ca="1">INDIRECT("'数据-取费表'!j"&amp;$G$1)</f>
        <v>7.4999999999999997E-2</v>
      </c>
      <c r="K36" s="2083"/>
      <c r="L36" s="2078"/>
      <c r="M36" s="2078"/>
    </row>
    <row r="37" spans="1:18" ht="18" customHeight="1">
      <c r="A37" s="1650" t="s">
        <v>1891</v>
      </c>
      <c r="B37" s="784" t="s">
        <v>679</v>
      </c>
      <c r="C37" s="53">
        <f ca="1">ROUND(C13*F37,1)</f>
        <v>43.1</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57</v>
      </c>
      <c r="D38" s="2570" t="s">
        <v>1806</v>
      </c>
      <c r="E38" s="2571" t="s">
        <v>1797</v>
      </c>
      <c r="F38" s="2567">
        <f ca="1">INDIRECT("'数据-取费表'!Am"&amp;$G$1)</f>
        <v>0.01</v>
      </c>
      <c r="G38" s="2063"/>
      <c r="H38" s="2078"/>
      <c r="I38" s="843" t="s">
        <v>1818</v>
      </c>
      <c r="J38" s="844"/>
      <c r="K38" s="2084"/>
      <c r="L38" s="2078"/>
      <c r="M38" s="2078"/>
    </row>
    <row r="39" spans="1:18" ht="24.6" customHeight="1" thickTop="1">
      <c r="A39" s="1830" t="s">
        <v>1895</v>
      </c>
      <c r="B39" s="3035" t="s">
        <v>2821</v>
      </c>
      <c r="C39" s="792">
        <f ca="1">C5-C30</f>
        <v>4174</v>
      </c>
      <c r="D39" s="2573" t="s">
        <v>1807</v>
      </c>
      <c r="E39" s="2574"/>
      <c r="F39" s="2575"/>
      <c r="G39" s="2063"/>
      <c r="H39" s="2078"/>
      <c r="I39" s="837" t="s">
        <v>1819</v>
      </c>
      <c r="J39" s="845">
        <f ca="1">ROUND(J35/C39,3)</f>
        <v>0.51600000000000001</v>
      </c>
      <c r="K39" s="2084"/>
      <c r="L39" s="2078"/>
      <c r="M39" s="2078"/>
    </row>
    <row r="40" spans="1:18" ht="18" customHeight="1">
      <c r="A40" s="781" t="s">
        <v>1896</v>
      </c>
      <c r="B40" s="2233" t="s">
        <v>2301</v>
      </c>
      <c r="C40" s="783">
        <f ca="1">ROUND(C39*(1-((1+F42)/(1+F40))^F41)/(F40-F42),0)</f>
        <v>99205</v>
      </c>
      <c r="D40" s="814" t="s">
        <v>1808</v>
      </c>
      <c r="E40" s="784" t="s">
        <v>2419</v>
      </c>
      <c r="F40" s="794">
        <f ca="1">INDIRECT("'数据-取费表'!I"&amp;$G$1)</f>
        <v>0.05</v>
      </c>
      <c r="G40" s="2063"/>
      <c r="H40" s="2063"/>
      <c r="I40" s="837" t="s">
        <v>1820</v>
      </c>
      <c r="J40" s="845">
        <f ca="1">1-J39</f>
        <v>0.48399999999999999</v>
      </c>
      <c r="K40" s="2084"/>
      <c r="L40" s="2063"/>
      <c r="M40" s="2063"/>
    </row>
    <row r="41" spans="1:18" ht="18" customHeight="1">
      <c r="A41" s="786"/>
      <c r="B41" s="787"/>
      <c r="C41" s="788"/>
      <c r="D41" s="821" t="s">
        <v>1809</v>
      </c>
      <c r="E41" s="784" t="s">
        <v>2962</v>
      </c>
      <c r="F41" s="822">
        <f ca="1">IF(INDIRECT("'数据-取费表'!af"&amp;$G$1)=0,INDIRECT("'数据-取费表'!ae"&amp;$G$1),INDIRECT("'数据-取费表'!af"&amp;$G$1))</f>
        <v>33.54</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0.28999999999999998</v>
      </c>
      <c r="K42" s="2083"/>
      <c r="L42" s="1989"/>
      <c r="M42" s="1989"/>
    </row>
    <row r="43" spans="1:18" ht="18" customHeight="1" thickBot="1">
      <c r="A43" s="823" t="s">
        <v>1788</v>
      </c>
      <c r="B43" s="824" t="s">
        <v>1811</v>
      </c>
      <c r="C43" s="825">
        <f ca="1">ROUND(C40*10000/F43,0)</f>
        <v>16793</v>
      </c>
      <c r="D43" s="826" t="s">
        <v>1812</v>
      </c>
      <c r="E43" s="827" t="s">
        <v>1813</v>
      </c>
      <c r="F43" s="828">
        <f ca="1">INDIRECT("'数据-取费表'!k"&amp;$G$1)</f>
        <v>59074.5</v>
      </c>
      <c r="G43" s="2063"/>
      <c r="H43" s="1989"/>
      <c r="I43" s="847" t="s">
        <v>1823</v>
      </c>
      <c r="J43" s="848">
        <f ca="1">1-J42</f>
        <v>0.71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99">
        <f ca="1">C67-C40</f>
        <v>-106936</v>
      </c>
      <c r="D46" s="2086"/>
      <c r="E46" s="2086"/>
      <c r="F46" s="2086"/>
      <c r="I46" s="2379" t="s">
        <v>2342</v>
      </c>
      <c r="J46" s="2380"/>
      <c r="K46" s="2381"/>
      <c r="L46" s="2382">
        <f>IF(OR(M47="住宅",D1="土地（套用方法）"),0,IF(L48&gt;J51,L60,J60))</f>
        <v>0</v>
      </c>
      <c r="O46" s="2419" t="s">
        <v>2410</v>
      </c>
      <c r="P46" s="1593"/>
      <c r="Q46" s="1605"/>
      <c r="R46" s="1593"/>
    </row>
    <row r="47" spans="1:18" s="2060" customFormat="1" ht="18" customHeight="1" thickBot="1">
      <c r="A47" s="2373">
        <v>1</v>
      </c>
      <c r="B47" s="2374" t="s">
        <v>635</v>
      </c>
      <c r="C47" s="2599">
        <f ca="1">C48+C52+C54</f>
        <v>0</v>
      </c>
      <c r="D47" s="2086"/>
      <c r="E47" s="2086"/>
      <c r="F47" s="2086"/>
      <c r="I47" s="2383" t="s">
        <v>2343</v>
      </c>
      <c r="J47" s="2388" t="s">
        <v>3049</v>
      </c>
      <c r="K47" s="2389" t="s">
        <v>2349</v>
      </c>
      <c r="L47" s="2390">
        <f ca="1">INDIRECT("'数据-取费表'!d"&amp;$G$1)</f>
        <v>50</v>
      </c>
      <c r="M47" s="1605" t="str">
        <f>IF(ISNUMBER(FIND("住宅",C1)),"住宅","非住宅")</f>
        <v>非住宅</v>
      </c>
      <c r="O47" s="2420" t="s">
        <v>2375</v>
      </c>
      <c r="P47" s="2421" t="s">
        <v>2376</v>
      </c>
      <c r="Q47" s="2422" t="s">
        <v>2377</v>
      </c>
      <c r="R47" s="2421" t="s">
        <v>2378</v>
      </c>
    </row>
    <row r="48" spans="1:18" s="2060" customFormat="1" ht="18" customHeight="1" thickBot="1">
      <c r="A48" s="2667" t="s">
        <v>2536</v>
      </c>
      <c r="B48" s="2668" t="s">
        <v>2537</v>
      </c>
      <c r="C48" s="2375">
        <f ca="1">ROUND(F48*F50*F49*(1-F51)/10000,0)</f>
        <v>0</v>
      </c>
      <c r="D48" s="2376" t="s">
        <v>636</v>
      </c>
      <c r="E48" s="2377" t="s">
        <v>2296</v>
      </c>
      <c r="F48" s="2378"/>
      <c r="G48" s="2091"/>
      <c r="I48" s="2384" t="s">
        <v>2344</v>
      </c>
      <c r="J48" s="2391" t="s">
        <v>2350</v>
      </c>
      <c r="K48" s="2392" t="s">
        <v>2351</v>
      </c>
      <c r="L48" s="2393">
        <f ca="1">INDIRECT("'数据-取费表'!f"&amp;$G$1)</f>
        <v>35.54</v>
      </c>
      <c r="O48" s="2423" t="s">
        <v>2379</v>
      </c>
      <c r="P48" s="2424" t="s">
        <v>2405</v>
      </c>
      <c r="Q48" s="2425">
        <f ca="1">C40+J29</f>
        <v>99205</v>
      </c>
      <c r="R48" s="2424" t="s">
        <v>2380</v>
      </c>
    </row>
    <row r="49" spans="1:18" s="2060" customFormat="1" ht="18" customHeight="1" thickBot="1">
      <c r="A49" s="786"/>
      <c r="B49" s="787"/>
      <c r="C49" s="788"/>
      <c r="D49" s="789"/>
      <c r="E49" s="784" t="s">
        <v>1740</v>
      </c>
      <c r="F49" s="785">
        <f ca="1">F7</f>
        <v>59074.5</v>
      </c>
      <c r="G49" s="2091"/>
      <c r="H49" s="2094"/>
      <c r="I49" s="2384" t="s">
        <v>2345</v>
      </c>
      <c r="J49" s="2394">
        <v>2020</v>
      </c>
      <c r="K49" s="2395" t="s">
        <v>2352</v>
      </c>
      <c r="L49" s="2396"/>
      <c r="O49" s="2423" t="s">
        <v>2381</v>
      </c>
      <c r="P49" s="2424" t="s">
        <v>2406</v>
      </c>
      <c r="Q49" s="2425" t="str">
        <f ca="1">J60</f>
        <v>0</v>
      </c>
      <c r="R49" s="2424" t="s">
        <v>2382</v>
      </c>
    </row>
    <row r="50" spans="1:18" s="2060" customFormat="1" ht="18" customHeight="1" thickBot="1">
      <c r="A50" s="786"/>
      <c r="B50" s="787"/>
      <c r="C50" s="788"/>
      <c r="D50" s="789"/>
      <c r="E50" s="784" t="s">
        <v>1741</v>
      </c>
      <c r="F50" s="785">
        <f ca="1">F8</f>
        <v>365</v>
      </c>
      <c r="G50" s="2096"/>
      <c r="H50" s="2094"/>
      <c r="I50" s="2384" t="s">
        <v>2346</v>
      </c>
      <c r="J50" s="2397">
        <f>SUMPRODUCT((I63:I65=J47)*(J62:L62=J48)*(J63:L65))</f>
        <v>60</v>
      </c>
      <c r="K50" s="2395" t="s">
        <v>2353</v>
      </c>
      <c r="L50" s="2396"/>
      <c r="O50" s="2426" t="s">
        <v>2383</v>
      </c>
      <c r="P50" s="2424" t="s">
        <v>2407</v>
      </c>
      <c r="Q50" s="2425">
        <f ca="1">C29</f>
        <v>28722</v>
      </c>
      <c r="R50" s="2424" t="s">
        <v>2380</v>
      </c>
    </row>
    <row r="51" spans="1:18" s="2060" customFormat="1" ht="18" customHeight="1" thickBot="1">
      <c r="A51" s="786"/>
      <c r="B51" s="787"/>
      <c r="C51" s="788"/>
      <c r="D51" s="789"/>
      <c r="E51" s="784" t="s">
        <v>640</v>
      </c>
      <c r="F51" s="2372"/>
      <c r="H51" s="2094"/>
      <c r="I51" s="2385" t="s">
        <v>2347</v>
      </c>
      <c r="J51" s="2398">
        <f>IF(J49="",J50,J49+J50-YEAR('数据-取费表'!B2))</f>
        <v>62</v>
      </c>
      <c r="K51" s="2384" t="s">
        <v>2354</v>
      </c>
      <c r="L51" s="2399">
        <f ca="1">ROUND(-PV(INDIRECT("'数据-取费表'!h"&amp;$G$1),L48,(C39-C13*J36),0),0)</f>
        <v>37968</v>
      </c>
      <c r="O51" s="2426" t="s">
        <v>2384</v>
      </c>
      <c r="P51" s="2424" t="s">
        <v>2385</v>
      </c>
      <c r="Q51" s="2427" t="e">
        <f ca="1">J58</f>
        <v>#VALUE!</v>
      </c>
      <c r="R51" s="2428"/>
    </row>
    <row r="52" spans="1:18" s="2060" customFormat="1" ht="18" customHeight="1" thickBot="1">
      <c r="A52" s="781" t="s">
        <v>2535</v>
      </c>
      <c r="B52" s="2519" t="s">
        <v>2458</v>
      </c>
      <c r="C52" s="799">
        <f ca="1">ROUND(IF(F52="押一",C48/12*F11,IF(F52="押二",C48/12*2*F11,IF(F52="押三",C48/12*3*F11,C53*F11))),0)</f>
        <v>0</v>
      </c>
      <c r="D52" s="2526" t="s">
        <v>2973</v>
      </c>
      <c r="E52" s="2523" t="s">
        <v>2463</v>
      </c>
      <c r="F52" s="2646"/>
      <c r="I52" s="2386" t="s">
        <v>2421</v>
      </c>
      <c r="J52" s="2400">
        <v>0.09</v>
      </c>
      <c r="K52" s="2386" t="s">
        <v>2420</v>
      </c>
      <c r="L52" s="2400"/>
      <c r="O52" s="2426" t="s">
        <v>2386</v>
      </c>
      <c r="P52" s="2424" t="s">
        <v>2387</v>
      </c>
      <c r="Q52" s="2427">
        <f>J52</f>
        <v>0.09</v>
      </c>
      <c r="R52" s="2428"/>
    </row>
    <row r="53" spans="1:18" s="2060" customFormat="1" ht="39.75" customHeight="1" thickBot="1">
      <c r="A53" s="786"/>
      <c r="B53" s="2520" t="s">
        <v>2572</v>
      </c>
      <c r="C53" s="2524"/>
      <c r="D53" s="2526"/>
      <c r="E53" s="2523"/>
      <c r="F53" s="800"/>
      <c r="I53" s="2387" t="s">
        <v>2348</v>
      </c>
      <c r="J53" s="2401">
        <f ca="1">IF(M47="住宅",J51,IF(D1="——",MIN(J51,L48),IF(D1="土地（套用方法）",MIN(J51,L48-'数据-取费表'!B20))))</f>
        <v>33.54</v>
      </c>
      <c r="K53" s="3467" t="s">
        <v>2964</v>
      </c>
      <c r="L53" s="3468"/>
      <c r="O53" s="2426" t="s">
        <v>2388</v>
      </c>
      <c r="P53" s="2424" t="s">
        <v>2389</v>
      </c>
      <c r="Q53" s="2425">
        <f ca="1">J53</f>
        <v>33.54</v>
      </c>
      <c r="R53" s="2424" t="s">
        <v>2390</v>
      </c>
    </row>
    <row r="54" spans="1:18" s="2060" customFormat="1" ht="18" customHeight="1" thickBot="1">
      <c r="A54" s="2562" t="s">
        <v>2466</v>
      </c>
      <c r="B54" s="2563" t="s">
        <v>2459</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99205</v>
      </c>
      <c r="R54" s="2428" t="s">
        <v>2392</v>
      </c>
    </row>
    <row r="55" spans="1:18" s="2060" customFormat="1" ht="18" customHeight="1" thickTop="1" thickBot="1">
      <c r="A55" s="797">
        <v>2</v>
      </c>
      <c r="B55" s="798" t="s">
        <v>644</v>
      </c>
      <c r="C55" s="799">
        <f ca="1">C13</f>
        <v>28722</v>
      </c>
      <c r="D55" s="795"/>
      <c r="E55" s="795"/>
      <c r="F55" s="800"/>
      <c r="I55" s="3128" t="s">
        <v>2355</v>
      </c>
      <c r="J55" s="3127" t="e">
        <f ca="1">ROUND(IF(J47="钢混",J57/J50,1-(1-2%)*(J50-J57)/J50),3)</f>
        <v>#VALUE!</v>
      </c>
      <c r="K55" s="2402" t="s">
        <v>2356</v>
      </c>
      <c r="L55" s="2403"/>
      <c r="O55" s="2429" t="s">
        <v>2411</v>
      </c>
      <c r="P55" s="1593"/>
      <c r="Q55" s="1605"/>
      <c r="R55" s="1593"/>
    </row>
    <row r="56" spans="1:18" s="2060" customFormat="1" ht="42.75" customHeight="1" thickBot="1">
      <c r="A56" s="1651"/>
      <c r="B56" s="2232" t="s">
        <v>2302</v>
      </c>
      <c r="C56" s="53">
        <f ca="1">C29</f>
        <v>28722</v>
      </c>
      <c r="D56" s="2664"/>
      <c r="E56" s="784"/>
      <c r="F56" s="809"/>
      <c r="I56" s="2404" t="s">
        <v>2357</v>
      </c>
      <c r="J56" s="3151" t="s">
        <v>1679</v>
      </c>
      <c r="K56" s="2384" t="s">
        <v>2362</v>
      </c>
      <c r="L56" s="2393" t="str">
        <f ca="1">IF(L48&lt;J51,"——",L48-J51)</f>
        <v>——</v>
      </c>
      <c r="O56" s="2420" t="s">
        <v>2375</v>
      </c>
      <c r="P56" s="2421" t="s">
        <v>2376</v>
      </c>
      <c r="Q56" s="2422" t="s">
        <v>2377</v>
      </c>
      <c r="R56" s="2421" t="s">
        <v>2378</v>
      </c>
    </row>
    <row r="57" spans="1:18" s="2060" customFormat="1" ht="28.5" customHeight="1" thickBot="1">
      <c r="A57" s="797" t="s">
        <v>1749</v>
      </c>
      <c r="B57" s="798" t="s">
        <v>651</v>
      </c>
      <c r="C57" s="799">
        <f ca="1">ROUND(C58+C63+C64+C65,0)</f>
        <v>480</v>
      </c>
      <c r="D57" s="26" t="s">
        <v>1751</v>
      </c>
      <c r="E57" s="2665"/>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99205</v>
      </c>
      <c r="R57" s="2424" t="s">
        <v>2380</v>
      </c>
    </row>
    <row r="58" spans="1:18" s="2060" customFormat="1" ht="28.5" customHeight="1" thickBot="1">
      <c r="A58" s="1650" t="s">
        <v>1825</v>
      </c>
      <c r="B58" s="784" t="s">
        <v>656</v>
      </c>
      <c r="C58" s="53">
        <f ca="1">ROUND(IF(项目基本情况!B11="自然人",C47*F58,C59+C60+C61),1)</f>
        <v>6.3</v>
      </c>
      <c r="D58" s="2663" t="s">
        <v>657</v>
      </c>
      <c r="E58" s="2664" t="s">
        <v>690</v>
      </c>
      <c r="F58" s="810" t="str">
        <f ca="1">IF(项目基本情况!B11="企业","",IF(INDIRECT("'数据-取费表'!c"&amp;$G$1)="住宅",5%,IF(F48*F49*F50/12/(1+'数据-取费表'!C42)&gt;20000,12%,7%)))</f>
        <v/>
      </c>
      <c r="I58" s="2405" t="s">
        <v>2359</v>
      </c>
      <c r="J58" s="3129"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9" t="s">
        <v>1832</v>
      </c>
      <c r="B59" s="784" t="s">
        <v>660</v>
      </c>
      <c r="C59" s="53">
        <f ca="1">ROUND(C47*F59/1.05,1)</f>
        <v>0</v>
      </c>
      <c r="D59" s="2664" t="s">
        <v>1757</v>
      </c>
      <c r="E59" s="784" t="s">
        <v>1748</v>
      </c>
      <c r="F59" s="809">
        <f t="shared" ref="F59:F65" si="0">F32</f>
        <v>5.6000000000000001E-2</v>
      </c>
      <c r="I59" s="2405" t="s">
        <v>2360</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9" t="s">
        <v>1833</v>
      </c>
      <c r="B60" s="784" t="s">
        <v>1759</v>
      </c>
      <c r="C60" s="53">
        <f ca="1">IF(D60="按租金收入计税",ROUND(C47*F60,1),IF(D60="按房产原值计税",ROUND(C56*F60*0.7,1),INDIRECT("'数据-取费表'!Aj"&amp;$G$1)))</f>
        <v>0</v>
      </c>
      <c r="D60" s="2664" t="str">
        <f>D33</f>
        <v>按租金收入计税</v>
      </c>
      <c r="E60" s="784" t="s">
        <v>1748</v>
      </c>
      <c r="F60" s="809">
        <f t="shared" si="0"/>
        <v>0.12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2" t="s">
        <v>1834</v>
      </c>
      <c r="B61" s="341" t="s">
        <v>668</v>
      </c>
      <c r="C61" s="54">
        <f ca="1">ROUND(F61*F62/10000,1)</f>
        <v>6.3</v>
      </c>
      <c r="D61" s="814" t="s">
        <v>669</v>
      </c>
      <c r="E61" s="784" t="s">
        <v>670</v>
      </c>
      <c r="F61" s="640">
        <f t="shared" si="0"/>
        <v>8</v>
      </c>
      <c r="K61" s="2087"/>
      <c r="O61" s="2426" t="s">
        <v>2386</v>
      </c>
      <c r="P61" s="2424" t="s">
        <v>2394</v>
      </c>
      <c r="Q61" s="2425" t="e">
        <f ca="1">L58</f>
        <v>#DIV/0!</v>
      </c>
      <c r="R61" s="2428" t="s">
        <v>2395</v>
      </c>
    </row>
    <row r="62" spans="1:18" s="2060" customFormat="1" ht="15.75" thickBot="1">
      <c r="A62" s="815"/>
      <c r="B62" s="793"/>
      <c r="C62" s="69"/>
      <c r="D62" s="816"/>
      <c r="E62" s="784" t="s">
        <v>674</v>
      </c>
      <c r="F62" s="785">
        <f t="shared" ca="1" si="0"/>
        <v>7876.6</v>
      </c>
      <c r="I62" s="2410" t="s">
        <v>2367</v>
      </c>
      <c r="J62" s="2411" t="s">
        <v>2368</v>
      </c>
      <c r="K62" s="2411" t="s">
        <v>2369</v>
      </c>
      <c r="L62" s="2411" t="s">
        <v>2350</v>
      </c>
      <c r="M62" s="3130" t="s">
        <v>2940</v>
      </c>
      <c r="O62" s="2426" t="s">
        <v>2388</v>
      </c>
      <c r="P62" s="2424" t="str">
        <f>K59</f>
        <v>建设期及建筑物耐用年限下的土地年期修正系数Kn</v>
      </c>
      <c r="Q62" s="2425" t="e">
        <f ca="1">L59</f>
        <v>#DIV/0!</v>
      </c>
      <c r="R62" s="2428" t="s">
        <v>2397</v>
      </c>
    </row>
    <row r="63" spans="1:18" s="2060" customFormat="1" ht="15.75" thickBot="1">
      <c r="A63" s="1650" t="s">
        <v>1890</v>
      </c>
      <c r="B63" s="784" t="s">
        <v>676</v>
      </c>
      <c r="C63" s="53">
        <f ca="1">ROUND(C56*F63,1)</f>
        <v>430.8</v>
      </c>
      <c r="D63" s="2664" t="s">
        <v>1804</v>
      </c>
      <c r="E63" s="784" t="s">
        <v>1748</v>
      </c>
      <c r="F63" s="817">
        <f t="shared" ca="1" si="0"/>
        <v>1.4999999999999999E-2</v>
      </c>
      <c r="I63" s="2410" t="s">
        <v>2370</v>
      </c>
      <c r="J63" s="2411">
        <v>70</v>
      </c>
      <c r="K63" s="2411">
        <v>50</v>
      </c>
      <c r="L63" s="2411">
        <v>80</v>
      </c>
      <c r="M63" s="3131">
        <v>0.02</v>
      </c>
      <c r="O63" s="2423" t="s">
        <v>2391</v>
      </c>
      <c r="P63" s="2424" t="s">
        <v>2408</v>
      </c>
      <c r="Q63" s="2425">
        <f ca="1">Q57+Q58</f>
        <v>99205</v>
      </c>
      <c r="R63" s="2428" t="s">
        <v>2392</v>
      </c>
    </row>
    <row r="64" spans="1:18" s="2060" customFormat="1" ht="16.5" thickBot="1">
      <c r="A64" s="1650" t="s">
        <v>1891</v>
      </c>
      <c r="B64" s="784" t="s">
        <v>679</v>
      </c>
      <c r="C64" s="53">
        <f ca="1">ROUND(C55*F64,1)</f>
        <v>43.1</v>
      </c>
      <c r="D64" s="2664" t="s">
        <v>680</v>
      </c>
      <c r="E64" s="784" t="s">
        <v>1748</v>
      </c>
      <c r="F64" s="818">
        <f t="shared" ca="1" si="0"/>
        <v>1.5E-3</v>
      </c>
      <c r="I64" s="2410" t="s">
        <v>2371</v>
      </c>
      <c r="J64" s="2411">
        <v>50</v>
      </c>
      <c r="K64" s="2411">
        <v>35</v>
      </c>
      <c r="L64" s="2411">
        <v>60</v>
      </c>
      <c r="M64" s="3132">
        <v>0</v>
      </c>
      <c r="O64" s="2429" t="s">
        <v>2415</v>
      </c>
      <c r="P64" s="1593"/>
      <c r="Q64" s="1605"/>
      <c r="R64" s="1593"/>
    </row>
    <row r="65" spans="1:18" s="2060" customFormat="1" ht="15.75" thickBot="1">
      <c r="A65" s="1650" t="s">
        <v>1892</v>
      </c>
      <c r="B65" s="784" t="s">
        <v>666</v>
      </c>
      <c r="C65" s="53">
        <f ca="1">ROUND(C47*F65,1)</f>
        <v>0</v>
      </c>
      <c r="D65" s="2664" t="s">
        <v>683</v>
      </c>
      <c r="E65" s="784" t="s">
        <v>1748</v>
      </c>
      <c r="F65" s="794">
        <f t="shared" ca="1" si="0"/>
        <v>0.01</v>
      </c>
      <c r="I65" s="2410" t="s">
        <v>2372</v>
      </c>
      <c r="J65" s="2411">
        <v>40</v>
      </c>
      <c r="K65" s="2411">
        <v>30</v>
      </c>
      <c r="L65" s="2411">
        <v>50</v>
      </c>
      <c r="M65" s="3131">
        <v>0.02</v>
      </c>
      <c r="O65" s="2420" t="s">
        <v>2375</v>
      </c>
      <c r="P65" s="2421" t="s">
        <v>2376</v>
      </c>
      <c r="Q65" s="2422" t="s">
        <v>2377</v>
      </c>
      <c r="R65" s="2421" t="s">
        <v>2378</v>
      </c>
    </row>
    <row r="66" spans="1:18" s="2060" customFormat="1" ht="24.75" thickBot="1">
      <c r="A66" s="797" t="s">
        <v>1777</v>
      </c>
      <c r="B66" s="3036" t="s">
        <v>2821</v>
      </c>
      <c r="C66" s="799">
        <f ca="1">C47-C57</f>
        <v>-480</v>
      </c>
      <c r="D66" s="2663" t="s">
        <v>700</v>
      </c>
      <c r="E66" s="2662"/>
      <c r="F66" s="820"/>
      <c r="K66" s="2087"/>
      <c r="O66" s="2423" t="s">
        <v>2379</v>
      </c>
      <c r="P66" s="2424" t="s">
        <v>2409</v>
      </c>
      <c r="Q66" s="2425">
        <f ca="1">C40+J29</f>
        <v>99205</v>
      </c>
      <c r="R66" s="2424" t="s">
        <v>2380</v>
      </c>
    </row>
    <row r="67" spans="1:18" s="2060" customFormat="1" ht="20.25" thickBot="1">
      <c r="A67" s="781" t="s">
        <v>1781</v>
      </c>
      <c r="B67" s="2233" t="s">
        <v>2301</v>
      </c>
      <c r="C67" s="783">
        <f ca="1">ROUND(C66*(1-((1+F69)/(1+F67))^F68)/(F67-F69),0)</f>
        <v>-7731</v>
      </c>
      <c r="D67" s="814" t="s">
        <v>704</v>
      </c>
      <c r="E67" s="784" t="s">
        <v>705</v>
      </c>
      <c r="F67" s="794">
        <f ca="1">F40</f>
        <v>0.05</v>
      </c>
      <c r="K67" s="2087"/>
      <c r="O67" s="2423" t="s">
        <v>2381</v>
      </c>
      <c r="P67" s="2424" t="s">
        <v>2412</v>
      </c>
      <c r="Q67" s="2425">
        <f ca="1">L60</f>
        <v>0</v>
      </c>
      <c r="R67" s="2428" t="s">
        <v>2414</v>
      </c>
    </row>
    <row r="68" spans="1:18" ht="21.75" thickBot="1">
      <c r="A68" s="786"/>
      <c r="B68" s="787"/>
      <c r="C68" s="788"/>
      <c r="D68" s="821" t="s">
        <v>1809</v>
      </c>
      <c r="E68" s="784" t="s">
        <v>1785</v>
      </c>
      <c r="F68" s="822">
        <f ca="1">F41</f>
        <v>33.54</v>
      </c>
      <c r="O68" s="2426" t="s">
        <v>2383</v>
      </c>
      <c r="P68" s="2424" t="s">
        <v>2413</v>
      </c>
      <c r="Q68" s="2430">
        <f ca="1">L51</f>
        <v>37968</v>
      </c>
      <c r="R68" s="2431" t="s">
        <v>2416</v>
      </c>
    </row>
    <row r="69" spans="1:18" ht="20.25" thickBot="1">
      <c r="A69" s="790"/>
      <c r="B69" s="791"/>
      <c r="C69" s="792"/>
      <c r="D69" s="816"/>
      <c r="E69" s="784" t="s">
        <v>710</v>
      </c>
      <c r="F69" s="2372"/>
      <c r="O69" s="2426" t="s">
        <v>2384</v>
      </c>
      <c r="P69" s="2432" t="s">
        <v>2398</v>
      </c>
      <c r="Q69" s="2425">
        <f ca="1">ROUND(Q70-Q71*Q72,0)</f>
        <v>2020</v>
      </c>
      <c r="R69" s="2428"/>
    </row>
    <row r="70" spans="1:18" ht="15.75" thickBot="1">
      <c r="A70" s="823" t="s">
        <v>1788</v>
      </c>
      <c r="B70" s="824" t="s">
        <v>1811</v>
      </c>
      <c r="C70" s="825">
        <f ca="1">ROUND(C67*10000/F70,0)</f>
        <v>-1309</v>
      </c>
      <c r="D70" s="826" t="s">
        <v>1812</v>
      </c>
      <c r="E70" s="827" t="s">
        <v>1813</v>
      </c>
      <c r="F70" s="828">
        <f ca="1">F43</f>
        <v>59074.5</v>
      </c>
      <c r="O70" s="2426" t="s">
        <v>2399</v>
      </c>
      <c r="P70" s="2432" t="s">
        <v>2400</v>
      </c>
      <c r="Q70" s="2425">
        <f ca="1">C39</f>
        <v>4174</v>
      </c>
      <c r="R70" s="2424" t="s">
        <v>2380</v>
      </c>
    </row>
    <row r="71" spans="1:18" ht="15.75" thickBot="1">
      <c r="O71" s="2426" t="s">
        <v>2401</v>
      </c>
      <c r="P71" s="2432" t="s">
        <v>2402</v>
      </c>
      <c r="Q71" s="2425">
        <f ca="1">C13</f>
        <v>28722</v>
      </c>
      <c r="R71" s="2424" t="s">
        <v>2380</v>
      </c>
    </row>
    <row r="72" spans="1:18" ht="15.75" thickBot="1">
      <c r="O72" s="2426" t="s">
        <v>2403</v>
      </c>
      <c r="P72" s="2432" t="s">
        <v>2404</v>
      </c>
      <c r="Q72" s="2427">
        <f ca="1">J36</f>
        <v>7.4999999999999997E-2</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建设期及建筑物耐用年限下的土地年期修正系数Kn</v>
      </c>
      <c r="Q75" s="2425" t="e">
        <f ca="1">L59</f>
        <v>#DIV/0!</v>
      </c>
      <c r="R75" s="2428" t="s">
        <v>2397</v>
      </c>
    </row>
    <row r="76" spans="1:18" ht="15.75" thickBot="1">
      <c r="O76" s="2423" t="s">
        <v>2391</v>
      </c>
      <c r="P76" s="2424" t="s">
        <v>2408</v>
      </c>
      <c r="Q76" s="2425">
        <f ca="1">Q66+Q67</f>
        <v>99205</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M21" sqref="M21"/>
    </sheetView>
  </sheetViews>
  <sheetFormatPr defaultRowHeight="13.5"/>
  <cols>
    <col min="1" max="1" width="10.5" customWidth="1"/>
    <col min="2" max="2" width="12.875" customWidth="1"/>
    <col min="3" max="3" width="8.75" customWidth="1"/>
  </cols>
  <sheetData>
    <row r="1" spans="1:9" ht="14.25">
      <c r="A1" s="3485" t="s">
        <v>2470</v>
      </c>
      <c r="B1" s="3486"/>
      <c r="C1" s="3487"/>
      <c r="D1" s="3488">
        <f>SUM(I10,I15,I20,I21,I23)</f>
        <v>0</v>
      </c>
      <c r="E1" s="3488"/>
      <c r="F1" s="3488"/>
      <c r="G1" s="3488"/>
      <c r="H1" s="3488"/>
      <c r="I1" s="3489"/>
    </row>
    <row r="2" spans="1:9">
      <c r="A2" s="3475" t="s">
        <v>2471</v>
      </c>
      <c r="B2" s="3476" t="s">
        <v>2472</v>
      </c>
      <c r="C2" s="3476"/>
      <c r="D2" s="2532" t="s">
        <v>2473</v>
      </c>
      <c r="E2" s="2532" t="s">
        <v>2474</v>
      </c>
      <c r="F2" s="2532" t="s">
        <v>2475</v>
      </c>
      <c r="G2" s="2532" t="s">
        <v>2476</v>
      </c>
      <c r="H2" s="2532" t="s">
        <v>2477</v>
      </c>
      <c r="I2" s="2533" t="s">
        <v>2478</v>
      </c>
    </row>
    <row r="3" spans="1:9">
      <c r="A3" s="3475"/>
      <c r="B3" s="3476" t="s">
        <v>2479</v>
      </c>
      <c r="C3" s="3476"/>
      <c r="D3" s="2534"/>
      <c r="E3" s="2532"/>
      <c r="F3" s="2535"/>
      <c r="G3" s="2535"/>
      <c r="H3" s="2536"/>
      <c r="I3" s="2537">
        <f>ROUND(D3*E3*F3*G3*H3/10000,0)</f>
        <v>0</v>
      </c>
    </row>
    <row r="4" spans="1:9">
      <c r="A4" s="3475"/>
      <c r="B4" s="3476" t="s">
        <v>2480</v>
      </c>
      <c r="C4" s="3476"/>
      <c r="D4" s="2534"/>
      <c r="E4" s="2532"/>
      <c r="F4" s="2535"/>
      <c r="G4" s="2535"/>
      <c r="H4" s="2536"/>
      <c r="I4" s="2537">
        <f t="shared" ref="I4:I9" si="0">ROUND(D4*E4*F4*G4*H4/10000,0)</f>
        <v>0</v>
      </c>
    </row>
    <row r="5" spans="1:9">
      <c r="A5" s="3475"/>
      <c r="B5" s="3476" t="s">
        <v>2481</v>
      </c>
      <c r="C5" s="3476"/>
      <c r="D5" s="2534"/>
      <c r="E5" s="2532"/>
      <c r="F5" s="2535"/>
      <c r="G5" s="2535"/>
      <c r="H5" s="2536"/>
      <c r="I5" s="2537">
        <f t="shared" si="0"/>
        <v>0</v>
      </c>
    </row>
    <row r="6" spans="1:9">
      <c r="A6" s="3475"/>
      <c r="B6" s="3476" t="s">
        <v>2482</v>
      </c>
      <c r="C6" s="3476"/>
      <c r="D6" s="2534"/>
      <c r="E6" s="2532"/>
      <c r="F6" s="2535"/>
      <c r="G6" s="2535"/>
      <c r="H6" s="2536"/>
      <c r="I6" s="2537">
        <f t="shared" si="0"/>
        <v>0</v>
      </c>
    </row>
    <row r="7" spans="1:9">
      <c r="A7" s="3475"/>
      <c r="B7" s="3476" t="s">
        <v>2483</v>
      </c>
      <c r="C7" s="3476"/>
      <c r="D7" s="2534"/>
      <c r="E7" s="2532"/>
      <c r="F7" s="2535"/>
      <c r="G7" s="2535"/>
      <c r="H7" s="2536"/>
      <c r="I7" s="2537">
        <f t="shared" si="0"/>
        <v>0</v>
      </c>
    </row>
    <row r="8" spans="1:9">
      <c r="A8" s="3475"/>
      <c r="B8" s="3476" t="s">
        <v>2484</v>
      </c>
      <c r="C8" s="3476"/>
      <c r="D8" s="2534"/>
      <c r="E8" s="2532"/>
      <c r="F8" s="2535"/>
      <c r="G8" s="2535"/>
      <c r="H8" s="2536"/>
      <c r="I8" s="2537">
        <f t="shared" si="0"/>
        <v>0</v>
      </c>
    </row>
    <row r="9" spans="1:9">
      <c r="A9" s="3475"/>
      <c r="B9" s="3476" t="s">
        <v>2485</v>
      </c>
      <c r="C9" s="3476"/>
      <c r="D9" s="2534"/>
      <c r="E9" s="2532"/>
      <c r="F9" s="2535"/>
      <c r="G9" s="2535"/>
      <c r="H9" s="2536"/>
      <c r="I9" s="2537">
        <f t="shared" si="0"/>
        <v>0</v>
      </c>
    </row>
    <row r="10" spans="1:9">
      <c r="A10" s="3475"/>
      <c r="B10" s="3477" t="s">
        <v>2486</v>
      </c>
      <c r="C10" s="3477"/>
      <c r="D10" s="2538">
        <v>527</v>
      </c>
      <c r="E10" s="2538" t="e">
        <f>ROUND(D1*10000/D10/H9,0)</f>
        <v>#DIV/0!</v>
      </c>
      <c r="F10" s="2539"/>
      <c r="G10" s="2539"/>
      <c r="H10" s="2540"/>
      <c r="I10" s="2541">
        <f>SUM(I3:I9)</f>
        <v>0</v>
      </c>
    </row>
    <row r="11" spans="1:9" ht="14.25">
      <c r="A11" s="3475" t="s">
        <v>2487</v>
      </c>
      <c r="B11" s="3476" t="s">
        <v>2488</v>
      </c>
      <c r="C11" s="3476"/>
      <c r="D11" s="2534" t="s">
        <v>2489</v>
      </c>
      <c r="E11" s="2534" t="s">
        <v>2490</v>
      </c>
      <c r="F11" s="2535" t="s">
        <v>2491</v>
      </c>
      <c r="G11" s="2535" t="s">
        <v>2492</v>
      </c>
      <c r="H11" s="2542" t="s">
        <v>2493</v>
      </c>
      <c r="I11" s="2533" t="s">
        <v>2494</v>
      </c>
    </row>
    <row r="12" spans="1:9">
      <c r="A12" s="3475"/>
      <c r="B12" s="3476" t="s">
        <v>2495</v>
      </c>
      <c r="C12" s="3476"/>
      <c r="D12" s="2534"/>
      <c r="E12" s="2534"/>
      <c r="F12" s="2535"/>
      <c r="G12" s="2536"/>
      <c r="H12" s="2543"/>
      <c r="I12" s="2533">
        <f>ROUND(D12*E12*F12*G12/10000,0)</f>
        <v>0</v>
      </c>
    </row>
    <row r="13" spans="1:9">
      <c r="A13" s="3475"/>
      <c r="B13" s="3476" t="s">
        <v>2496</v>
      </c>
      <c r="C13" s="3476"/>
      <c r="D13" s="2534"/>
      <c r="E13" s="2534"/>
      <c r="F13" s="2535"/>
      <c r="G13" s="2536"/>
      <c r="H13" s="2543"/>
      <c r="I13" s="2533">
        <f>ROUND(D13*E13*F13*G13/10000,0)</f>
        <v>0</v>
      </c>
    </row>
    <row r="14" spans="1:9">
      <c r="A14" s="3475"/>
      <c r="B14" s="3476" t="s">
        <v>2497</v>
      </c>
      <c r="C14" s="3476"/>
      <c r="D14" s="2534"/>
      <c r="E14" s="2534"/>
      <c r="F14" s="2535"/>
      <c r="G14" s="2536"/>
      <c r="H14" s="2543"/>
      <c r="I14" s="2533">
        <f>ROUND(D14*E14*F14*G14/10000,0)</f>
        <v>0</v>
      </c>
    </row>
    <row r="15" spans="1:9">
      <c r="A15" s="3475"/>
      <c r="B15" s="3477" t="s">
        <v>2486</v>
      </c>
      <c r="C15" s="3477"/>
      <c r="D15" s="2538"/>
      <c r="E15" s="2538">
        <f>SUM(E12:E14)</f>
        <v>0</v>
      </c>
      <c r="F15" s="2539"/>
      <c r="G15" s="2536"/>
      <c r="H15" s="2543"/>
      <c r="I15" s="2544">
        <f>SUM(I12:I14)</f>
        <v>0</v>
      </c>
    </row>
    <row r="16" spans="1:9" ht="24">
      <c r="A16" s="3475" t="s">
        <v>2498</v>
      </c>
      <c r="B16" s="3476" t="s">
        <v>2499</v>
      </c>
      <c r="C16" s="3476"/>
      <c r="D16" s="2534" t="s">
        <v>2500</v>
      </c>
      <c r="E16" s="2545" t="s">
        <v>2501</v>
      </c>
      <c r="F16" s="2535" t="s">
        <v>2502</v>
      </c>
      <c r="G16" s="2536" t="s">
        <v>2492</v>
      </c>
      <c r="H16" s="2542" t="s">
        <v>2493</v>
      </c>
      <c r="I16" s="2533" t="s">
        <v>2494</v>
      </c>
    </row>
    <row r="17" spans="1:9" ht="14.25">
      <c r="A17" s="3475"/>
      <c r="B17" s="3476" t="s">
        <v>2503</v>
      </c>
      <c r="C17" s="3476"/>
      <c r="D17" s="2534"/>
      <c r="E17" s="2534"/>
      <c r="F17" s="2535"/>
      <c r="G17" s="2536"/>
      <c r="H17" s="2546"/>
      <c r="I17" s="2547">
        <f>ROUND(D17*E17*F17*G17/10000,0)</f>
        <v>0</v>
      </c>
    </row>
    <row r="18" spans="1:9" ht="14.25">
      <c r="A18" s="3475"/>
      <c r="B18" s="3476" t="s">
        <v>2504</v>
      </c>
      <c r="C18" s="3476"/>
      <c r="D18" s="2534"/>
      <c r="E18" s="2534"/>
      <c r="F18" s="2535"/>
      <c r="G18" s="2536"/>
      <c r="H18" s="2546"/>
      <c r="I18" s="2547">
        <f>ROUND(D18*E18*F18*G18/10000,0)</f>
        <v>0</v>
      </c>
    </row>
    <row r="19" spans="1:9" ht="14.25">
      <c r="A19" s="3475"/>
      <c r="B19" s="3476" t="s">
        <v>2505</v>
      </c>
      <c r="C19" s="3476"/>
      <c r="D19" s="2534"/>
      <c r="E19" s="2534"/>
      <c r="F19" s="2535"/>
      <c r="G19" s="2536"/>
      <c r="H19" s="2546"/>
      <c r="I19" s="2547">
        <f>ROUND(D19*E19*F19*G19/10000,0)</f>
        <v>0</v>
      </c>
    </row>
    <row r="20" spans="1:9">
      <c r="A20" s="3475"/>
      <c r="B20" s="3477" t="s">
        <v>2486</v>
      </c>
      <c r="C20" s="3477"/>
      <c r="D20" s="2538">
        <f>SUM(D17:D19)</f>
        <v>0</v>
      </c>
      <c r="E20" s="2538"/>
      <c r="F20" s="2539"/>
      <c r="G20" s="2536"/>
      <c r="H20" s="2543"/>
      <c r="I20" s="2544">
        <f>SUM(I17:I19)</f>
        <v>0</v>
      </c>
    </row>
    <row r="21" spans="1:9">
      <c r="A21" s="3475" t="s">
        <v>2506</v>
      </c>
      <c r="B21" s="3478"/>
      <c r="C21" s="3478"/>
      <c r="D21" s="3478"/>
      <c r="E21" s="3478"/>
      <c r="F21" s="3478"/>
      <c r="G21" s="3478"/>
      <c r="H21" s="2548">
        <v>0.1</v>
      </c>
      <c r="I21" s="2541">
        <f>ROUND(I10*H21,0)</f>
        <v>0</v>
      </c>
    </row>
    <row r="22" spans="1:9" ht="14.25">
      <c r="A22" s="3479" t="s">
        <v>2507</v>
      </c>
      <c r="B22" s="3480"/>
      <c r="C22" s="3481"/>
      <c r="D22" s="2549" t="s">
        <v>2508</v>
      </c>
      <c r="E22" s="2549" t="s">
        <v>2509</v>
      </c>
      <c r="F22" s="2550" t="s">
        <v>2510</v>
      </c>
      <c r="G22" s="2550" t="s">
        <v>2511</v>
      </c>
      <c r="H22" s="2542" t="s">
        <v>2512</v>
      </c>
      <c r="I22" s="2533" t="s">
        <v>2513</v>
      </c>
    </row>
    <row r="23" spans="1:9" ht="14.25" thickBot="1">
      <c r="A23" s="3482"/>
      <c r="B23" s="3483"/>
      <c r="C23" s="3484"/>
      <c r="D23" s="2551"/>
      <c r="E23" s="2551"/>
      <c r="F23" s="2551"/>
      <c r="G23" s="2552"/>
      <c r="H23" s="2553"/>
      <c r="I23" s="2554">
        <f>ROUND(E23*D23*F23*(1-G23)/10000,0)</f>
        <v>0</v>
      </c>
    </row>
    <row r="26" spans="1:9">
      <c r="A26" s="2555" t="s">
        <v>2514</v>
      </c>
      <c r="B26" s="2555"/>
      <c r="C26" s="2555"/>
      <c r="D26" s="2555"/>
      <c r="E26" s="3472">
        <f>C27-C30-C31-C32</f>
        <v>0</v>
      </c>
      <c r="F26" s="3472"/>
      <c r="G26" s="3472"/>
      <c r="H26" s="3069" t="s">
        <v>2842</v>
      </c>
    </row>
    <row r="27" spans="1:9">
      <c r="A27" s="2556">
        <v>1</v>
      </c>
      <c r="B27" s="2557" t="s">
        <v>2515</v>
      </c>
      <c r="C27" s="2557"/>
      <c r="D27" s="2557"/>
      <c r="E27" s="3473"/>
      <c r="F27" s="3473"/>
      <c r="G27" s="3473"/>
    </row>
    <row r="28" spans="1:9">
      <c r="A28" s="2558" t="s">
        <v>2516</v>
      </c>
      <c r="B28" s="2557" t="s">
        <v>2517</v>
      </c>
      <c r="C28" s="2557"/>
      <c r="D28" s="2557"/>
      <c r="E28" s="3473"/>
      <c r="F28" s="3473"/>
      <c r="G28" s="3473"/>
    </row>
    <row r="29" spans="1:9">
      <c r="A29" s="2558" t="s">
        <v>2518</v>
      </c>
      <c r="B29" s="2557" t="s">
        <v>2459</v>
      </c>
      <c r="C29" s="2557"/>
      <c r="D29" s="2557"/>
      <c r="E29" s="2557" t="s">
        <v>2519</v>
      </c>
      <c r="F29" s="2557"/>
      <c r="G29" s="2557"/>
    </row>
    <row r="30" spans="1:9">
      <c r="A30" s="2556">
        <v>2</v>
      </c>
      <c r="B30" s="2557" t="s">
        <v>2520</v>
      </c>
      <c r="C30" s="2557">
        <f>C27*D30</f>
        <v>0</v>
      </c>
      <c r="D30" s="2559">
        <v>0.2</v>
      </c>
      <c r="E30" s="2557" t="s">
        <v>2521</v>
      </c>
      <c r="F30" s="2557"/>
      <c r="G30" s="2557"/>
    </row>
    <row r="31" spans="1:9">
      <c r="A31" s="2556">
        <v>3</v>
      </c>
      <c r="B31" s="2557" t="s">
        <v>2522</v>
      </c>
      <c r="C31" s="2557">
        <f>C25*D31</f>
        <v>0</v>
      </c>
      <c r="D31" s="2559">
        <v>0.15</v>
      </c>
      <c r="E31" s="2557" t="s">
        <v>2523</v>
      </c>
      <c r="F31" s="2557"/>
      <c r="G31" s="2557"/>
    </row>
    <row r="32" spans="1:9">
      <c r="A32" s="2556">
        <v>4</v>
      </c>
      <c r="B32" s="2557" t="s">
        <v>2524</v>
      </c>
      <c r="C32" s="2557">
        <f>C27*D32</f>
        <v>0</v>
      </c>
      <c r="D32" s="2559">
        <v>0.05</v>
      </c>
      <c r="E32" s="3474"/>
      <c r="F32" s="3474"/>
      <c r="G32" s="3474"/>
    </row>
    <row r="33" spans="1:7" hidden="1">
      <c r="A33" s="3469" t="s">
        <v>2525</v>
      </c>
      <c r="B33" s="3470"/>
      <c r="C33" s="3470"/>
      <c r="D33" s="3471"/>
      <c r="E33" s="3472"/>
      <c r="F33" s="3472"/>
      <c r="G33" s="3472"/>
    </row>
    <row r="34" spans="1:7" hidden="1">
      <c r="A34" s="2560">
        <v>1</v>
      </c>
      <c r="B34" s="2557" t="s">
        <v>2526</v>
      </c>
      <c r="C34" s="2557"/>
      <c r="D34" s="2557"/>
      <c r="E34" s="3473"/>
      <c r="F34" s="3473"/>
      <c r="G34" s="3473"/>
    </row>
    <row r="35" spans="1:7" hidden="1">
      <c r="A35" s="2560">
        <v>2</v>
      </c>
      <c r="B35" s="2557" t="s">
        <v>2527</v>
      </c>
      <c r="C35" s="2557"/>
      <c r="D35" s="2557"/>
      <c r="E35" s="3473"/>
      <c r="F35" s="3473"/>
      <c r="G35" s="3473"/>
    </row>
    <row r="36" spans="1:7" hidden="1">
      <c r="A36" s="2560">
        <v>3</v>
      </c>
      <c r="B36" s="2557" t="s">
        <v>2528</v>
      </c>
      <c r="C36" s="2557"/>
      <c r="D36" s="2557"/>
      <c r="E36" s="3473"/>
      <c r="F36" s="3473"/>
      <c r="G36" s="3473"/>
    </row>
    <row r="37" spans="1:7" hidden="1">
      <c r="A37" s="2560">
        <v>4</v>
      </c>
      <c r="B37" s="2557" t="s">
        <v>2529</v>
      </c>
      <c r="C37" s="2557"/>
      <c r="D37" s="2557"/>
      <c r="E37" s="3473"/>
      <c r="F37" s="3473"/>
      <c r="G37" s="3473"/>
    </row>
    <row r="38" spans="1:7" hidden="1">
      <c r="A38" s="3469" t="s">
        <v>2530</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2440</v>
      </c>
      <c r="B8" s="2497" t="s">
        <v>2442</v>
      </c>
      <c r="C8" s="2498"/>
      <c r="D8" s="749"/>
      <c r="E8" s="750"/>
      <c r="F8" s="750"/>
      <c r="G8" s="751"/>
    </row>
    <row r="9" spans="1:25" s="2184" customFormat="1" ht="13.5" customHeight="1">
      <c r="A9" s="2494" t="s">
        <v>2441</v>
      </c>
      <c r="B9" s="2497" t="s">
        <v>2443</v>
      </c>
      <c r="C9" s="2498"/>
      <c r="D9" s="749"/>
      <c r="E9" s="750"/>
      <c r="F9" s="750"/>
      <c r="G9" s="751"/>
    </row>
    <row r="10" spans="1:25" s="2184" customFormat="1" ht="36">
      <c r="A10" s="2494">
        <v>2</v>
      </c>
      <c r="B10" s="748" t="s">
        <v>613</v>
      </c>
      <c r="C10" s="749">
        <f>C11+C14+C15</f>
        <v>0</v>
      </c>
      <c r="D10" s="760">
        <f>'数据-汇总表'!E3</f>
        <v>59074.5</v>
      </c>
      <c r="E10" s="749">
        <f>'数据-取费表'!B31</f>
        <v>200</v>
      </c>
      <c r="F10" s="761"/>
      <c r="G10" s="759" t="s">
        <v>614</v>
      </c>
    </row>
    <row r="11" spans="1:25" s="2184" customFormat="1" ht="13.5" customHeight="1">
      <c r="A11" s="2494" t="s">
        <v>2440</v>
      </c>
      <c r="B11" s="752" t="s">
        <v>610</v>
      </c>
      <c r="C11" s="753">
        <f>'数据-取费表'!B29</f>
        <v>0</v>
      </c>
      <c r="D11" s="754"/>
      <c r="E11" s="753"/>
      <c r="F11" s="755"/>
      <c r="G11" s="2503" t="s">
        <v>2451</v>
      </c>
    </row>
    <row r="12" spans="1:25" s="2184" customFormat="1" ht="13.5" customHeight="1">
      <c r="A12" s="2501" t="s">
        <v>2448</v>
      </c>
      <c r="B12" s="756" t="s">
        <v>611</v>
      </c>
      <c r="C12" s="757">
        <f>ROUND(D12*E12/10000,0)</f>
        <v>0</v>
      </c>
      <c r="D12" s="758">
        <f>'数据-汇总表'!E5</f>
        <v>0</v>
      </c>
      <c r="E12" s="757">
        <f>'数据-取费表'!B27</f>
        <v>120</v>
      </c>
      <c r="F12" s="755"/>
      <c r="G12" s="759"/>
    </row>
    <row r="13" spans="1:25" s="2184" customFormat="1" ht="13.5" customHeight="1">
      <c r="A13" s="2501" t="s">
        <v>2447</v>
      </c>
      <c r="B13" s="756" t="s">
        <v>612</v>
      </c>
      <c r="C13" s="757">
        <f>ROUND(D13*E13/10000,0)</f>
        <v>709</v>
      </c>
      <c r="D13" s="758">
        <f>'数据-汇总表'!E6</f>
        <v>59074.5</v>
      </c>
      <c r="E13" s="757">
        <f>'数据-取费表'!B28</f>
        <v>120</v>
      </c>
      <c r="F13" s="755"/>
      <c r="G13" s="759"/>
    </row>
    <row r="14" spans="1:25" s="2184" customFormat="1" ht="13.5" customHeight="1">
      <c r="A14" s="2494" t="s">
        <v>2441</v>
      </c>
      <c r="B14" s="2500" t="s">
        <v>2444</v>
      </c>
      <c r="C14" s="2498"/>
      <c r="D14" s="758"/>
      <c r="E14" s="757"/>
      <c r="F14" s="2499"/>
      <c r="G14" s="2502" t="s">
        <v>2449</v>
      </c>
    </row>
    <row r="15" spans="1:25" s="2184" customFormat="1" ht="13.5" customHeight="1">
      <c r="A15" s="2494" t="s">
        <v>2446</v>
      </c>
      <c r="B15" s="2500" t="s">
        <v>2445</v>
      </c>
      <c r="C15" s="2498"/>
      <c r="D15" s="758"/>
      <c r="E15" s="757"/>
      <c r="F15" s="2499"/>
      <c r="G15" s="2502" t="s">
        <v>2450</v>
      </c>
    </row>
    <row r="16" spans="1:25" s="2185" customFormat="1" ht="48">
      <c r="A16" s="2494">
        <v>3</v>
      </c>
      <c r="B16" s="748" t="s">
        <v>615</v>
      </c>
      <c r="C16" s="2498"/>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0.25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0.752</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c r="E1" s="2651"/>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94" t="s">
        <v>522</v>
      </c>
      <c r="D4" s="3395"/>
      <c r="E4" s="3420" t="s">
        <v>523</v>
      </c>
      <c r="F4" s="3421"/>
      <c r="G4" s="3394" t="s">
        <v>524</v>
      </c>
      <c r="H4" s="3395"/>
      <c r="I4" s="3394" t="s">
        <v>525</v>
      </c>
      <c r="J4" s="3395"/>
      <c r="K4" s="853" t="s">
        <v>526</v>
      </c>
      <c r="L4" s="2134"/>
      <c r="M4" s="2135"/>
      <c r="N4" s="2135"/>
      <c r="O4" s="2135"/>
      <c r="P4" s="3396" t="s">
        <v>527</v>
      </c>
      <c r="Q4" s="3397"/>
      <c r="R4" s="3382" t="s">
        <v>523</v>
      </c>
      <c r="S4" s="3383"/>
      <c r="T4" s="3382" t="s">
        <v>524</v>
      </c>
      <c r="U4" s="3383"/>
      <c r="V4" s="3402" t="s">
        <v>525</v>
      </c>
      <c r="W4" s="3402"/>
      <c r="X4" s="1568"/>
      <c r="Y4" s="3382" t="s">
        <v>527</v>
      </c>
      <c r="Z4" s="3383"/>
      <c r="AA4" s="3377" t="s">
        <v>523</v>
      </c>
      <c r="AB4" s="3377" t="s">
        <v>524</v>
      </c>
      <c r="AC4" s="3377" t="s">
        <v>525</v>
      </c>
    </row>
    <row r="5" spans="1:29" ht="15">
      <c r="A5" s="515"/>
      <c r="B5" s="516"/>
      <c r="C5" s="3407" t="s">
        <v>2925</v>
      </c>
      <c r="D5" s="3406"/>
      <c r="E5" s="3422" t="s">
        <v>2926</v>
      </c>
      <c r="F5" s="3423"/>
      <c r="G5" s="3407" t="s">
        <v>2927</v>
      </c>
      <c r="H5" s="3406"/>
      <c r="I5" s="3407" t="s">
        <v>2928</v>
      </c>
      <c r="J5" s="3406"/>
      <c r="K5" s="854"/>
      <c r="L5" s="2134"/>
      <c r="M5" s="2135"/>
      <c r="N5" s="2135"/>
      <c r="O5" s="2135"/>
      <c r="P5" s="3398"/>
      <c r="Q5" s="3399"/>
      <c r="R5" s="3384"/>
      <c r="S5" s="3385"/>
      <c r="T5" s="3384"/>
      <c r="U5" s="3385"/>
      <c r="V5" s="3402"/>
      <c r="W5" s="3402"/>
      <c r="X5" s="1568"/>
      <c r="Y5" s="3384"/>
      <c r="Z5" s="3385"/>
      <c r="AA5" s="3378"/>
      <c r="AB5" s="3378"/>
      <c r="AC5" s="3378"/>
    </row>
    <row r="6" spans="1:29" ht="15.75" thickBot="1">
      <c r="A6" s="517"/>
      <c r="B6" s="518"/>
      <c r="C6" s="3424" t="s">
        <v>2929</v>
      </c>
      <c r="D6" s="3404"/>
      <c r="E6" s="3425" t="s">
        <v>2929</v>
      </c>
      <c r="F6" s="3426"/>
      <c r="G6" s="3424" t="s">
        <v>2929</v>
      </c>
      <c r="H6" s="3404"/>
      <c r="I6" s="3424" t="s">
        <v>2929</v>
      </c>
      <c r="J6" s="3404"/>
      <c r="K6" s="854" t="s">
        <v>528</v>
      </c>
      <c r="L6" s="2134"/>
      <c r="M6" s="2135"/>
      <c r="N6" s="2135"/>
      <c r="O6" s="2135"/>
      <c r="P6" s="3400"/>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0" t="s">
        <v>530</v>
      </c>
      <c r="Q7" s="3389"/>
      <c r="R7" s="1569" t="s">
        <v>13</v>
      </c>
      <c r="S7" s="1570">
        <f t="shared" ref="S7:S15" si="0">F7</f>
        <v>0</v>
      </c>
      <c r="T7" s="1569" t="s">
        <v>13</v>
      </c>
      <c r="U7" s="1570">
        <f t="shared" ref="U7:U15" si="1">H7</f>
        <v>0</v>
      </c>
      <c r="V7" s="1569" t="s">
        <v>13</v>
      </c>
      <c r="W7" s="1570">
        <f t="shared" ref="W7:W15"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0" t="s">
        <v>533</v>
      </c>
      <c r="Q8" s="3381"/>
      <c r="R8" s="1569" t="s">
        <v>13</v>
      </c>
      <c r="S8" s="1570">
        <f t="shared" si="0"/>
        <v>0</v>
      </c>
      <c r="T8" s="1569" t="s">
        <v>13</v>
      </c>
      <c r="U8" s="1570">
        <f t="shared" si="1"/>
        <v>0</v>
      </c>
      <c r="V8" s="1569" t="s">
        <v>13</v>
      </c>
      <c r="W8" s="1570">
        <f t="shared" si="2"/>
        <v>0</v>
      </c>
      <c r="X8" s="1571"/>
      <c r="Y8" s="3380" t="s">
        <v>533</v>
      </c>
      <c r="Z8" s="3381"/>
      <c r="AA8" s="1572" t="e">
        <f t="shared" ref="AA8:AA46" si="3">D8/F8</f>
        <v>#DIV/0!</v>
      </c>
      <c r="AB8" s="1572" t="e">
        <f t="shared" ref="AB8:AB46" si="4">D8/H8</f>
        <v>#DIV/0!</v>
      </c>
      <c r="AC8" s="1572" t="e">
        <f t="shared" ref="AC8:AC46" si="5">D8/J8</f>
        <v>#DIV/0!</v>
      </c>
    </row>
    <row r="9" spans="1:29" s="1220" customFormat="1" ht="15">
      <c r="A9" s="2939"/>
      <c r="B9" s="2946"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8"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40"/>
      <c r="B10" s="2945"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5"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8"/>
      <c r="Q11" s="1151" t="str">
        <f t="shared" si="6"/>
        <v>容积率</v>
      </c>
      <c r="R11" s="1569" t="s">
        <v>11</v>
      </c>
      <c r="S11" s="1570" t="e">
        <f t="shared" si="0"/>
        <v>#N/A</v>
      </c>
      <c r="T11" s="1569" t="s">
        <v>11</v>
      </c>
      <c r="U11" s="1570" t="e">
        <f t="shared" si="1"/>
        <v>#N/A</v>
      </c>
      <c r="V11" s="1569" t="s">
        <v>11</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8"/>
      <c r="Q12" s="1151">
        <f t="shared" si="6"/>
        <v>111</v>
      </c>
      <c r="R12" s="1569" t="s">
        <v>11</v>
      </c>
      <c r="S12" s="1570">
        <f t="shared" si="0"/>
        <v>100</v>
      </c>
      <c r="T12" s="1569" t="s">
        <v>11</v>
      </c>
      <c r="U12" s="1570">
        <f t="shared" si="1"/>
        <v>100</v>
      </c>
      <c r="V12" s="1569" t="s">
        <v>11</v>
      </c>
      <c r="W12" s="1570">
        <f t="shared" si="2"/>
        <v>100</v>
      </c>
      <c r="X12" s="1571"/>
      <c r="Y12" s="3341"/>
      <c r="Z12" s="1150">
        <f t="shared" si="7"/>
        <v>111</v>
      </c>
      <c r="AA12" s="1572">
        <f>D12/F12</f>
        <v>1</v>
      </c>
      <c r="AB12" s="1572">
        <f>D12/H12</f>
        <v>1</v>
      </c>
      <c r="AC12" s="1572">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8"/>
      <c r="Q13" s="1151">
        <f t="shared" si="6"/>
        <v>111</v>
      </c>
      <c r="R13" s="1569" t="s">
        <v>11</v>
      </c>
      <c r="S13" s="1570">
        <f t="shared" si="0"/>
        <v>100</v>
      </c>
      <c r="T13" s="1569" t="s">
        <v>11</v>
      </c>
      <c r="U13" s="1570">
        <f t="shared" si="1"/>
        <v>100</v>
      </c>
      <c r="V13" s="1569" t="s">
        <v>11</v>
      </c>
      <c r="W13" s="1570">
        <f t="shared" si="2"/>
        <v>100</v>
      </c>
      <c r="X13" s="1571"/>
      <c r="Y13" s="3341"/>
      <c r="Z13" s="1150">
        <f t="shared" si="7"/>
        <v>111</v>
      </c>
      <c r="AA13" s="1572">
        <f t="shared" si="3"/>
        <v>1</v>
      </c>
      <c r="AB13" s="1572">
        <f t="shared" si="4"/>
        <v>1</v>
      </c>
      <c r="AC13" s="1572">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8"/>
      <c r="Q14" s="1151">
        <f t="shared" si="6"/>
        <v>111</v>
      </c>
      <c r="R14" s="1569" t="s">
        <v>11</v>
      </c>
      <c r="S14" s="1570">
        <f t="shared" si="0"/>
        <v>100</v>
      </c>
      <c r="T14" s="1569" t="s">
        <v>11</v>
      </c>
      <c r="U14" s="1570">
        <f t="shared" si="1"/>
        <v>100</v>
      </c>
      <c r="V14" s="1569" t="s">
        <v>11</v>
      </c>
      <c r="W14" s="1570">
        <f t="shared" si="2"/>
        <v>100</v>
      </c>
      <c r="X14" s="1571"/>
      <c r="Y14" s="3341"/>
      <c r="Z14" s="1150">
        <f t="shared" si="7"/>
        <v>111</v>
      </c>
      <c r="AA14" s="1572">
        <f t="shared" si="3"/>
        <v>1</v>
      </c>
      <c r="AB14" s="1572">
        <f t="shared" si="4"/>
        <v>1</v>
      </c>
      <c r="AC14" s="1572">
        <f t="shared" si="5"/>
        <v>1</v>
      </c>
    </row>
    <row r="15" spans="1:29" ht="99.75">
      <c r="A15" s="293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0" t="s">
        <v>540</v>
      </c>
      <c r="Q15" s="1573" t="str">
        <f t="shared" si="6"/>
        <v>居住社区成熟度</v>
      </c>
      <c r="R15" s="1574" t="s">
        <v>11</v>
      </c>
      <c r="S15" s="1575">
        <f t="shared" si="0"/>
        <v>100</v>
      </c>
      <c r="T15" s="1574" t="s">
        <v>11</v>
      </c>
      <c r="U15" s="1575">
        <f t="shared" si="1"/>
        <v>100</v>
      </c>
      <c r="V15" s="1574" t="s">
        <v>11</v>
      </c>
      <c r="W15" s="1575">
        <f t="shared" si="2"/>
        <v>100</v>
      </c>
      <c r="X15" s="1568"/>
      <c r="Y15" s="3390"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1"/>
      <c r="Q17" s="1573" t="str">
        <f>B17</f>
        <v>交通便捷度</v>
      </c>
      <c r="R17" s="1574" t="s">
        <v>11</v>
      </c>
      <c r="S17" s="1575">
        <f>F17</f>
        <v>100</v>
      </c>
      <c r="T17" s="1574" t="s">
        <v>11</v>
      </c>
      <c r="U17" s="1575">
        <f>H17</f>
        <v>100</v>
      </c>
      <c r="V17" s="1574" t="s">
        <v>11</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91"/>
      <c r="Q18" s="1573"/>
      <c r="R18" s="1574"/>
      <c r="S18" s="1575"/>
      <c r="T18" s="1574"/>
      <c r="U18" s="1575"/>
      <c r="V18" s="1574"/>
      <c r="W18" s="1575"/>
      <c r="X18" s="1568"/>
      <c r="Y18" s="3391"/>
      <c r="Z18" s="1576"/>
      <c r="AA18" s="1577">
        <v>1</v>
      </c>
      <c r="AB18" s="1577">
        <v>1</v>
      </c>
      <c r="AC18" s="1577">
        <v>1</v>
      </c>
    </row>
    <row r="19" spans="1:29" ht="42.75">
      <c r="A19" s="532"/>
      <c r="B19" s="262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1"/>
      <c r="Q19" s="1573" t="str">
        <f>B19</f>
        <v>公共配套设施</v>
      </c>
      <c r="R19" s="1574" t="s">
        <v>11</v>
      </c>
      <c r="S19" s="1575">
        <f>F19</f>
        <v>100</v>
      </c>
      <c r="T19" s="1574" t="s">
        <v>11</v>
      </c>
      <c r="U19" s="1575">
        <f>H19</f>
        <v>100</v>
      </c>
      <c r="V19" s="1574" t="s">
        <v>11</v>
      </c>
      <c r="W19" s="1575">
        <f>J19</f>
        <v>100</v>
      </c>
      <c r="X19" s="1568"/>
      <c r="Y19" s="339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8.5">
      <c r="A21" s="532"/>
      <c r="B21" s="261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1"/>
      <c r="Q21" s="2604" t="str">
        <f>B21</f>
        <v>基础设施水平</v>
      </c>
      <c r="R21" s="1574" t="s">
        <v>11</v>
      </c>
      <c r="S21" s="1575">
        <f>F21</f>
        <v>100</v>
      </c>
      <c r="T21" s="1574" t="s">
        <v>11</v>
      </c>
      <c r="U21" s="1575">
        <f>H21</f>
        <v>100</v>
      </c>
      <c r="V21" s="1574" t="s">
        <v>11</v>
      </c>
      <c r="W21" s="1575">
        <f>J21</f>
        <v>100</v>
      </c>
      <c r="X21" s="2606"/>
      <c r="Y21" s="3391"/>
      <c r="Z21" s="2605" t="str">
        <f>Q21</f>
        <v>基础设施水平</v>
      </c>
      <c r="AA21" s="1577">
        <f>D21/F21</f>
        <v>1</v>
      </c>
      <c r="AB21" s="1577">
        <f>D21/H21</f>
        <v>1</v>
      </c>
      <c r="AC21" s="1577">
        <f>D21/J21</f>
        <v>1</v>
      </c>
    </row>
    <row r="22" spans="1:29" ht="15">
      <c r="A22" s="532"/>
      <c r="B22" s="922"/>
      <c r="C22" s="873"/>
      <c r="D22" s="555"/>
      <c r="E22" s="576"/>
      <c r="F22" s="557"/>
      <c r="G22" s="576"/>
      <c r="H22" s="555"/>
      <c r="I22" s="576"/>
      <c r="J22" s="555"/>
      <c r="K22" s="2624"/>
      <c r="L22" s="2143"/>
      <c r="M22" s="2135"/>
      <c r="N22" s="2135"/>
      <c r="O22" s="2142"/>
      <c r="P22" s="3391"/>
      <c r="Q22" s="2604"/>
      <c r="R22" s="1574"/>
      <c r="S22" s="1575"/>
      <c r="T22" s="1574"/>
      <c r="U22" s="1575"/>
      <c r="V22" s="1574"/>
      <c r="W22" s="1575"/>
      <c r="X22" s="2606"/>
      <c r="Y22" s="3391"/>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1"/>
      <c r="Q23" s="1573" t="str">
        <f>B23</f>
        <v>自然及人文环境</v>
      </c>
      <c r="R23" s="1574" t="s">
        <v>11</v>
      </c>
      <c r="S23" s="1575">
        <f>F23</f>
        <v>100</v>
      </c>
      <c r="T23" s="1574" t="s">
        <v>11</v>
      </c>
      <c r="U23" s="1575">
        <f>H23</f>
        <v>100</v>
      </c>
      <c r="V23" s="1574" t="s">
        <v>11</v>
      </c>
      <c r="W23" s="1575">
        <f>J23</f>
        <v>100</v>
      </c>
      <c r="X23" s="1568"/>
      <c r="Y23" s="339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91"/>
      <c r="Q24" s="1573"/>
      <c r="R24" s="1574"/>
      <c r="S24" s="1575"/>
      <c r="T24" s="1574"/>
      <c r="U24" s="1575"/>
      <c r="V24" s="1574"/>
      <c r="W24" s="1575"/>
      <c r="X24" s="1568"/>
      <c r="Y24" s="3391"/>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1"/>
      <c r="Q25" s="1573" t="str">
        <f t="shared" ref="Q25:Q46" si="8">B25</f>
        <v>楼层-1</v>
      </c>
      <c r="R25" s="1574" t="s">
        <v>11</v>
      </c>
      <c r="S25" s="1575">
        <f>F25</f>
        <v>100</v>
      </c>
      <c r="T25" s="1574" t="s">
        <v>11</v>
      </c>
      <c r="U25" s="1575">
        <f>H25</f>
        <v>100</v>
      </c>
      <c r="V25" s="1574" t="s">
        <v>11</v>
      </c>
      <c r="W25" s="1575">
        <f>J25</f>
        <v>100</v>
      </c>
      <c r="X25" s="1568"/>
      <c r="Y25" s="339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1"/>
      <c r="Q26" s="1573" t="str">
        <f t="shared" si="8"/>
        <v>朝向</v>
      </c>
      <c r="R26" s="1574" t="s">
        <v>11</v>
      </c>
      <c r="S26" s="1575">
        <f>F26</f>
        <v>100</v>
      </c>
      <c r="T26" s="1574" t="s">
        <v>11</v>
      </c>
      <c r="U26" s="1575">
        <f>H26</f>
        <v>100</v>
      </c>
      <c r="V26" s="1574" t="s">
        <v>11</v>
      </c>
      <c r="W26" s="1575">
        <f>J26</f>
        <v>100</v>
      </c>
      <c r="X26" s="1568"/>
      <c r="Y26" s="339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1"/>
      <c r="Q27" s="1151" t="str">
        <f t="shared" si="8"/>
        <v>道路级别</v>
      </c>
      <c r="R27" s="1569" t="s">
        <v>11</v>
      </c>
      <c r="S27" s="1570">
        <f>F27</f>
        <v>100</v>
      </c>
      <c r="T27" s="1569" t="s">
        <v>11</v>
      </c>
      <c r="U27" s="1570">
        <f>H27</f>
        <v>100</v>
      </c>
      <c r="V27" s="1569" t="s">
        <v>11</v>
      </c>
      <c r="W27" s="1570">
        <f>J27</f>
        <v>100</v>
      </c>
      <c r="X27" s="1571"/>
      <c r="Y27" s="339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1"/>
      <c r="Q28" s="1573">
        <f t="shared" si="8"/>
        <v>111</v>
      </c>
      <c r="R28" s="1574" t="s">
        <v>11</v>
      </c>
      <c r="S28" s="1575">
        <f t="shared" ref="S28:S46" si="9">F28</f>
        <v>100</v>
      </c>
      <c r="T28" s="1574" t="s">
        <v>11</v>
      </c>
      <c r="U28" s="1575">
        <f t="shared" ref="U28:U46" si="10">H28</f>
        <v>100</v>
      </c>
      <c r="V28" s="1574" t="s">
        <v>11</v>
      </c>
      <c r="W28" s="1575">
        <f t="shared" ref="W28:W46" si="11">J28</f>
        <v>100</v>
      </c>
      <c r="X28" s="1568"/>
      <c r="Y28" s="3391"/>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1"/>
      <c r="Q29" s="1573">
        <f t="shared" si="8"/>
        <v>111</v>
      </c>
      <c r="R29" s="1574" t="s">
        <v>11</v>
      </c>
      <c r="S29" s="1575">
        <f t="shared" si="9"/>
        <v>100</v>
      </c>
      <c r="T29" s="1574" t="s">
        <v>11</v>
      </c>
      <c r="U29" s="1575">
        <f t="shared" si="10"/>
        <v>100</v>
      </c>
      <c r="V29" s="1574" t="s">
        <v>11</v>
      </c>
      <c r="W29" s="1575">
        <f t="shared" si="11"/>
        <v>100</v>
      </c>
      <c r="X29" s="1568"/>
      <c r="Y29" s="3391"/>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1"/>
      <c r="Q30" s="1573">
        <f t="shared" si="8"/>
        <v>111</v>
      </c>
      <c r="R30" s="1574" t="s">
        <v>11</v>
      </c>
      <c r="S30" s="1575">
        <f t="shared" si="9"/>
        <v>100</v>
      </c>
      <c r="T30" s="1574" t="s">
        <v>11</v>
      </c>
      <c r="U30" s="1575">
        <f t="shared" si="10"/>
        <v>100</v>
      </c>
      <c r="V30" s="1574" t="s">
        <v>11</v>
      </c>
      <c r="W30" s="1575">
        <f t="shared" si="11"/>
        <v>100</v>
      </c>
      <c r="X30" s="1568"/>
      <c r="Y30" s="3391"/>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1"/>
      <c r="Q31" s="1573">
        <f t="shared" si="8"/>
        <v>111</v>
      </c>
      <c r="R31" s="1574" t="s">
        <v>11</v>
      </c>
      <c r="S31" s="1575">
        <f t="shared" si="9"/>
        <v>100</v>
      </c>
      <c r="T31" s="1574" t="s">
        <v>11</v>
      </c>
      <c r="U31" s="1575">
        <f t="shared" si="10"/>
        <v>100</v>
      </c>
      <c r="V31" s="1574" t="s">
        <v>11</v>
      </c>
      <c r="W31" s="1575">
        <f t="shared" si="11"/>
        <v>100</v>
      </c>
      <c r="X31" s="1568"/>
      <c r="Y31" s="3391"/>
      <c r="Z31" s="1576">
        <f t="shared" si="12"/>
        <v>111</v>
      </c>
      <c r="AA31" s="1577">
        <f t="shared" si="3"/>
        <v>1</v>
      </c>
      <c r="AB31" s="1577">
        <f t="shared" si="4"/>
        <v>1</v>
      </c>
      <c r="AC31" s="1577">
        <f t="shared" si="5"/>
        <v>1</v>
      </c>
    </row>
    <row r="32" spans="1:29" ht="15">
      <c r="A32" s="2932"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2" t="s">
        <v>550</v>
      </c>
      <c r="Q32" s="1573" t="str">
        <f t="shared" si="8"/>
        <v>建筑类型</v>
      </c>
      <c r="R32" s="1574" t="s">
        <v>11</v>
      </c>
      <c r="S32" s="1575">
        <f t="shared" si="9"/>
        <v>100</v>
      </c>
      <c r="T32" s="1574" t="s">
        <v>11</v>
      </c>
      <c r="U32" s="1575">
        <f t="shared" si="10"/>
        <v>100</v>
      </c>
      <c r="V32" s="1574" t="s">
        <v>11</v>
      </c>
      <c r="W32" s="1575">
        <f t="shared" si="11"/>
        <v>100</v>
      </c>
      <c r="X32" s="1568"/>
      <c r="Y32" s="3393"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3"/>
      <c r="Q33" s="1606" t="str">
        <f t="shared" si="8"/>
        <v>项目建筑规模</v>
      </c>
      <c r="R33" s="1578" t="s">
        <v>11</v>
      </c>
      <c r="S33" s="1579" t="e">
        <f t="shared" si="9"/>
        <v>#N/A</v>
      </c>
      <c r="T33" s="1578" t="s">
        <v>11</v>
      </c>
      <c r="U33" s="1579" t="e">
        <f t="shared" si="10"/>
        <v>#N/A</v>
      </c>
      <c r="V33" s="1578" t="s">
        <v>11</v>
      </c>
      <c r="W33" s="1579" t="e">
        <f t="shared" si="11"/>
        <v>#N/A</v>
      </c>
      <c r="X33" s="1580"/>
      <c r="Y33" s="3393"/>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3"/>
      <c r="Q34" s="1573" t="str">
        <f t="shared" si="8"/>
        <v>建筑结构</v>
      </c>
      <c r="R34" s="1574" t="s">
        <v>11</v>
      </c>
      <c r="S34" s="1575">
        <f t="shared" si="9"/>
        <v>100</v>
      </c>
      <c r="T34" s="1574" t="s">
        <v>11</v>
      </c>
      <c r="U34" s="1575">
        <f t="shared" si="10"/>
        <v>100</v>
      </c>
      <c r="V34" s="1574" t="s">
        <v>11</v>
      </c>
      <c r="W34" s="1575">
        <f t="shared" si="11"/>
        <v>100</v>
      </c>
      <c r="X34" s="1568"/>
      <c r="Y34" s="3393"/>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3"/>
      <c r="Q35" s="1573" t="str">
        <f t="shared" si="8"/>
        <v>建筑品质</v>
      </c>
      <c r="R35" s="1574" t="s">
        <v>11</v>
      </c>
      <c r="S35" s="1575">
        <f t="shared" si="9"/>
        <v>100</v>
      </c>
      <c r="T35" s="1574" t="s">
        <v>11</v>
      </c>
      <c r="U35" s="1575">
        <f t="shared" si="10"/>
        <v>100</v>
      </c>
      <c r="V35" s="1574" t="s">
        <v>11</v>
      </c>
      <c r="W35" s="1575">
        <f t="shared" si="11"/>
        <v>100</v>
      </c>
      <c r="X35" s="1568"/>
      <c r="Y35" s="3393"/>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3"/>
      <c r="Q36" s="1573" t="str">
        <f t="shared" si="8"/>
        <v>公共部分装修</v>
      </c>
      <c r="R36" s="1574" t="s">
        <v>11</v>
      </c>
      <c r="S36" s="1575">
        <f t="shared" si="9"/>
        <v>100</v>
      </c>
      <c r="T36" s="1574" t="s">
        <v>11</v>
      </c>
      <c r="U36" s="1575">
        <f t="shared" si="10"/>
        <v>100</v>
      </c>
      <c r="V36" s="1574" t="s">
        <v>11</v>
      </c>
      <c r="W36" s="1575">
        <f t="shared" si="11"/>
        <v>100</v>
      </c>
      <c r="X36" s="1568"/>
      <c r="Y36" s="3393"/>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3"/>
      <c r="Q37" s="1151" t="str">
        <f t="shared" si="8"/>
        <v>成新度</v>
      </c>
      <c r="R37" s="1569" t="s">
        <v>11</v>
      </c>
      <c r="S37" s="1570" t="e">
        <f t="shared" si="9"/>
        <v>#N/A</v>
      </c>
      <c r="T37" s="1569" t="s">
        <v>11</v>
      </c>
      <c r="U37" s="1570" t="e">
        <f t="shared" si="10"/>
        <v>#N/A</v>
      </c>
      <c r="V37" s="1569" t="s">
        <v>11</v>
      </c>
      <c r="W37" s="1570" t="e">
        <f t="shared" si="11"/>
        <v>#N/A</v>
      </c>
      <c r="X37" s="1571"/>
      <c r="Y37" s="3393"/>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3" t="s">
        <v>550</v>
      </c>
      <c r="Q38" s="1573" t="str">
        <f t="shared" si="8"/>
        <v>物业管理</v>
      </c>
      <c r="R38" s="1574" t="s">
        <v>11</v>
      </c>
      <c r="S38" s="1575">
        <f t="shared" si="9"/>
        <v>100</v>
      </c>
      <c r="T38" s="1574" t="s">
        <v>11</v>
      </c>
      <c r="U38" s="1575">
        <f t="shared" si="10"/>
        <v>100</v>
      </c>
      <c r="V38" s="1574" t="s">
        <v>11</v>
      </c>
      <c r="W38" s="1575">
        <f t="shared" si="11"/>
        <v>100</v>
      </c>
      <c r="X38" s="1568"/>
      <c r="Y38" s="3393" t="s">
        <v>550</v>
      </c>
      <c r="Z38" s="1576" t="str">
        <f t="shared" si="12"/>
        <v>物业管理</v>
      </c>
      <c r="AA38" s="1577">
        <f t="shared" si="3"/>
        <v>1</v>
      </c>
      <c r="AB38" s="1577">
        <f t="shared" si="4"/>
        <v>1</v>
      </c>
      <c r="AC38" s="1577">
        <f t="shared" si="5"/>
        <v>1</v>
      </c>
    </row>
    <row r="39" spans="1:29" ht="15">
      <c r="A39" s="594"/>
      <c r="B39" s="1896"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3"/>
      <c r="Q39" s="1573" t="str">
        <f t="shared" si="8"/>
        <v>市政基础设施</v>
      </c>
      <c r="R39" s="1574" t="s">
        <v>11</v>
      </c>
      <c r="S39" s="1575">
        <f t="shared" si="9"/>
        <v>100</v>
      </c>
      <c r="T39" s="1574" t="s">
        <v>11</v>
      </c>
      <c r="U39" s="1575">
        <f t="shared" si="10"/>
        <v>100</v>
      </c>
      <c r="V39" s="1574" t="s">
        <v>11</v>
      </c>
      <c r="W39" s="1575">
        <f t="shared" si="11"/>
        <v>100</v>
      </c>
      <c r="X39" s="1568"/>
      <c r="Y39" s="3393"/>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3"/>
      <c r="Q40" s="1573" t="str">
        <f t="shared" si="8"/>
        <v>房型</v>
      </c>
      <c r="R40" s="1574" t="s">
        <v>11</v>
      </c>
      <c r="S40" s="1575">
        <f t="shared" si="9"/>
        <v>100</v>
      </c>
      <c r="T40" s="1574" t="s">
        <v>11</v>
      </c>
      <c r="U40" s="1575">
        <f t="shared" si="10"/>
        <v>100</v>
      </c>
      <c r="V40" s="1574" t="s">
        <v>11</v>
      </c>
      <c r="W40" s="1575">
        <f t="shared" si="11"/>
        <v>100</v>
      </c>
      <c r="X40" s="1568"/>
      <c r="Y40" s="3393"/>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3"/>
      <c r="Q41" s="1606" t="str">
        <f t="shared" si="8"/>
        <v>单套/主力户型建筑面积</v>
      </c>
      <c r="R41" s="1578" t="s">
        <v>11</v>
      </c>
      <c r="S41" s="1579">
        <f t="shared" si="9"/>
        <v>100</v>
      </c>
      <c r="T41" s="1578" t="s">
        <v>11</v>
      </c>
      <c r="U41" s="1579">
        <f t="shared" si="10"/>
        <v>100</v>
      </c>
      <c r="V41" s="1578" t="s">
        <v>11</v>
      </c>
      <c r="W41" s="1579">
        <f t="shared" si="11"/>
        <v>100</v>
      </c>
      <c r="X41" s="1580"/>
      <c r="Y41" s="3393"/>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3"/>
      <c r="Q42" s="1573" t="str">
        <f t="shared" si="8"/>
        <v>内部装修</v>
      </c>
      <c r="R42" s="1574" t="s">
        <v>11</v>
      </c>
      <c r="S42" s="1575">
        <f t="shared" si="9"/>
        <v>100</v>
      </c>
      <c r="T42" s="1574" t="s">
        <v>11</v>
      </c>
      <c r="U42" s="1575">
        <f t="shared" si="10"/>
        <v>100</v>
      </c>
      <c r="V42" s="1574" t="s">
        <v>11</v>
      </c>
      <c r="W42" s="1575">
        <f t="shared" si="11"/>
        <v>100</v>
      </c>
      <c r="X42" s="1568"/>
      <c r="Y42" s="3393"/>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3"/>
      <c r="Q43" s="1573" t="str">
        <f t="shared" si="8"/>
        <v>内部装修维护情况</v>
      </c>
      <c r="R43" s="1574" t="s">
        <v>11</v>
      </c>
      <c r="S43" s="1575">
        <f t="shared" si="9"/>
        <v>100</v>
      </c>
      <c r="T43" s="1574" t="s">
        <v>11</v>
      </c>
      <c r="U43" s="1575">
        <f t="shared" si="10"/>
        <v>100</v>
      </c>
      <c r="V43" s="1574" t="s">
        <v>11</v>
      </c>
      <c r="W43" s="1575">
        <f t="shared" si="11"/>
        <v>100</v>
      </c>
      <c r="X43" s="1568"/>
      <c r="Y43" s="3393"/>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3"/>
      <c r="Q44" s="1151">
        <f t="shared" si="8"/>
        <v>111</v>
      </c>
      <c r="R44" s="1569" t="s">
        <v>11</v>
      </c>
      <c r="S44" s="1570">
        <f t="shared" si="9"/>
        <v>100</v>
      </c>
      <c r="T44" s="1569" t="s">
        <v>11</v>
      </c>
      <c r="U44" s="1570">
        <f t="shared" si="10"/>
        <v>100</v>
      </c>
      <c r="V44" s="1569" t="s">
        <v>11</v>
      </c>
      <c r="W44" s="1570">
        <f t="shared" si="11"/>
        <v>100</v>
      </c>
      <c r="X44" s="1571"/>
      <c r="Y44" s="3393"/>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3"/>
      <c r="Q45" s="1573">
        <f t="shared" si="8"/>
        <v>111</v>
      </c>
      <c r="R45" s="1574" t="s">
        <v>11</v>
      </c>
      <c r="S45" s="1575">
        <f t="shared" si="9"/>
        <v>100</v>
      </c>
      <c r="T45" s="1574" t="s">
        <v>11</v>
      </c>
      <c r="U45" s="1575">
        <f t="shared" si="10"/>
        <v>100</v>
      </c>
      <c r="V45" s="1574" t="s">
        <v>11</v>
      </c>
      <c r="W45" s="1575">
        <f t="shared" si="11"/>
        <v>100</v>
      </c>
      <c r="X45" s="1568"/>
      <c r="Y45" s="3393"/>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2"/>
      <c r="Q46" s="1573">
        <f t="shared" si="8"/>
        <v>111</v>
      </c>
      <c r="R46" s="1574" t="s">
        <v>10</v>
      </c>
      <c r="S46" s="1575">
        <f t="shared" si="9"/>
        <v>100</v>
      </c>
      <c r="T46" s="1574" t="s">
        <v>10</v>
      </c>
      <c r="U46" s="1575">
        <f t="shared" si="10"/>
        <v>100</v>
      </c>
      <c r="V46" s="1574" t="s">
        <v>10</v>
      </c>
      <c r="W46" s="1575">
        <f t="shared" si="11"/>
        <v>100</v>
      </c>
      <c r="X46" s="1568"/>
      <c r="Y46" s="3492"/>
      <c r="Z46" s="1576">
        <f t="shared" si="12"/>
        <v>111</v>
      </c>
      <c r="AA46" s="1577">
        <f t="shared" si="3"/>
        <v>1</v>
      </c>
      <c r="AB46" s="1577">
        <f t="shared" si="4"/>
        <v>1</v>
      </c>
      <c r="AC46" s="1577">
        <f t="shared" si="5"/>
        <v>1</v>
      </c>
    </row>
    <row r="47" spans="1:29" ht="15">
      <c r="A47" s="607" t="s">
        <v>736</v>
      </c>
      <c r="B47" s="887"/>
      <c r="C47" s="2652" t="s">
        <v>9</v>
      </c>
      <c r="D47" s="2653"/>
      <c r="E47" s="2654"/>
      <c r="F47" s="2655"/>
      <c r="G47" s="2656"/>
      <c r="H47" s="2657"/>
      <c r="I47" s="2654"/>
      <c r="J47" s="2657"/>
      <c r="K47" s="1607"/>
      <c r="L47" s="2145"/>
      <c r="M47" s="2146"/>
      <c r="N47" s="2135"/>
      <c r="O47" s="2146"/>
      <c r="P47" s="3388" t="str">
        <f>A47</f>
        <v>成交单价（元/平方米）</v>
      </c>
      <c r="Q47" s="3388"/>
      <c r="R47" s="3491">
        <f>E47</f>
        <v>0</v>
      </c>
      <c r="S47" s="3491"/>
      <c r="T47" s="3491">
        <f>G47</f>
        <v>0</v>
      </c>
      <c r="U47" s="3491"/>
      <c r="V47" s="3491">
        <f>I47</f>
        <v>0</v>
      </c>
      <c r="W47" s="3491"/>
      <c r="X47" s="1560"/>
      <c r="Y47" s="1582"/>
      <c r="Z47" s="1560"/>
      <c r="AA47" s="1560"/>
      <c r="AB47" s="1560"/>
      <c r="AC47" s="1560"/>
    </row>
    <row r="48" spans="1:29" ht="15.75" thickBot="1">
      <c r="A48" s="615" t="s">
        <v>2759</v>
      </c>
      <c r="B48" s="888"/>
      <c r="C48" s="2658" t="e">
        <f>R49</f>
        <v>#DIV/0!</v>
      </c>
      <c r="D48" s="2659"/>
      <c r="E48" s="2660" t="e">
        <f>R48</f>
        <v>#DIV/0!</v>
      </c>
      <c r="F48" s="2660"/>
      <c r="G48" s="2658" t="e">
        <f>T48</f>
        <v>#DIV/0!</v>
      </c>
      <c r="H48" s="2659"/>
      <c r="I48" s="2660" t="e">
        <f>V48</f>
        <v>#DIV/0!</v>
      </c>
      <c r="J48" s="2659"/>
      <c r="K48" s="1608"/>
      <c r="L48" s="2145"/>
      <c r="M48" s="2146"/>
      <c r="N48" s="2146"/>
      <c r="O48" s="2146"/>
      <c r="P48" s="3388" t="str">
        <f>A48</f>
        <v>比较价格（元/平方米）</v>
      </c>
      <c r="Q48" s="3388"/>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60"/>
      <c r="Y48" s="1560"/>
      <c r="Z48" s="1560"/>
      <c r="AA48" s="1560"/>
      <c r="AB48" s="1560"/>
      <c r="AC48" s="1560"/>
    </row>
    <row r="49" spans="1:29" ht="15.75" thickBot="1">
      <c r="A49" s="621" t="s">
        <v>2931</v>
      </c>
      <c r="B49" s="622"/>
      <c r="C49" s="2661" t="e">
        <f>R49</f>
        <v>#DIV/0!</v>
      </c>
      <c r="D49" s="2661"/>
      <c r="E49" s="2661"/>
      <c r="F49" s="2661"/>
      <c r="G49" s="2661"/>
      <c r="H49" s="2661"/>
      <c r="I49" s="2661"/>
      <c r="J49" s="2661"/>
      <c r="K49" s="1609"/>
      <c r="L49" s="2145"/>
      <c r="M49" s="2146"/>
      <c r="N49" s="2146"/>
      <c r="O49" s="2146"/>
      <c r="P49" s="3411" t="str">
        <f>A49</f>
        <v>估价对象XX用房的比较价格（楼面单价，元/平方米）</v>
      </c>
      <c r="Q49" s="3412"/>
      <c r="R49" s="3490" t="e">
        <f>IF(F1="售价",ROUND(AVERAGE(R48:V48),0),ROUND(AVERAGE(R48:V48),1))</f>
        <v>#DIV/0!</v>
      </c>
      <c r="S49" s="3490"/>
      <c r="T49" s="3490"/>
      <c r="U49" s="3490"/>
      <c r="V49" s="3490"/>
      <c r="W49" s="349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3">EDATE(D58,-1)</f>
        <v>43160</v>
      </c>
      <c r="F58" s="2829">
        <f t="shared" si="13"/>
        <v>43132</v>
      </c>
      <c r="G58" s="2829">
        <f t="shared" si="13"/>
        <v>43101</v>
      </c>
      <c r="H58" s="2829">
        <f t="shared" si="13"/>
        <v>43070</v>
      </c>
      <c r="I58" s="2829">
        <f t="shared" si="13"/>
        <v>43040</v>
      </c>
      <c r="J58" s="2829">
        <f t="shared" si="13"/>
        <v>43009</v>
      </c>
      <c r="K58" s="2829">
        <f t="shared" si="13"/>
        <v>42979</v>
      </c>
      <c r="L58" s="2829">
        <f t="shared" si="13"/>
        <v>42948</v>
      </c>
      <c r="M58" s="2829">
        <f t="shared" si="13"/>
        <v>42917</v>
      </c>
      <c r="N58" s="2829">
        <f t="shared" si="13"/>
        <v>42887</v>
      </c>
      <c r="O58" s="2829">
        <f t="shared" si="13"/>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2557</v>
      </c>
      <c r="C82" s="2623" t="s">
        <v>2558</v>
      </c>
      <c r="D82" s="2623" t="s">
        <v>2559</v>
      </c>
      <c r="E82" s="2623" t="s">
        <v>2560</v>
      </c>
      <c r="F82" s="2623" t="s">
        <v>2561</v>
      </c>
      <c r="G82" s="2623" t="s">
        <v>2562</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94" t="s">
        <v>522</v>
      </c>
      <c r="D4" s="3395"/>
      <c r="E4" s="3420" t="s">
        <v>523</v>
      </c>
      <c r="F4" s="3421"/>
      <c r="G4" s="3394" t="s">
        <v>524</v>
      </c>
      <c r="H4" s="3395"/>
      <c r="I4" s="3394" t="s">
        <v>525</v>
      </c>
      <c r="J4" s="3395"/>
      <c r="K4" s="514" t="s">
        <v>526</v>
      </c>
      <c r="L4" s="2134"/>
      <c r="M4" s="2135"/>
      <c r="N4" s="2135"/>
      <c r="O4" s="2135"/>
      <c r="P4" s="3396" t="s">
        <v>527</v>
      </c>
      <c r="Q4" s="3397"/>
      <c r="R4" s="3382" t="s">
        <v>523</v>
      </c>
      <c r="S4" s="3383"/>
      <c r="T4" s="3382" t="s">
        <v>524</v>
      </c>
      <c r="U4" s="3383"/>
      <c r="V4" s="3402" t="s">
        <v>525</v>
      </c>
      <c r="W4" s="3402"/>
      <c r="X4" s="1568"/>
      <c r="Y4" s="3382" t="s">
        <v>527</v>
      </c>
      <c r="Z4" s="3383"/>
      <c r="AA4" s="3377" t="s">
        <v>523</v>
      </c>
      <c r="AB4" s="3402" t="s">
        <v>524</v>
      </c>
      <c r="AC4" s="3377" t="s">
        <v>525</v>
      </c>
    </row>
    <row r="5" spans="1:29" ht="15">
      <c r="A5" s="515"/>
      <c r="B5" s="516"/>
      <c r="C5" s="3407" t="s">
        <v>2925</v>
      </c>
      <c r="D5" s="3406"/>
      <c r="E5" s="3422" t="s">
        <v>2926</v>
      </c>
      <c r="F5" s="3423"/>
      <c r="G5" s="3407" t="s">
        <v>2927</v>
      </c>
      <c r="H5" s="3406"/>
      <c r="I5" s="3407" t="s">
        <v>2928</v>
      </c>
      <c r="J5" s="3406"/>
      <c r="K5" s="514"/>
      <c r="L5" s="2134"/>
      <c r="M5" s="2135"/>
      <c r="N5" s="2135"/>
      <c r="O5" s="2135"/>
      <c r="P5" s="3398"/>
      <c r="Q5" s="3399"/>
      <c r="R5" s="3384"/>
      <c r="S5" s="3385"/>
      <c r="T5" s="3384"/>
      <c r="U5" s="3385"/>
      <c r="V5" s="3402"/>
      <c r="W5" s="3402"/>
      <c r="X5" s="1568"/>
      <c r="Y5" s="3384"/>
      <c r="Z5" s="3385"/>
      <c r="AA5" s="3378"/>
      <c r="AB5" s="3402"/>
      <c r="AC5" s="3378"/>
    </row>
    <row r="6" spans="1:29" ht="15.75" thickBot="1">
      <c r="A6" s="517"/>
      <c r="B6" s="518"/>
      <c r="C6" s="3424" t="s">
        <v>2929</v>
      </c>
      <c r="D6" s="3404"/>
      <c r="E6" s="3425" t="s">
        <v>2929</v>
      </c>
      <c r="F6" s="3426"/>
      <c r="G6" s="3424" t="s">
        <v>2929</v>
      </c>
      <c r="H6" s="3404"/>
      <c r="I6" s="3424" t="s">
        <v>2929</v>
      </c>
      <c r="J6" s="3404"/>
      <c r="K6" s="514" t="s">
        <v>528</v>
      </c>
      <c r="L6" s="2134"/>
      <c r="M6" s="2135"/>
      <c r="N6" s="2135"/>
      <c r="O6" s="2135"/>
      <c r="P6" s="3400"/>
      <c r="Q6" s="3401"/>
      <c r="R6" s="3384"/>
      <c r="S6" s="3385"/>
      <c r="T6" s="3386"/>
      <c r="U6" s="3387"/>
      <c r="V6" s="3402"/>
      <c r="W6" s="3402"/>
      <c r="X6" s="1568"/>
      <c r="Y6" s="3386"/>
      <c r="Z6" s="3387"/>
      <c r="AA6" s="3379"/>
      <c r="AB6" s="3402"/>
      <c r="AC6" s="3379"/>
    </row>
    <row r="7" spans="1:29" s="1220" customFormat="1" ht="15.75" thickBot="1">
      <c r="A7" s="2937"/>
      <c r="B7" s="2944" t="s">
        <v>529</v>
      </c>
      <c r="C7" s="519">
        <f>'数据-取费表'!B2</f>
        <v>43244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0" t="s">
        <v>530</v>
      </c>
      <c r="Q7" s="3389"/>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46" si="3">D8/F8</f>
        <v>#DIV/0!</v>
      </c>
      <c r="AB8" s="1572" t="e">
        <f t="shared" ref="AB8:AB46" si="4">D8/H8</f>
        <v>#DIV/0!</v>
      </c>
      <c r="AC8" s="1572" t="e">
        <f t="shared" ref="AC8:AC46" si="5">D8/J8</f>
        <v>#DIV/0!</v>
      </c>
    </row>
    <row r="9" spans="1:29" s="1220" customFormat="1" ht="15">
      <c r="A9" s="2939"/>
      <c r="B9" s="2946"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8"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40"/>
      <c r="B10" s="2945"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8"/>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8"/>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35"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0" t="s">
        <v>540</v>
      </c>
      <c r="Q15" s="1573" t="str">
        <f t="shared" si="6"/>
        <v>商业繁华度</v>
      </c>
      <c r="R15" s="1574" t="s">
        <v>8</v>
      </c>
      <c r="S15" s="1575">
        <f t="shared" si="0"/>
        <v>100</v>
      </c>
      <c r="T15" s="1574" t="s">
        <v>8</v>
      </c>
      <c r="U15" s="1575">
        <f t="shared" si="1"/>
        <v>100</v>
      </c>
      <c r="V15" s="1574" t="s">
        <v>8</v>
      </c>
      <c r="W15" s="1575">
        <f t="shared" si="2"/>
        <v>100</v>
      </c>
      <c r="X15" s="1568"/>
      <c r="Y15" s="339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1"/>
      <c r="Q18" s="1573"/>
      <c r="R18" s="1574"/>
      <c r="S18" s="1575"/>
      <c r="T18" s="1574"/>
      <c r="U18" s="1575"/>
      <c r="V18" s="1574"/>
      <c r="W18" s="1575"/>
      <c r="X18" s="1568"/>
      <c r="Y18" s="3391"/>
      <c r="Z18" s="1576"/>
      <c r="AA18" s="1577">
        <v>1</v>
      </c>
      <c r="AB18" s="1577">
        <v>1</v>
      </c>
      <c r="AC18" s="1577">
        <v>1</v>
      </c>
    </row>
    <row r="19" spans="1:29" ht="42.75">
      <c r="A19" s="532"/>
      <c r="B19" s="262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8.5">
      <c r="A21" s="532"/>
      <c r="B21" s="261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1"/>
      <c r="Q21" s="2604" t="str">
        <f>B21</f>
        <v>基础设施水平</v>
      </c>
      <c r="R21" s="1574" t="s">
        <v>8</v>
      </c>
      <c r="S21" s="1575">
        <f>F21</f>
        <v>100</v>
      </c>
      <c r="T21" s="1574" t="s">
        <v>8</v>
      </c>
      <c r="U21" s="1575">
        <f>H21</f>
        <v>100</v>
      </c>
      <c r="V21" s="1574" t="s">
        <v>8</v>
      </c>
      <c r="W21" s="1575">
        <f>J21</f>
        <v>100</v>
      </c>
      <c r="X21" s="2606"/>
      <c r="Y21" s="3391"/>
      <c r="Z21" s="2605" t="str">
        <f>Q21</f>
        <v>基础设施水平</v>
      </c>
      <c r="AA21" s="1577">
        <f>D21/F21</f>
        <v>1</v>
      </c>
      <c r="AB21" s="1577">
        <f>D21/H21</f>
        <v>1</v>
      </c>
      <c r="AC21" s="1577">
        <f>D21/J21</f>
        <v>1</v>
      </c>
    </row>
    <row r="22" spans="1:29" ht="15">
      <c r="A22" s="532"/>
      <c r="B22" s="922"/>
      <c r="C22" s="873"/>
      <c r="D22" s="555"/>
      <c r="E22" s="576"/>
      <c r="F22" s="557"/>
      <c r="G22" s="576"/>
      <c r="H22" s="555"/>
      <c r="I22" s="576"/>
      <c r="J22" s="555"/>
      <c r="K22" s="2627"/>
      <c r="L22" s="2143"/>
      <c r="M22" s="2135"/>
      <c r="N22" s="2135"/>
      <c r="O22" s="2142"/>
      <c r="P22" s="3391"/>
      <c r="Q22" s="2604"/>
      <c r="R22" s="1574"/>
      <c r="S22" s="1575"/>
      <c r="T22" s="1574"/>
      <c r="U22" s="1575"/>
      <c r="V22" s="1574"/>
      <c r="W22" s="1575"/>
      <c r="X22" s="2606"/>
      <c r="Y22" s="3391"/>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1"/>
      <c r="Q23" s="1573" t="str">
        <f>B23</f>
        <v>自然及人文环境</v>
      </c>
      <c r="R23" s="1574" t="s">
        <v>8</v>
      </c>
      <c r="S23" s="1575">
        <f>F23</f>
        <v>100</v>
      </c>
      <c r="T23" s="1574" t="s">
        <v>8</v>
      </c>
      <c r="U23" s="1575">
        <f>H23</f>
        <v>100</v>
      </c>
      <c r="V23" s="1574" t="s">
        <v>8</v>
      </c>
      <c r="W23" s="1575">
        <f>J23</f>
        <v>100</v>
      </c>
      <c r="X23" s="1568"/>
      <c r="Y23" s="339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91"/>
      <c r="Q24" s="1573"/>
      <c r="R24" s="1574"/>
      <c r="S24" s="1575"/>
      <c r="T24" s="1574"/>
      <c r="U24" s="1575"/>
      <c r="V24" s="1574"/>
      <c r="W24" s="1575"/>
      <c r="X24" s="1568"/>
      <c r="Y24" s="339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1"/>
      <c r="Q25" s="1573" t="str">
        <f t="shared" ref="Q25:Q46" si="8">B25</f>
        <v>临街状况</v>
      </c>
      <c r="R25" s="1574" t="s">
        <v>8</v>
      </c>
      <c r="S25" s="1575">
        <f>F25</f>
        <v>100</v>
      </c>
      <c r="T25" s="1574" t="s">
        <v>8</v>
      </c>
      <c r="U25" s="1575">
        <f>H25</f>
        <v>100</v>
      </c>
      <c r="V25" s="1574" t="s">
        <v>8</v>
      </c>
      <c r="W25" s="1575">
        <f>J25</f>
        <v>100</v>
      </c>
      <c r="X25" s="1568"/>
      <c r="Y25" s="339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1"/>
      <c r="Q26" s="1573" t="str">
        <f t="shared" si="8"/>
        <v>平面位置/可视性</v>
      </c>
      <c r="R26" s="1574" t="s">
        <v>8</v>
      </c>
      <c r="S26" s="1575">
        <f>F26</f>
        <v>100</v>
      </c>
      <c r="T26" s="1574" t="s">
        <v>8</v>
      </c>
      <c r="U26" s="1575">
        <f>H26</f>
        <v>100</v>
      </c>
      <c r="V26" s="1574" t="s">
        <v>8</v>
      </c>
      <c r="W26" s="1575">
        <f>J26</f>
        <v>100</v>
      </c>
      <c r="X26" s="1568"/>
      <c r="Y26" s="339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1"/>
      <c r="Q27" s="1151" t="str">
        <f t="shared" si="8"/>
        <v>人流量</v>
      </c>
      <c r="R27" s="1569" t="s">
        <v>8</v>
      </c>
      <c r="S27" s="1570">
        <f>F27</f>
        <v>100</v>
      </c>
      <c r="T27" s="1569" t="s">
        <v>8</v>
      </c>
      <c r="U27" s="1570">
        <f>H27</f>
        <v>100</v>
      </c>
      <c r="V27" s="1569" t="s">
        <v>8</v>
      </c>
      <c r="W27" s="1570">
        <f>J27</f>
        <v>100</v>
      </c>
      <c r="X27" s="1571"/>
      <c r="Y27" s="339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1"/>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91"/>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1"/>
      <c r="Q29" s="1573">
        <f t="shared" si="8"/>
        <v>111</v>
      </c>
      <c r="R29" s="1574" t="s">
        <v>8</v>
      </c>
      <c r="S29" s="1575">
        <f t="shared" si="9"/>
        <v>100</v>
      </c>
      <c r="T29" s="1574" t="s">
        <v>8</v>
      </c>
      <c r="U29" s="1575">
        <f t="shared" si="10"/>
        <v>100</v>
      </c>
      <c r="V29" s="1574" t="s">
        <v>8</v>
      </c>
      <c r="W29" s="1575">
        <f t="shared" si="11"/>
        <v>100</v>
      </c>
      <c r="X29" s="1568"/>
      <c r="Y29" s="3391"/>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1"/>
      <c r="Q30" s="1573">
        <f t="shared" si="8"/>
        <v>111</v>
      </c>
      <c r="R30" s="1574" t="s">
        <v>8</v>
      </c>
      <c r="S30" s="1575">
        <f t="shared" si="9"/>
        <v>100</v>
      </c>
      <c r="T30" s="1574" t="s">
        <v>8</v>
      </c>
      <c r="U30" s="1575">
        <f t="shared" si="10"/>
        <v>100</v>
      </c>
      <c r="V30" s="1574" t="s">
        <v>8</v>
      </c>
      <c r="W30" s="1575">
        <f t="shared" si="11"/>
        <v>100</v>
      </c>
      <c r="X30" s="1568"/>
      <c r="Y30" s="3391"/>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1"/>
      <c r="Q31" s="1573">
        <f t="shared" si="8"/>
        <v>111</v>
      </c>
      <c r="R31" s="1574" t="s">
        <v>8</v>
      </c>
      <c r="S31" s="1575">
        <f t="shared" si="9"/>
        <v>100</v>
      </c>
      <c r="T31" s="1574" t="s">
        <v>8</v>
      </c>
      <c r="U31" s="1575">
        <f t="shared" si="10"/>
        <v>100</v>
      </c>
      <c r="V31" s="1574" t="s">
        <v>8</v>
      </c>
      <c r="W31" s="1575">
        <f t="shared" si="11"/>
        <v>100</v>
      </c>
      <c r="X31" s="1568"/>
      <c r="Y31" s="3391"/>
      <c r="Z31" s="1576">
        <f t="shared" si="12"/>
        <v>111</v>
      </c>
      <c r="AA31" s="1577">
        <f t="shared" si="3"/>
        <v>1</v>
      </c>
      <c r="AB31" s="1577">
        <f t="shared" si="4"/>
        <v>1</v>
      </c>
      <c r="AC31" s="1577">
        <f t="shared" si="5"/>
        <v>1</v>
      </c>
    </row>
    <row r="32" spans="1:29" ht="15">
      <c r="A32" s="293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2" t="s">
        <v>550</v>
      </c>
      <c r="Q32" s="1573" t="str">
        <f t="shared" si="8"/>
        <v>商业类型</v>
      </c>
      <c r="R32" s="1574" t="s">
        <v>8</v>
      </c>
      <c r="S32" s="1575">
        <f t="shared" si="9"/>
        <v>100</v>
      </c>
      <c r="T32" s="1574" t="s">
        <v>8</v>
      </c>
      <c r="U32" s="1575">
        <f t="shared" si="10"/>
        <v>100</v>
      </c>
      <c r="V32" s="1574" t="s">
        <v>8</v>
      </c>
      <c r="W32" s="1575">
        <f t="shared" si="11"/>
        <v>100</v>
      </c>
      <c r="X32" s="1568"/>
      <c r="Y32" s="3393"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3"/>
      <c r="Q33" s="1606" t="str">
        <f t="shared" si="8"/>
        <v>项目建筑规模</v>
      </c>
      <c r="R33" s="1578" t="s">
        <v>8</v>
      </c>
      <c r="S33" s="1579" t="e">
        <f t="shared" si="9"/>
        <v>#N/A</v>
      </c>
      <c r="T33" s="1578" t="s">
        <v>8</v>
      </c>
      <c r="U33" s="1579" t="e">
        <f t="shared" si="10"/>
        <v>#N/A</v>
      </c>
      <c r="V33" s="1578" t="s">
        <v>8</v>
      </c>
      <c r="W33" s="1579" t="e">
        <f t="shared" si="11"/>
        <v>#N/A</v>
      </c>
      <c r="X33" s="1580"/>
      <c r="Y33" s="3393"/>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3"/>
      <c r="Q34" s="1573" t="str">
        <f t="shared" si="8"/>
        <v>建筑结构</v>
      </c>
      <c r="R34" s="1574" t="s">
        <v>8</v>
      </c>
      <c r="S34" s="1575">
        <f t="shared" si="9"/>
        <v>100</v>
      </c>
      <c r="T34" s="1574" t="s">
        <v>8</v>
      </c>
      <c r="U34" s="1575">
        <f t="shared" si="10"/>
        <v>100</v>
      </c>
      <c r="V34" s="1574" t="s">
        <v>8</v>
      </c>
      <c r="W34" s="1575">
        <f t="shared" si="11"/>
        <v>100</v>
      </c>
      <c r="X34" s="1568"/>
      <c r="Y34" s="3393"/>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3"/>
      <c r="Q35" s="1573" t="str">
        <f t="shared" si="8"/>
        <v>公共部分装修</v>
      </c>
      <c r="R35" s="1574" t="s">
        <v>8</v>
      </c>
      <c r="S35" s="1575">
        <f t="shared" si="9"/>
        <v>100</v>
      </c>
      <c r="T35" s="1574" t="s">
        <v>8</v>
      </c>
      <c r="U35" s="1575">
        <f t="shared" si="10"/>
        <v>100</v>
      </c>
      <c r="V35" s="1574" t="s">
        <v>8</v>
      </c>
      <c r="W35" s="1575">
        <f t="shared" si="11"/>
        <v>100</v>
      </c>
      <c r="X35" s="1568"/>
      <c r="Y35" s="3393"/>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3"/>
      <c r="Q36" s="1573" t="str">
        <f t="shared" si="8"/>
        <v>成新度</v>
      </c>
      <c r="R36" s="1574" t="s">
        <v>8</v>
      </c>
      <c r="S36" s="1575" t="e">
        <f t="shared" si="9"/>
        <v>#N/A</v>
      </c>
      <c r="T36" s="1574" t="s">
        <v>8</v>
      </c>
      <c r="U36" s="1575" t="e">
        <f t="shared" si="10"/>
        <v>#N/A</v>
      </c>
      <c r="V36" s="1574" t="s">
        <v>8</v>
      </c>
      <c r="W36" s="1575" t="e">
        <f t="shared" si="11"/>
        <v>#N/A</v>
      </c>
      <c r="X36" s="1568"/>
      <c r="Y36" s="3393"/>
      <c r="Z36" s="1576" t="str">
        <f t="shared" si="12"/>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3"/>
      <c r="Q37" s="1151" t="str">
        <f t="shared" si="8"/>
        <v>市政基础设施</v>
      </c>
      <c r="R37" s="1569" t="s">
        <v>8</v>
      </c>
      <c r="S37" s="1570">
        <f t="shared" si="9"/>
        <v>100</v>
      </c>
      <c r="T37" s="1569" t="s">
        <v>8</v>
      </c>
      <c r="U37" s="1570">
        <f t="shared" si="10"/>
        <v>100</v>
      </c>
      <c r="V37" s="1569" t="s">
        <v>8</v>
      </c>
      <c r="W37" s="1570">
        <f t="shared" si="11"/>
        <v>100</v>
      </c>
      <c r="X37" s="1571"/>
      <c r="Y37" s="3393"/>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3" t="s">
        <v>766</v>
      </c>
      <c r="Q38" s="1573" t="str">
        <f t="shared" si="8"/>
        <v>业态</v>
      </c>
      <c r="R38" s="1574" t="s">
        <v>8</v>
      </c>
      <c r="S38" s="1575">
        <f t="shared" si="9"/>
        <v>100</v>
      </c>
      <c r="T38" s="1574" t="s">
        <v>8</v>
      </c>
      <c r="U38" s="1575">
        <f t="shared" si="10"/>
        <v>100</v>
      </c>
      <c r="V38" s="1574" t="s">
        <v>8</v>
      </c>
      <c r="W38" s="1575">
        <f t="shared" si="11"/>
        <v>100</v>
      </c>
      <c r="X38" s="1568"/>
      <c r="Y38" s="3393"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3"/>
      <c r="Q39" s="1573" t="str">
        <f t="shared" si="8"/>
        <v>层高</v>
      </c>
      <c r="R39" s="1574" t="s">
        <v>8</v>
      </c>
      <c r="S39" s="1575">
        <f t="shared" si="9"/>
        <v>100</v>
      </c>
      <c r="T39" s="1574" t="s">
        <v>8</v>
      </c>
      <c r="U39" s="1575">
        <f t="shared" si="10"/>
        <v>100</v>
      </c>
      <c r="V39" s="1574" t="s">
        <v>8</v>
      </c>
      <c r="W39" s="1575">
        <f t="shared" si="11"/>
        <v>100</v>
      </c>
      <c r="X39" s="1568"/>
      <c r="Y39" s="3393"/>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3"/>
      <c r="Q40" s="1573" t="str">
        <f t="shared" si="8"/>
        <v>单套建筑面积</v>
      </c>
      <c r="R40" s="1574" t="s">
        <v>8</v>
      </c>
      <c r="S40" s="1575">
        <f t="shared" si="9"/>
        <v>100</v>
      </c>
      <c r="T40" s="1574" t="s">
        <v>8</v>
      </c>
      <c r="U40" s="1575">
        <f t="shared" si="10"/>
        <v>100</v>
      </c>
      <c r="V40" s="1574" t="s">
        <v>8</v>
      </c>
      <c r="W40" s="1575">
        <f t="shared" si="11"/>
        <v>100</v>
      </c>
      <c r="X40" s="1568"/>
      <c r="Y40" s="3393"/>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3"/>
      <c r="Q41" s="1606" t="str">
        <f t="shared" si="8"/>
        <v>进深比</v>
      </c>
      <c r="R41" s="1578" t="s">
        <v>8</v>
      </c>
      <c r="S41" s="1579">
        <f t="shared" si="9"/>
        <v>100</v>
      </c>
      <c r="T41" s="1578" t="s">
        <v>8</v>
      </c>
      <c r="U41" s="1579">
        <f t="shared" si="10"/>
        <v>100</v>
      </c>
      <c r="V41" s="1578" t="s">
        <v>8</v>
      </c>
      <c r="W41" s="1579">
        <f t="shared" si="11"/>
        <v>100</v>
      </c>
      <c r="X41" s="1580"/>
      <c r="Y41" s="3393"/>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3"/>
      <c r="Q42" s="1573" t="str">
        <f t="shared" si="8"/>
        <v>内部装修</v>
      </c>
      <c r="R42" s="1574" t="s">
        <v>8</v>
      </c>
      <c r="S42" s="1575">
        <f t="shared" si="9"/>
        <v>100</v>
      </c>
      <c r="T42" s="1574" t="s">
        <v>8</v>
      </c>
      <c r="U42" s="1575">
        <f t="shared" si="10"/>
        <v>100</v>
      </c>
      <c r="V42" s="1574" t="s">
        <v>8</v>
      </c>
      <c r="W42" s="1575">
        <f t="shared" si="11"/>
        <v>100</v>
      </c>
      <c r="X42" s="1568"/>
      <c r="Y42" s="3393"/>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3"/>
      <c r="Q43" s="1573" t="str">
        <f t="shared" si="8"/>
        <v>内部装修维护情况</v>
      </c>
      <c r="R43" s="1574" t="s">
        <v>8</v>
      </c>
      <c r="S43" s="1575">
        <f t="shared" si="9"/>
        <v>100</v>
      </c>
      <c r="T43" s="1574" t="s">
        <v>8</v>
      </c>
      <c r="U43" s="1575">
        <f t="shared" si="10"/>
        <v>100</v>
      </c>
      <c r="V43" s="1574" t="s">
        <v>8</v>
      </c>
      <c r="W43" s="1575">
        <f t="shared" si="11"/>
        <v>100</v>
      </c>
      <c r="X43" s="1568"/>
      <c r="Y43" s="3393"/>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3"/>
      <c r="Q44" s="1151">
        <f t="shared" si="8"/>
        <v>111</v>
      </c>
      <c r="R44" s="1569" t="s">
        <v>8</v>
      </c>
      <c r="S44" s="1570">
        <f t="shared" si="9"/>
        <v>100</v>
      </c>
      <c r="T44" s="1569" t="s">
        <v>8</v>
      </c>
      <c r="U44" s="1570">
        <f t="shared" si="10"/>
        <v>100</v>
      </c>
      <c r="V44" s="1569" t="s">
        <v>8</v>
      </c>
      <c r="W44" s="1570">
        <f t="shared" si="11"/>
        <v>100</v>
      </c>
      <c r="X44" s="1571"/>
      <c r="Y44" s="3393"/>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3"/>
      <c r="Q45" s="1573">
        <f t="shared" si="8"/>
        <v>111</v>
      </c>
      <c r="R45" s="1574" t="s">
        <v>8</v>
      </c>
      <c r="S45" s="1575">
        <f t="shared" si="9"/>
        <v>100</v>
      </c>
      <c r="T45" s="1574" t="s">
        <v>8</v>
      </c>
      <c r="U45" s="1575">
        <f t="shared" si="10"/>
        <v>100</v>
      </c>
      <c r="V45" s="1574" t="s">
        <v>8</v>
      </c>
      <c r="W45" s="1575">
        <f t="shared" si="11"/>
        <v>100</v>
      </c>
      <c r="X45" s="1568"/>
      <c r="Y45" s="3393"/>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2"/>
      <c r="Q46" s="1573">
        <f t="shared" si="8"/>
        <v>111</v>
      </c>
      <c r="R46" s="1574" t="s">
        <v>8</v>
      </c>
      <c r="S46" s="1575">
        <f t="shared" si="9"/>
        <v>100</v>
      </c>
      <c r="T46" s="1574" t="s">
        <v>8</v>
      </c>
      <c r="U46" s="1575">
        <f t="shared" si="10"/>
        <v>100</v>
      </c>
      <c r="V46" s="1574" t="s">
        <v>8</v>
      </c>
      <c r="W46" s="1575">
        <f t="shared" si="11"/>
        <v>100</v>
      </c>
      <c r="X46" s="1568"/>
      <c r="Y46" s="3492"/>
      <c r="Z46" s="1576">
        <f t="shared" si="12"/>
        <v>111</v>
      </c>
      <c r="AA46" s="1577">
        <f t="shared" si="3"/>
        <v>1</v>
      </c>
      <c r="AB46" s="1577">
        <f t="shared" si="4"/>
        <v>1</v>
      </c>
      <c r="AC46" s="1577">
        <f t="shared" si="5"/>
        <v>1</v>
      </c>
    </row>
    <row r="47" spans="1:29" ht="15">
      <c r="A47" s="607" t="s">
        <v>736</v>
      </c>
      <c r="B47" s="887"/>
      <c r="C47" s="2652" t="s">
        <v>1</v>
      </c>
      <c r="D47" s="2653"/>
      <c r="E47" s="2654"/>
      <c r="F47" s="2655"/>
      <c r="G47" s="2656"/>
      <c r="H47" s="2657"/>
      <c r="I47" s="2654"/>
      <c r="J47" s="2657"/>
      <c r="K47" s="1612"/>
      <c r="L47" s="2145"/>
      <c r="M47" s="2146"/>
      <c r="N47" s="2135"/>
      <c r="O47" s="2146"/>
      <c r="P47" s="3388" t="str">
        <f>A47</f>
        <v>成交单价（元/平方米）</v>
      </c>
      <c r="Q47" s="3388"/>
      <c r="R47" s="3491">
        <f>E47</f>
        <v>0</v>
      </c>
      <c r="S47" s="3491"/>
      <c r="T47" s="3491">
        <f>G47</f>
        <v>0</v>
      </c>
      <c r="U47" s="3491"/>
      <c r="V47" s="3491">
        <f>I47</f>
        <v>0</v>
      </c>
      <c r="W47" s="3491"/>
      <c r="X47" s="1560"/>
      <c r="Y47" s="1582"/>
      <c r="Z47" s="1560"/>
      <c r="AA47" s="1560"/>
      <c r="AB47" s="1560"/>
      <c r="AC47" s="1560"/>
    </row>
    <row r="48" spans="1:29" ht="15.75" thickBot="1">
      <c r="A48" s="615" t="s">
        <v>2759</v>
      </c>
      <c r="B48" s="888"/>
      <c r="C48" s="2658" t="e">
        <f>R49</f>
        <v>#DIV/0!</v>
      </c>
      <c r="D48" s="2659"/>
      <c r="E48" s="2660" t="e">
        <f>R48</f>
        <v>#DIV/0!</v>
      </c>
      <c r="F48" s="2660"/>
      <c r="G48" s="2658" t="e">
        <f>T48</f>
        <v>#DIV/0!</v>
      </c>
      <c r="H48" s="2659"/>
      <c r="I48" s="2660" t="e">
        <f>V48</f>
        <v>#DIV/0!</v>
      </c>
      <c r="J48" s="2659"/>
      <c r="K48" s="1613"/>
      <c r="L48" s="2145"/>
      <c r="M48" s="2146"/>
      <c r="N48" s="2135"/>
      <c r="O48" s="2146"/>
      <c r="P48" s="3388" t="str">
        <f>A48</f>
        <v>比较价格（元/平方米）</v>
      </c>
      <c r="Q48" s="3388"/>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60"/>
      <c r="Y48" s="1560"/>
      <c r="Z48" s="1560"/>
      <c r="AA48" s="1560"/>
      <c r="AB48" s="1560"/>
      <c r="AC48" s="1560"/>
    </row>
    <row r="49" spans="1:29" ht="15.75" thickBot="1">
      <c r="A49" s="621" t="s">
        <v>2931</v>
      </c>
      <c r="B49" s="622"/>
      <c r="C49" s="2661" t="e">
        <f>R49</f>
        <v>#DIV/0!</v>
      </c>
      <c r="D49" s="2661"/>
      <c r="E49" s="2661"/>
      <c r="F49" s="2661"/>
      <c r="G49" s="2661"/>
      <c r="H49" s="2661"/>
      <c r="I49" s="2661"/>
      <c r="J49" s="2661"/>
      <c r="K49" s="1614"/>
      <c r="L49" s="2145"/>
      <c r="M49" s="2146"/>
      <c r="N49" s="2135"/>
      <c r="O49" s="2146"/>
      <c r="P49" s="3411" t="str">
        <f>A49</f>
        <v>估价对象XX用房的比较价格（楼面单价，元/平方米）</v>
      </c>
      <c r="Q49" s="3412"/>
      <c r="R49" s="3490" t="e">
        <f>IF(F1="售价",ROUND(AVERAGE(R48:V48),0),ROUND(AVERAGE(R48:V48),1))</f>
        <v>#DIV/0!</v>
      </c>
      <c r="S49" s="3490"/>
      <c r="T49" s="3490"/>
      <c r="U49" s="3490"/>
      <c r="V49" s="3490"/>
      <c r="W49" s="3490"/>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2018-5</v>
      </c>
      <c r="D58" s="2829">
        <f>EDATE(C58,-1)</f>
        <v>43191</v>
      </c>
      <c r="E58" s="2829">
        <f t="shared" ref="E58:O58" si="13">EDATE(D58,-1)</f>
        <v>43160</v>
      </c>
      <c r="F58" s="2829">
        <f t="shared" si="13"/>
        <v>43132</v>
      </c>
      <c r="G58" s="2829">
        <f t="shared" si="13"/>
        <v>43101</v>
      </c>
      <c r="H58" s="2829">
        <f t="shared" si="13"/>
        <v>43070</v>
      </c>
      <c r="I58" s="2829">
        <f t="shared" si="13"/>
        <v>43040</v>
      </c>
      <c r="J58" s="2829">
        <f t="shared" si="13"/>
        <v>43009</v>
      </c>
      <c r="K58" s="2829">
        <f t="shared" si="13"/>
        <v>42979</v>
      </c>
      <c r="L58" s="2829">
        <f t="shared" si="13"/>
        <v>42948</v>
      </c>
      <c r="M58" s="2829">
        <f t="shared" si="13"/>
        <v>42917</v>
      </c>
      <c r="N58" s="2829">
        <f t="shared" si="13"/>
        <v>42887</v>
      </c>
      <c r="O58" s="2829">
        <f t="shared" si="13"/>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2557</v>
      </c>
      <c r="C82" s="2623" t="s">
        <v>2558</v>
      </c>
      <c r="D82" s="2623" t="s">
        <v>2559</v>
      </c>
      <c r="E82" s="2623" t="s">
        <v>2560</v>
      </c>
      <c r="F82" s="2623" t="s">
        <v>2561</v>
      </c>
      <c r="G82" s="2623" t="s">
        <v>2562</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2555</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2"/>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94" t="s">
        <v>522</v>
      </c>
      <c r="D4" s="3395"/>
      <c r="E4" s="3420" t="s">
        <v>523</v>
      </c>
      <c r="F4" s="3421"/>
      <c r="G4" s="3394" t="s">
        <v>524</v>
      </c>
      <c r="H4" s="3395"/>
      <c r="I4" s="3394" t="s">
        <v>525</v>
      </c>
      <c r="J4" s="3395"/>
      <c r="K4" s="514" t="s">
        <v>526</v>
      </c>
      <c r="L4" s="2134"/>
      <c r="M4" s="2135"/>
      <c r="N4" s="2135"/>
      <c r="O4" s="2135"/>
      <c r="P4" s="3493" t="s">
        <v>527</v>
      </c>
      <c r="Q4" s="3397"/>
      <c r="R4" s="3382" t="s">
        <v>523</v>
      </c>
      <c r="S4" s="3383"/>
      <c r="T4" s="3382" t="s">
        <v>524</v>
      </c>
      <c r="U4" s="3383"/>
      <c r="V4" s="3402" t="s">
        <v>525</v>
      </c>
      <c r="W4" s="3402"/>
      <c r="X4" s="1568"/>
      <c r="Y4" s="3382" t="s">
        <v>527</v>
      </c>
      <c r="Z4" s="3383"/>
      <c r="AA4" s="3377" t="s">
        <v>523</v>
      </c>
      <c r="AB4" s="3377" t="s">
        <v>524</v>
      </c>
      <c r="AC4" s="3377" t="s">
        <v>525</v>
      </c>
    </row>
    <row r="5" spans="1:29" ht="15">
      <c r="A5" s="515"/>
      <c r="B5" s="516"/>
      <c r="C5" s="3407" t="s">
        <v>2925</v>
      </c>
      <c r="D5" s="3406"/>
      <c r="E5" s="3422" t="s">
        <v>2926</v>
      </c>
      <c r="F5" s="3423"/>
      <c r="G5" s="3407" t="s">
        <v>2927</v>
      </c>
      <c r="H5" s="3406"/>
      <c r="I5" s="3407" t="s">
        <v>2928</v>
      </c>
      <c r="J5" s="3406"/>
      <c r="K5" s="514"/>
      <c r="L5" s="2134"/>
      <c r="M5" s="2135"/>
      <c r="N5" s="2135"/>
      <c r="O5" s="2135"/>
      <c r="P5" s="3494"/>
      <c r="Q5" s="3399"/>
      <c r="R5" s="3384"/>
      <c r="S5" s="3385"/>
      <c r="T5" s="3384"/>
      <c r="U5" s="3385"/>
      <c r="V5" s="3402"/>
      <c r="W5" s="3402"/>
      <c r="X5" s="1568"/>
      <c r="Y5" s="3384"/>
      <c r="Z5" s="3385"/>
      <c r="AA5" s="3378"/>
      <c r="AB5" s="3378"/>
      <c r="AC5" s="3378"/>
    </row>
    <row r="6" spans="1:29" ht="15.75" thickBot="1">
      <c r="A6" s="517"/>
      <c r="B6" s="518"/>
      <c r="C6" s="3424" t="s">
        <v>2929</v>
      </c>
      <c r="D6" s="3404"/>
      <c r="E6" s="3425" t="s">
        <v>2929</v>
      </c>
      <c r="F6" s="3426"/>
      <c r="G6" s="3424" t="s">
        <v>2929</v>
      </c>
      <c r="H6" s="3404"/>
      <c r="I6" s="3424" t="s">
        <v>2929</v>
      </c>
      <c r="J6" s="3404"/>
      <c r="K6" s="514" t="s">
        <v>528</v>
      </c>
      <c r="L6" s="2134"/>
      <c r="M6" s="2135"/>
      <c r="N6" s="2135"/>
      <c r="O6" s="2135"/>
      <c r="P6" s="3495"/>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9" t="s">
        <v>530</v>
      </c>
      <c r="Q7" s="3389"/>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9" t="s">
        <v>533</v>
      </c>
      <c r="Q8" s="3381"/>
      <c r="R8" s="1569" t="s">
        <v>8</v>
      </c>
      <c r="S8" s="1570">
        <f t="shared" si="0"/>
        <v>0</v>
      </c>
      <c r="T8" s="1569" t="s">
        <v>8</v>
      </c>
      <c r="U8" s="1570">
        <f t="shared" si="1"/>
        <v>0</v>
      </c>
      <c r="V8" s="1569" t="s">
        <v>8</v>
      </c>
      <c r="W8" s="1570">
        <f t="shared" si="2"/>
        <v>0</v>
      </c>
      <c r="X8" s="1571"/>
      <c r="Y8" s="3380" t="s">
        <v>533</v>
      </c>
      <c r="Z8" s="3381"/>
      <c r="AA8" s="1572" t="e">
        <f t="shared" ref="AA8:AA47" si="3">D8/F8</f>
        <v>#DIV/0!</v>
      </c>
      <c r="AB8" s="1572" t="e">
        <f t="shared" ref="AB8:AB47" si="4">D8/H8</f>
        <v>#DIV/0!</v>
      </c>
      <c r="AC8" s="1572" t="e">
        <f t="shared" ref="AC8:AC47" si="5">D8/J8</f>
        <v>#DIV/0!</v>
      </c>
    </row>
    <row r="9" spans="1:29" s="1220" customFormat="1" ht="15">
      <c r="A9" s="2939"/>
      <c r="B9" s="2946"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8"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40"/>
      <c r="B10" s="2945"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8"/>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8"/>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71.25">
      <c r="A15" s="2935"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0" t="s">
        <v>540</v>
      </c>
      <c r="Q15" s="1573" t="str">
        <f t="shared" si="6"/>
        <v>办公集聚程度</v>
      </c>
      <c r="R15" s="1574" t="s">
        <v>8</v>
      </c>
      <c r="S15" s="1575">
        <f t="shared" si="0"/>
        <v>100</v>
      </c>
      <c r="T15" s="1574" t="s">
        <v>8</v>
      </c>
      <c r="U15" s="1575">
        <f t="shared" si="1"/>
        <v>100</v>
      </c>
      <c r="V15" s="1574" t="s">
        <v>8</v>
      </c>
      <c r="W15" s="1575">
        <f t="shared" si="2"/>
        <v>100</v>
      </c>
      <c r="X15" s="1568"/>
      <c r="Y15" s="339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1"/>
      <c r="Q16" s="1573"/>
      <c r="R16" s="1574"/>
      <c r="S16" s="1575"/>
      <c r="T16" s="1574"/>
      <c r="U16" s="1575"/>
      <c r="V16" s="1574"/>
      <c r="W16" s="1575"/>
      <c r="X16" s="1568"/>
      <c r="Y16" s="339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1"/>
      <c r="Q18" s="1573"/>
      <c r="R18" s="1574"/>
      <c r="S18" s="1575"/>
      <c r="T18" s="1574"/>
      <c r="U18" s="1575"/>
      <c r="V18" s="1574"/>
      <c r="W18" s="1575"/>
      <c r="X18" s="1568"/>
      <c r="Y18" s="3391"/>
      <c r="Z18" s="1576"/>
      <c r="AA18" s="1577">
        <v>1</v>
      </c>
      <c r="AB18" s="1577">
        <v>1</v>
      </c>
      <c r="AC18" s="1577">
        <v>1</v>
      </c>
    </row>
    <row r="19" spans="1:29" ht="42.75">
      <c r="A19" s="532"/>
      <c r="B19" s="262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1"/>
      <c r="Q20" s="1573"/>
      <c r="R20" s="1574"/>
      <c r="S20" s="1575"/>
      <c r="T20" s="1574"/>
      <c r="U20" s="1575"/>
      <c r="V20" s="1574"/>
      <c r="W20" s="1575"/>
      <c r="X20" s="1568"/>
      <c r="Y20" s="3391"/>
      <c r="Z20" s="1576"/>
      <c r="AA20" s="1577">
        <v>1</v>
      </c>
      <c r="AB20" s="1577">
        <v>1</v>
      </c>
      <c r="AC20" s="1577">
        <v>1</v>
      </c>
    </row>
    <row r="21" spans="1:29" ht="28.5">
      <c r="A21" s="532"/>
      <c r="B21" s="261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1"/>
      <c r="Q21" s="2604" t="str">
        <f>B21</f>
        <v>基础设施水平</v>
      </c>
      <c r="R21" s="1574" t="s">
        <v>8</v>
      </c>
      <c r="S21" s="1575">
        <f>F21</f>
        <v>100</v>
      </c>
      <c r="T21" s="1574" t="s">
        <v>8</v>
      </c>
      <c r="U21" s="1575">
        <f>H21</f>
        <v>100</v>
      </c>
      <c r="V21" s="1574" t="s">
        <v>8</v>
      </c>
      <c r="W21" s="1575">
        <f>J21</f>
        <v>100</v>
      </c>
      <c r="X21" s="2606"/>
      <c r="Y21" s="3391"/>
      <c r="Z21" s="2605" t="str">
        <f>Q21</f>
        <v>基础设施水平</v>
      </c>
      <c r="AA21" s="1577">
        <f>D21/F21</f>
        <v>1</v>
      </c>
      <c r="AB21" s="1577">
        <f>D21/H21</f>
        <v>1</v>
      </c>
      <c r="AC21" s="1577">
        <f>D21/J21</f>
        <v>1</v>
      </c>
    </row>
    <row r="22" spans="1:29" ht="15">
      <c r="A22" s="532"/>
      <c r="B22" s="578"/>
      <c r="C22" s="567"/>
      <c r="D22" s="555"/>
      <c r="E22" s="576"/>
      <c r="F22" s="555"/>
      <c r="G22" s="554"/>
      <c r="H22" s="555"/>
      <c r="I22" s="554"/>
      <c r="J22" s="555"/>
      <c r="K22" s="2627"/>
      <c r="L22" s="2143"/>
      <c r="M22" s="2135"/>
      <c r="N22" s="2135"/>
      <c r="O22" s="2135"/>
      <c r="P22" s="3391"/>
      <c r="Q22" s="2604"/>
      <c r="R22" s="1574"/>
      <c r="S22" s="1575"/>
      <c r="T22" s="1574"/>
      <c r="U22" s="1575"/>
      <c r="V22" s="1574"/>
      <c r="W22" s="1575"/>
      <c r="X22" s="2606"/>
      <c r="Y22" s="3391"/>
      <c r="Z22" s="2605"/>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1"/>
      <c r="Q24" s="1573"/>
      <c r="R24" s="1574"/>
      <c r="S24" s="1575"/>
      <c r="T24" s="1574"/>
      <c r="U24" s="1575"/>
      <c r="V24" s="1574"/>
      <c r="W24" s="1575"/>
      <c r="X24" s="1568"/>
      <c r="Y24" s="339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1"/>
      <c r="Q25" s="1573" t="str">
        <f>B25</f>
        <v>毗邻道路的类型与等级</v>
      </c>
      <c r="R25" s="1574" t="s">
        <v>8</v>
      </c>
      <c r="S25" s="1575">
        <f>F25</f>
        <v>100</v>
      </c>
      <c r="T25" s="1574" t="s">
        <v>8</v>
      </c>
      <c r="U25" s="1575">
        <f>H25</f>
        <v>100</v>
      </c>
      <c r="V25" s="1574" t="s">
        <v>8</v>
      </c>
      <c r="W25" s="1575">
        <f>J25</f>
        <v>100</v>
      </c>
      <c r="X25" s="1568"/>
      <c r="Y25" s="339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1"/>
      <c r="Q26" s="1573"/>
      <c r="R26" s="1574"/>
      <c r="S26" s="1575"/>
      <c r="T26" s="1574"/>
      <c r="U26" s="1575"/>
      <c r="V26" s="1574"/>
      <c r="W26" s="1575"/>
      <c r="X26" s="1568"/>
      <c r="Y26" s="339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1"/>
      <c r="Q27" s="1573" t="str">
        <f t="shared" ref="Q27:Q47" si="8">B27</f>
        <v>楼层</v>
      </c>
      <c r="R27" s="1574" t="s">
        <v>8</v>
      </c>
      <c r="S27" s="1575">
        <f>F27</f>
        <v>100</v>
      </c>
      <c r="T27" s="1574" t="s">
        <v>8</v>
      </c>
      <c r="U27" s="1575">
        <f>H27</f>
        <v>100</v>
      </c>
      <c r="V27" s="1574" t="s">
        <v>8</v>
      </c>
      <c r="W27" s="1575">
        <f>J27</f>
        <v>100</v>
      </c>
      <c r="X27" s="1568"/>
      <c r="Y27" s="339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1"/>
      <c r="Q28" s="1151" t="str">
        <f t="shared" si="8"/>
        <v>朝向</v>
      </c>
      <c r="R28" s="1569" t="s">
        <v>8</v>
      </c>
      <c r="S28" s="1570">
        <f>F28</f>
        <v>100</v>
      </c>
      <c r="T28" s="1569" t="s">
        <v>8</v>
      </c>
      <c r="U28" s="1570">
        <f>H28</f>
        <v>100</v>
      </c>
      <c r="V28" s="1569" t="s">
        <v>8</v>
      </c>
      <c r="W28" s="1570">
        <f>J28</f>
        <v>100</v>
      </c>
      <c r="X28" s="1571"/>
      <c r="Y28" s="339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1"/>
      <c r="Q29" s="1573">
        <f t="shared" si="8"/>
        <v>111</v>
      </c>
      <c r="R29" s="1574" t="s">
        <v>8</v>
      </c>
      <c r="S29" s="1575">
        <f t="shared" ref="S29:S47" si="9">F29</f>
        <v>100</v>
      </c>
      <c r="T29" s="1574" t="s">
        <v>8</v>
      </c>
      <c r="U29" s="1575">
        <f t="shared" ref="U29:U47" si="10">H29</f>
        <v>100</v>
      </c>
      <c r="V29" s="1574" t="s">
        <v>8</v>
      </c>
      <c r="W29" s="1575">
        <f t="shared" ref="W29:W47" si="11">J29</f>
        <v>100</v>
      </c>
      <c r="X29" s="1568"/>
      <c r="Y29" s="3391"/>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1"/>
      <c r="Q30" s="1573">
        <f t="shared" si="8"/>
        <v>111</v>
      </c>
      <c r="R30" s="1574" t="s">
        <v>8</v>
      </c>
      <c r="S30" s="1575">
        <f t="shared" si="9"/>
        <v>100</v>
      </c>
      <c r="T30" s="1574" t="s">
        <v>8</v>
      </c>
      <c r="U30" s="1575">
        <f t="shared" si="10"/>
        <v>100</v>
      </c>
      <c r="V30" s="1574" t="s">
        <v>8</v>
      </c>
      <c r="W30" s="1575">
        <f t="shared" si="11"/>
        <v>100</v>
      </c>
      <c r="X30" s="1568"/>
      <c r="Y30" s="3391"/>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1"/>
      <c r="Q31" s="1573">
        <f t="shared" si="8"/>
        <v>111</v>
      </c>
      <c r="R31" s="1574" t="s">
        <v>8</v>
      </c>
      <c r="S31" s="1575">
        <f t="shared" si="9"/>
        <v>100</v>
      </c>
      <c r="T31" s="1574" t="s">
        <v>8</v>
      </c>
      <c r="U31" s="1575">
        <f t="shared" si="10"/>
        <v>100</v>
      </c>
      <c r="V31" s="1574" t="s">
        <v>8</v>
      </c>
      <c r="W31" s="1575">
        <f t="shared" si="11"/>
        <v>100</v>
      </c>
      <c r="X31" s="1568"/>
      <c r="Y31" s="3391"/>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1"/>
      <c r="Q32" s="1573">
        <f t="shared" si="8"/>
        <v>111</v>
      </c>
      <c r="R32" s="1574" t="s">
        <v>8</v>
      </c>
      <c r="S32" s="1575">
        <f t="shared" si="9"/>
        <v>100</v>
      </c>
      <c r="T32" s="1574" t="s">
        <v>8</v>
      </c>
      <c r="U32" s="1575">
        <f t="shared" si="10"/>
        <v>100</v>
      </c>
      <c r="V32" s="1574" t="s">
        <v>8</v>
      </c>
      <c r="W32" s="1575">
        <f t="shared" si="11"/>
        <v>100</v>
      </c>
      <c r="X32" s="1568"/>
      <c r="Y32" s="3391"/>
      <c r="Z32" s="1576">
        <f t="shared" si="12"/>
        <v>111</v>
      </c>
      <c r="AA32" s="1577">
        <f t="shared" si="3"/>
        <v>1</v>
      </c>
      <c r="AB32" s="1577">
        <f t="shared" si="4"/>
        <v>1</v>
      </c>
      <c r="AC32" s="1577">
        <f t="shared" si="5"/>
        <v>1</v>
      </c>
    </row>
    <row r="33" spans="1:29" ht="15">
      <c r="A33" s="293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2" t="s">
        <v>550</v>
      </c>
      <c r="Q33" s="1573" t="str">
        <f t="shared" si="8"/>
        <v>建筑类型</v>
      </c>
      <c r="R33" s="1574" t="s">
        <v>8</v>
      </c>
      <c r="S33" s="1575">
        <f t="shared" si="9"/>
        <v>100</v>
      </c>
      <c r="T33" s="1574" t="s">
        <v>8</v>
      </c>
      <c r="U33" s="1575">
        <f t="shared" si="10"/>
        <v>100</v>
      </c>
      <c r="V33" s="1574" t="s">
        <v>8</v>
      </c>
      <c r="W33" s="1575">
        <f t="shared" si="11"/>
        <v>100</v>
      </c>
      <c r="X33" s="1568"/>
      <c r="Y33" s="3393"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3"/>
      <c r="Q34" s="1606" t="str">
        <f t="shared" si="8"/>
        <v>项目建筑规模</v>
      </c>
      <c r="R34" s="1578" t="s">
        <v>8</v>
      </c>
      <c r="S34" s="1579" t="e">
        <f t="shared" si="9"/>
        <v>#N/A</v>
      </c>
      <c r="T34" s="1578" t="s">
        <v>8</v>
      </c>
      <c r="U34" s="1579" t="e">
        <f t="shared" si="10"/>
        <v>#N/A</v>
      </c>
      <c r="V34" s="1578" t="s">
        <v>8</v>
      </c>
      <c r="W34" s="1579" t="e">
        <f t="shared" si="11"/>
        <v>#N/A</v>
      </c>
      <c r="X34" s="1580"/>
      <c r="Y34" s="3393"/>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3"/>
      <c r="Q35" s="1573" t="str">
        <f t="shared" si="8"/>
        <v>建筑结构</v>
      </c>
      <c r="R35" s="1574" t="s">
        <v>8</v>
      </c>
      <c r="S35" s="1575">
        <f t="shared" si="9"/>
        <v>100</v>
      </c>
      <c r="T35" s="1574" t="s">
        <v>8</v>
      </c>
      <c r="U35" s="1575">
        <f t="shared" si="10"/>
        <v>100</v>
      </c>
      <c r="V35" s="1574" t="s">
        <v>8</v>
      </c>
      <c r="W35" s="1575">
        <f t="shared" si="11"/>
        <v>100</v>
      </c>
      <c r="X35" s="1568"/>
      <c r="Y35" s="3393"/>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3"/>
      <c r="Q36" s="1573" t="str">
        <f t="shared" si="8"/>
        <v>公共部分装修</v>
      </c>
      <c r="R36" s="1574" t="s">
        <v>8</v>
      </c>
      <c r="S36" s="1575">
        <f t="shared" si="9"/>
        <v>100</v>
      </c>
      <c r="T36" s="1574" t="s">
        <v>8</v>
      </c>
      <c r="U36" s="1575">
        <f t="shared" si="10"/>
        <v>100</v>
      </c>
      <c r="V36" s="1574" t="s">
        <v>8</v>
      </c>
      <c r="W36" s="1575">
        <f t="shared" si="11"/>
        <v>100</v>
      </c>
      <c r="X36" s="1568"/>
      <c r="Y36" s="3393"/>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3"/>
      <c r="Q37" s="1573" t="str">
        <f t="shared" si="8"/>
        <v>成新度</v>
      </c>
      <c r="R37" s="1574" t="s">
        <v>8</v>
      </c>
      <c r="S37" s="1575" t="e">
        <f t="shared" si="9"/>
        <v>#N/A</v>
      </c>
      <c r="T37" s="1574" t="s">
        <v>8</v>
      </c>
      <c r="U37" s="1575" t="e">
        <f t="shared" si="10"/>
        <v>#N/A</v>
      </c>
      <c r="V37" s="1574" t="s">
        <v>8</v>
      </c>
      <c r="W37" s="1575" t="e">
        <f t="shared" si="11"/>
        <v>#N/A</v>
      </c>
      <c r="X37" s="1568"/>
      <c r="Y37" s="3393"/>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3"/>
      <c r="Q38" s="1151" t="str">
        <f t="shared" si="8"/>
        <v>写字楼等级</v>
      </c>
      <c r="R38" s="1569" t="s">
        <v>8</v>
      </c>
      <c r="S38" s="1570">
        <f t="shared" si="9"/>
        <v>100</v>
      </c>
      <c r="T38" s="1569" t="s">
        <v>8</v>
      </c>
      <c r="U38" s="1570">
        <f t="shared" si="10"/>
        <v>100</v>
      </c>
      <c r="V38" s="1569" t="s">
        <v>8</v>
      </c>
      <c r="W38" s="1570">
        <f t="shared" si="11"/>
        <v>100</v>
      </c>
      <c r="X38" s="1571"/>
      <c r="Y38" s="3393"/>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3" t="s">
        <v>550</v>
      </c>
      <c r="Q39" s="1573" t="str">
        <f t="shared" si="8"/>
        <v>物业管理</v>
      </c>
      <c r="R39" s="1574" t="s">
        <v>8</v>
      </c>
      <c r="S39" s="1575">
        <f t="shared" si="9"/>
        <v>100</v>
      </c>
      <c r="T39" s="1574" t="s">
        <v>8</v>
      </c>
      <c r="U39" s="1575">
        <f t="shared" si="10"/>
        <v>100</v>
      </c>
      <c r="V39" s="1574" t="s">
        <v>8</v>
      </c>
      <c r="W39" s="1575">
        <f t="shared" si="11"/>
        <v>100</v>
      </c>
      <c r="X39" s="1568"/>
      <c r="Y39" s="3393" t="s">
        <v>550</v>
      </c>
      <c r="Z39" s="1576" t="str">
        <f t="shared" si="12"/>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3"/>
      <c r="Q40" s="1573" t="str">
        <f t="shared" si="8"/>
        <v>市政基础设施</v>
      </c>
      <c r="R40" s="1574" t="s">
        <v>8</v>
      </c>
      <c r="S40" s="1575">
        <f t="shared" si="9"/>
        <v>100</v>
      </c>
      <c r="T40" s="1574" t="s">
        <v>8</v>
      </c>
      <c r="U40" s="1575">
        <f t="shared" si="10"/>
        <v>100</v>
      </c>
      <c r="V40" s="1574" t="s">
        <v>8</v>
      </c>
      <c r="W40" s="1575">
        <f t="shared" si="11"/>
        <v>100</v>
      </c>
      <c r="X40" s="1568"/>
      <c r="Y40" s="3393"/>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3"/>
      <c r="Q41" s="1573" t="str">
        <f t="shared" si="8"/>
        <v>层高</v>
      </c>
      <c r="R41" s="1574" t="s">
        <v>8</v>
      </c>
      <c r="S41" s="1575">
        <f t="shared" si="9"/>
        <v>100</v>
      </c>
      <c r="T41" s="1574" t="s">
        <v>8</v>
      </c>
      <c r="U41" s="1575">
        <f t="shared" si="10"/>
        <v>100</v>
      </c>
      <c r="V41" s="1574" t="s">
        <v>8</v>
      </c>
      <c r="W41" s="1575">
        <f t="shared" si="11"/>
        <v>100</v>
      </c>
      <c r="X41" s="1568"/>
      <c r="Y41" s="3393"/>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3"/>
      <c r="Q42" s="1606" t="str">
        <f t="shared" si="8"/>
        <v>单套建筑面积</v>
      </c>
      <c r="R42" s="1578" t="s">
        <v>8</v>
      </c>
      <c r="S42" s="1579">
        <f t="shared" si="9"/>
        <v>100</v>
      </c>
      <c r="T42" s="1578" t="s">
        <v>8</v>
      </c>
      <c r="U42" s="1579">
        <f t="shared" si="10"/>
        <v>100</v>
      </c>
      <c r="V42" s="1578" t="s">
        <v>8</v>
      </c>
      <c r="W42" s="1579">
        <f t="shared" si="11"/>
        <v>100</v>
      </c>
      <c r="X42" s="1580"/>
      <c r="Y42" s="3393"/>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3"/>
      <c r="Q43" s="1573" t="str">
        <f t="shared" si="8"/>
        <v>内部装修</v>
      </c>
      <c r="R43" s="1574" t="s">
        <v>8</v>
      </c>
      <c r="S43" s="1575">
        <f t="shared" si="9"/>
        <v>100</v>
      </c>
      <c r="T43" s="1574" t="s">
        <v>8</v>
      </c>
      <c r="U43" s="1575">
        <f t="shared" si="10"/>
        <v>100</v>
      </c>
      <c r="V43" s="1574" t="s">
        <v>8</v>
      </c>
      <c r="W43" s="1575">
        <f t="shared" si="11"/>
        <v>100</v>
      </c>
      <c r="X43" s="1568"/>
      <c r="Y43" s="3393"/>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3"/>
      <c r="Q44" s="1573" t="str">
        <f t="shared" si="8"/>
        <v>内部装修维护情况</v>
      </c>
      <c r="R44" s="1574" t="s">
        <v>8</v>
      </c>
      <c r="S44" s="1575">
        <f t="shared" si="9"/>
        <v>100</v>
      </c>
      <c r="T44" s="1574" t="s">
        <v>8</v>
      </c>
      <c r="U44" s="1575">
        <f t="shared" si="10"/>
        <v>100</v>
      </c>
      <c r="V44" s="1574" t="s">
        <v>8</v>
      </c>
      <c r="W44" s="1575">
        <f t="shared" si="11"/>
        <v>100</v>
      </c>
      <c r="X44" s="1568"/>
      <c r="Y44" s="3393"/>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3"/>
      <c r="Q45" s="1151">
        <f t="shared" si="8"/>
        <v>111</v>
      </c>
      <c r="R45" s="1569" t="s">
        <v>8</v>
      </c>
      <c r="S45" s="1570">
        <f t="shared" si="9"/>
        <v>100</v>
      </c>
      <c r="T45" s="1569" t="s">
        <v>8</v>
      </c>
      <c r="U45" s="1570">
        <f t="shared" si="10"/>
        <v>100</v>
      </c>
      <c r="V45" s="1569" t="s">
        <v>8</v>
      </c>
      <c r="W45" s="1570">
        <f t="shared" si="11"/>
        <v>100</v>
      </c>
      <c r="X45" s="1571"/>
      <c r="Y45" s="3393"/>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3"/>
      <c r="Q46" s="1573">
        <f t="shared" si="8"/>
        <v>111</v>
      </c>
      <c r="R46" s="1574" t="s">
        <v>8</v>
      </c>
      <c r="S46" s="1575">
        <f t="shared" si="9"/>
        <v>100</v>
      </c>
      <c r="T46" s="1574" t="s">
        <v>8</v>
      </c>
      <c r="U46" s="1575">
        <f t="shared" si="10"/>
        <v>100</v>
      </c>
      <c r="V46" s="1574" t="s">
        <v>8</v>
      </c>
      <c r="W46" s="1575">
        <f t="shared" si="11"/>
        <v>100</v>
      </c>
      <c r="X46" s="1568"/>
      <c r="Y46" s="3393"/>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2"/>
      <c r="Q47" s="1573">
        <f t="shared" si="8"/>
        <v>111</v>
      </c>
      <c r="R47" s="1574" t="s">
        <v>8</v>
      </c>
      <c r="S47" s="1575">
        <f t="shared" si="9"/>
        <v>100</v>
      </c>
      <c r="T47" s="1574" t="s">
        <v>8</v>
      </c>
      <c r="U47" s="1575">
        <f t="shared" si="10"/>
        <v>100</v>
      </c>
      <c r="V47" s="1574" t="s">
        <v>8</v>
      </c>
      <c r="W47" s="1575">
        <f t="shared" si="11"/>
        <v>100</v>
      </c>
      <c r="X47" s="1568"/>
      <c r="Y47" s="3492"/>
      <c r="Z47" s="1576">
        <f t="shared" si="12"/>
        <v>111</v>
      </c>
      <c r="AA47" s="1577">
        <f t="shared" si="3"/>
        <v>1</v>
      </c>
      <c r="AB47" s="1577">
        <f t="shared" si="4"/>
        <v>1</v>
      </c>
      <c r="AC47" s="1577">
        <f t="shared" si="5"/>
        <v>1</v>
      </c>
    </row>
    <row r="48" spans="1:29" ht="15">
      <c r="A48" s="607" t="s">
        <v>736</v>
      </c>
      <c r="B48" s="887"/>
      <c r="C48" s="2652" t="s">
        <v>1</v>
      </c>
      <c r="D48" s="2653"/>
      <c r="E48" s="2654"/>
      <c r="F48" s="2655"/>
      <c r="G48" s="2656"/>
      <c r="H48" s="2657"/>
      <c r="I48" s="2654"/>
      <c r="J48" s="2657"/>
      <c r="K48" s="1612"/>
      <c r="L48" s="2145"/>
      <c r="M48" s="2135"/>
      <c r="N48" s="2135"/>
      <c r="O48" s="2135"/>
      <c r="P48" s="3412" t="str">
        <f>A48</f>
        <v>成交单价（元/平方米）</v>
      </c>
      <c r="Q48" s="3388"/>
      <c r="R48" s="3491">
        <f>E48</f>
        <v>0</v>
      </c>
      <c r="S48" s="3491"/>
      <c r="T48" s="3491">
        <f>G48</f>
        <v>0</v>
      </c>
      <c r="U48" s="3491"/>
      <c r="V48" s="3491">
        <f>I48</f>
        <v>0</v>
      </c>
      <c r="W48" s="3491"/>
      <c r="X48" s="1560"/>
      <c r="Y48" s="1582"/>
      <c r="Z48" s="1560"/>
      <c r="AA48" s="1560"/>
      <c r="AB48" s="1560"/>
      <c r="AC48" s="1560"/>
    </row>
    <row r="49" spans="1:29" ht="15.75" thickBot="1">
      <c r="A49" s="615" t="s">
        <v>2759</v>
      </c>
      <c r="B49" s="888"/>
      <c r="C49" s="2658" t="e">
        <f>R50</f>
        <v>#DIV/0!</v>
      </c>
      <c r="D49" s="2659"/>
      <c r="E49" s="2660" t="e">
        <f>R49</f>
        <v>#DIV/0!</v>
      </c>
      <c r="F49" s="2660"/>
      <c r="G49" s="2658" t="e">
        <f>T49</f>
        <v>#DIV/0!</v>
      </c>
      <c r="H49" s="2659"/>
      <c r="I49" s="2660" t="e">
        <f>V49</f>
        <v>#DIV/0!</v>
      </c>
      <c r="J49" s="2659"/>
      <c r="K49" s="1613"/>
      <c r="L49" s="2145"/>
      <c r="M49" s="2135"/>
      <c r="N49" s="2135"/>
      <c r="O49" s="2135"/>
      <c r="P49" s="3412" t="str">
        <f>A49</f>
        <v>比较价格（元/平方米）</v>
      </c>
      <c r="Q49" s="3388"/>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60"/>
      <c r="Y49" s="1560"/>
      <c r="Z49" s="1560"/>
      <c r="AA49" s="1560"/>
      <c r="AB49" s="1560"/>
      <c r="AC49" s="1560"/>
    </row>
    <row r="50" spans="1:29" ht="15.75" thickBot="1">
      <c r="A50" s="621" t="s">
        <v>2931</v>
      </c>
      <c r="B50" s="622"/>
      <c r="C50" s="2661" t="e">
        <f>R50</f>
        <v>#DIV/0!</v>
      </c>
      <c r="D50" s="2661"/>
      <c r="E50" s="2661"/>
      <c r="F50" s="2661"/>
      <c r="G50" s="2661"/>
      <c r="H50" s="2661"/>
      <c r="I50" s="2661"/>
      <c r="J50" s="2661"/>
      <c r="K50" s="1614"/>
      <c r="L50" s="2145"/>
      <c r="M50" s="2135"/>
      <c r="N50" s="2135"/>
      <c r="O50" s="2135"/>
      <c r="P50" s="3496" t="str">
        <f>A50</f>
        <v>估价对象XX用房的比较价格（楼面单价，元/平方米）</v>
      </c>
      <c r="Q50" s="3412"/>
      <c r="R50" s="3490" t="e">
        <f>IF(F1="售价",ROUND(AVERAGE(R49:V49),0),ROUND(AVERAGE(R49:V49),1))</f>
        <v>#DIV/0!</v>
      </c>
      <c r="S50" s="3490"/>
      <c r="T50" s="3490"/>
      <c r="U50" s="3490"/>
      <c r="V50" s="3490"/>
      <c r="W50" s="3490"/>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2018-5</v>
      </c>
      <c r="D59" s="2829">
        <f>EDATE(C59,-1)</f>
        <v>43191</v>
      </c>
      <c r="E59" s="2829">
        <f t="shared" ref="E59:O59" si="13">EDATE(D59,-1)</f>
        <v>43160</v>
      </c>
      <c r="F59" s="2829">
        <f t="shared" si="13"/>
        <v>43132</v>
      </c>
      <c r="G59" s="2829">
        <f t="shared" si="13"/>
        <v>43101</v>
      </c>
      <c r="H59" s="2829">
        <f t="shared" si="13"/>
        <v>43070</v>
      </c>
      <c r="I59" s="2829">
        <f t="shared" si="13"/>
        <v>43040</v>
      </c>
      <c r="J59" s="2829">
        <f t="shared" si="13"/>
        <v>43009</v>
      </c>
      <c r="K59" s="2829">
        <f t="shared" si="13"/>
        <v>42979</v>
      </c>
      <c r="L59" s="2829">
        <f t="shared" si="13"/>
        <v>42948</v>
      </c>
      <c r="M59" s="2829">
        <f t="shared" si="13"/>
        <v>42917</v>
      </c>
      <c r="N59" s="2829">
        <f t="shared" si="13"/>
        <v>42887</v>
      </c>
      <c r="O59" s="2829">
        <f t="shared" si="13"/>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2556</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2557</v>
      </c>
      <c r="C83" s="2623" t="s">
        <v>2558</v>
      </c>
      <c r="D83" s="2623" t="s">
        <v>2559</v>
      </c>
      <c r="E83" s="2623" t="s">
        <v>2560</v>
      </c>
      <c r="F83" s="2623" t="s">
        <v>2561</v>
      </c>
      <c r="G83" s="2623" t="s">
        <v>2562</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2555</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94" t="s">
        <v>522</v>
      </c>
      <c r="D4" s="3395"/>
      <c r="E4" s="3420" t="s">
        <v>523</v>
      </c>
      <c r="F4" s="3421"/>
      <c r="G4" s="3394" t="s">
        <v>524</v>
      </c>
      <c r="H4" s="3395"/>
      <c r="I4" s="3394" t="s">
        <v>525</v>
      </c>
      <c r="J4" s="3395"/>
      <c r="K4" s="514" t="s">
        <v>526</v>
      </c>
      <c r="L4" s="2134"/>
      <c r="M4" s="2135"/>
      <c r="N4" s="2135"/>
      <c r="O4" s="2135"/>
      <c r="P4" s="3396" t="s">
        <v>527</v>
      </c>
      <c r="Q4" s="3397"/>
      <c r="R4" s="3382" t="s">
        <v>523</v>
      </c>
      <c r="S4" s="3383"/>
      <c r="T4" s="3382" t="s">
        <v>524</v>
      </c>
      <c r="U4" s="3383"/>
      <c r="V4" s="3402" t="s">
        <v>525</v>
      </c>
      <c r="W4" s="3402"/>
      <c r="X4" s="1568"/>
      <c r="Y4" s="3382" t="s">
        <v>527</v>
      </c>
      <c r="Z4" s="3383"/>
      <c r="AA4" s="3377" t="s">
        <v>523</v>
      </c>
      <c r="AB4" s="3378" t="s">
        <v>524</v>
      </c>
      <c r="AC4" s="3377" t="s">
        <v>525</v>
      </c>
    </row>
    <row r="5" spans="1:29" ht="15">
      <c r="A5" s="515"/>
      <c r="B5" s="516"/>
      <c r="C5" s="3407" t="s">
        <v>2925</v>
      </c>
      <c r="D5" s="3406"/>
      <c r="E5" s="3422" t="s">
        <v>2926</v>
      </c>
      <c r="F5" s="3423"/>
      <c r="G5" s="3407" t="s">
        <v>2927</v>
      </c>
      <c r="H5" s="3406"/>
      <c r="I5" s="3407" t="s">
        <v>2928</v>
      </c>
      <c r="J5" s="3406"/>
      <c r="K5" s="514"/>
      <c r="L5" s="2134"/>
      <c r="M5" s="2135"/>
      <c r="N5" s="2135"/>
      <c r="O5" s="2135"/>
      <c r="P5" s="3398"/>
      <c r="Q5" s="3399"/>
      <c r="R5" s="3384"/>
      <c r="S5" s="3385"/>
      <c r="T5" s="3384"/>
      <c r="U5" s="3385"/>
      <c r="V5" s="3402"/>
      <c r="W5" s="3402"/>
      <c r="X5" s="1568"/>
      <c r="Y5" s="3384"/>
      <c r="Z5" s="3385"/>
      <c r="AA5" s="3378"/>
      <c r="AB5" s="3378"/>
      <c r="AC5" s="3378"/>
    </row>
    <row r="6" spans="1:29" ht="15.75" thickBot="1">
      <c r="A6" s="517"/>
      <c r="B6" s="518"/>
      <c r="C6" s="3424" t="s">
        <v>2929</v>
      </c>
      <c r="D6" s="3404"/>
      <c r="E6" s="3425" t="s">
        <v>2929</v>
      </c>
      <c r="F6" s="3426"/>
      <c r="G6" s="3424" t="s">
        <v>2929</v>
      </c>
      <c r="H6" s="3404"/>
      <c r="I6" s="3424" t="s">
        <v>2929</v>
      </c>
      <c r="J6" s="3404"/>
      <c r="K6" s="514" t="s">
        <v>528</v>
      </c>
      <c r="L6" s="2134"/>
      <c r="M6" s="2135"/>
      <c r="N6" s="2135"/>
      <c r="O6" s="2135"/>
      <c r="P6" s="3400"/>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0" t="s">
        <v>530</v>
      </c>
      <c r="Q7" s="3389"/>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40" si="3">D8/F8</f>
        <v>#DIV/0!</v>
      </c>
      <c r="AB8" s="1572" t="e">
        <f t="shared" ref="AB8:AB40" si="4">D8/H8</f>
        <v>#DIV/0!</v>
      </c>
      <c r="AC8" s="1572" t="e">
        <f t="shared" ref="AC8:AC40" si="5">D8/J8</f>
        <v>#DIV/0!</v>
      </c>
    </row>
    <row r="9" spans="1:29" s="1220" customFormat="1" ht="15">
      <c r="A9" s="2939"/>
      <c r="B9" s="2946"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8" t="s">
        <v>535</v>
      </c>
      <c r="Q9" s="1151" t="str">
        <f t="shared" ref="Q9:Q15" si="6">B9</f>
        <v>用途</v>
      </c>
      <c r="R9" s="1569" t="s">
        <v>8</v>
      </c>
      <c r="S9" s="1570">
        <f t="shared" si="0"/>
        <v>100</v>
      </c>
      <c r="T9" s="1569" t="s">
        <v>8</v>
      </c>
      <c r="U9" s="1570">
        <f t="shared" si="1"/>
        <v>100</v>
      </c>
      <c r="V9" s="1569" t="s">
        <v>8</v>
      </c>
      <c r="W9" s="1570">
        <f t="shared" si="2"/>
        <v>100</v>
      </c>
      <c r="X9" s="1571"/>
      <c r="Y9" s="3341" t="s">
        <v>536</v>
      </c>
      <c r="Z9" s="1150" t="str">
        <f t="shared" ref="Z9:Z15" si="7">Q9</f>
        <v>用途</v>
      </c>
      <c r="AA9" s="1572">
        <f t="shared" si="3"/>
        <v>1</v>
      </c>
      <c r="AB9" s="1572">
        <f t="shared" si="4"/>
        <v>1</v>
      </c>
      <c r="AC9" s="1572">
        <f t="shared" si="5"/>
        <v>1</v>
      </c>
    </row>
    <row r="10" spans="1:29" s="1338" customFormat="1" ht="27">
      <c r="A10" s="2940"/>
      <c r="B10" s="2945"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1"/>
      <c r="B11" s="294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8"/>
      <c r="Q11" s="1151" t="str">
        <f t="shared" si="6"/>
        <v>容积率</v>
      </c>
      <c r="R11" s="1569" t="s">
        <v>8</v>
      </c>
      <c r="S11" s="1570" t="e">
        <f t="shared" si="0"/>
        <v>#N/A</v>
      </c>
      <c r="T11" s="1569" t="s">
        <v>8</v>
      </c>
      <c r="U11" s="1570" t="e">
        <f t="shared" si="1"/>
        <v>#N/A</v>
      </c>
      <c r="V11" s="1569" t="s">
        <v>8</v>
      </c>
      <c r="W11" s="1570" t="e">
        <f t="shared" si="2"/>
        <v>#N/A</v>
      </c>
      <c r="X11" s="1571"/>
      <c r="Y11" s="334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8"/>
      <c r="Q14" s="1151">
        <f t="shared" si="6"/>
        <v>111</v>
      </c>
      <c r="R14" s="1569" t="s">
        <v>8</v>
      </c>
      <c r="S14" s="1570">
        <f t="shared" si="0"/>
        <v>100</v>
      </c>
      <c r="T14" s="1569" t="s">
        <v>8</v>
      </c>
      <c r="U14" s="1570">
        <f t="shared" si="1"/>
        <v>100</v>
      </c>
      <c r="V14" s="1569" t="s">
        <v>8</v>
      </c>
      <c r="W14" s="1570">
        <f t="shared" si="2"/>
        <v>100</v>
      </c>
      <c r="X14" s="1571"/>
      <c r="Y14" s="3341"/>
      <c r="Z14" s="1150">
        <f t="shared" si="7"/>
        <v>111</v>
      </c>
      <c r="AA14" s="1572">
        <f t="shared" si="3"/>
        <v>1</v>
      </c>
      <c r="AB14" s="1572">
        <f t="shared" si="4"/>
        <v>1</v>
      </c>
      <c r="AC14" s="1572">
        <f t="shared" si="5"/>
        <v>1</v>
      </c>
    </row>
    <row r="15" spans="1:29" ht="57">
      <c r="A15" s="2935"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0" t="s">
        <v>540</v>
      </c>
      <c r="Q15" s="1573" t="str">
        <f t="shared" si="6"/>
        <v>产业集聚程度</v>
      </c>
      <c r="R15" s="1574" t="s">
        <v>8</v>
      </c>
      <c r="S15" s="1575">
        <f t="shared" si="0"/>
        <v>100</v>
      </c>
      <c r="T15" s="1574" t="s">
        <v>8</v>
      </c>
      <c r="U15" s="1575">
        <f t="shared" si="1"/>
        <v>100</v>
      </c>
      <c r="V15" s="1574" t="s">
        <v>8</v>
      </c>
      <c r="W15" s="1575">
        <f t="shared" si="2"/>
        <v>100</v>
      </c>
      <c r="X15" s="1568"/>
      <c r="Y15" s="339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1"/>
      <c r="Q18" s="1573"/>
      <c r="R18" s="1574"/>
      <c r="S18" s="1575"/>
      <c r="T18" s="1574"/>
      <c r="U18" s="1575"/>
      <c r="V18" s="1574"/>
      <c r="W18" s="1575"/>
      <c r="X18" s="1568"/>
      <c r="Y18" s="3391"/>
      <c r="Z18" s="1576"/>
      <c r="AA18" s="1577">
        <v>1</v>
      </c>
      <c r="AB18" s="1577">
        <v>1</v>
      </c>
      <c r="AC18" s="1577">
        <v>1</v>
      </c>
    </row>
    <row r="19" spans="1:29" ht="42.75">
      <c r="A19" s="532"/>
      <c r="B19" s="262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8.5">
      <c r="A21" s="532"/>
      <c r="B21" s="261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1"/>
      <c r="Q21" s="2604" t="str">
        <f>B21</f>
        <v>基础设施水平</v>
      </c>
      <c r="R21" s="1574" t="s">
        <v>8</v>
      </c>
      <c r="S21" s="1575">
        <f>F21</f>
        <v>100</v>
      </c>
      <c r="T21" s="1574" t="s">
        <v>8</v>
      </c>
      <c r="U21" s="1575">
        <f>H21</f>
        <v>100</v>
      </c>
      <c r="V21" s="1574" t="s">
        <v>8</v>
      </c>
      <c r="W21" s="1575">
        <f>J21</f>
        <v>100</v>
      </c>
      <c r="X21" s="2606"/>
      <c r="Y21" s="3391"/>
      <c r="Z21" s="2605" t="str">
        <f>Q21</f>
        <v>基础设施水平</v>
      </c>
      <c r="AA21" s="1577">
        <f>D21/F21</f>
        <v>1</v>
      </c>
      <c r="AB21" s="1577">
        <f>D21/H21</f>
        <v>1</v>
      </c>
      <c r="AC21" s="1577">
        <f>D21/J21</f>
        <v>1</v>
      </c>
    </row>
    <row r="22" spans="1:29" ht="15">
      <c r="A22" s="532"/>
      <c r="B22" s="578"/>
      <c r="C22" s="873"/>
      <c r="D22" s="555"/>
      <c r="E22" s="576"/>
      <c r="F22" s="557"/>
      <c r="G22" s="576"/>
      <c r="H22" s="555"/>
      <c r="I22" s="576"/>
      <c r="J22" s="555"/>
      <c r="K22" s="2627"/>
      <c r="L22" s="2143"/>
      <c r="M22" s="2135"/>
      <c r="N22" s="2135"/>
      <c r="O22" s="2142"/>
      <c r="P22" s="3391"/>
      <c r="Q22" s="2604"/>
      <c r="R22" s="1574"/>
      <c r="S22" s="1575"/>
      <c r="T22" s="1574"/>
      <c r="U22" s="1575"/>
      <c r="V22" s="1574"/>
      <c r="W22" s="1575"/>
      <c r="X22" s="2606"/>
      <c r="Y22" s="3391"/>
      <c r="Z22" s="2605"/>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1"/>
      <c r="Q24" s="1573"/>
      <c r="R24" s="1574"/>
      <c r="S24" s="1575"/>
      <c r="T24" s="1574"/>
      <c r="U24" s="1575"/>
      <c r="V24" s="1574"/>
      <c r="W24" s="1575"/>
      <c r="X24" s="1568"/>
      <c r="Y24" s="339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1"/>
      <c r="Q25" s="1573">
        <f>B25</f>
        <v>111</v>
      </c>
      <c r="R25" s="1574" t="s">
        <v>8</v>
      </c>
      <c r="S25" s="1575">
        <f>F25</f>
        <v>100</v>
      </c>
      <c r="T25" s="1574" t="s">
        <v>8</v>
      </c>
      <c r="U25" s="1575">
        <f>H25</f>
        <v>100</v>
      </c>
      <c r="V25" s="1574" t="s">
        <v>8</v>
      </c>
      <c r="W25" s="1575">
        <f>J25</f>
        <v>100</v>
      </c>
      <c r="X25" s="1568"/>
      <c r="Y25" s="339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1"/>
      <c r="Q26" s="1573">
        <f t="shared" ref="Q26:Q40" si="8">B26</f>
        <v>111</v>
      </c>
      <c r="R26" s="1574" t="s">
        <v>8</v>
      </c>
      <c r="S26" s="1575">
        <f>F26</f>
        <v>100</v>
      </c>
      <c r="T26" s="1574" t="s">
        <v>8</v>
      </c>
      <c r="U26" s="1575">
        <f>H26</f>
        <v>100</v>
      </c>
      <c r="V26" s="1574" t="s">
        <v>8</v>
      </c>
      <c r="W26" s="1575">
        <f>J26</f>
        <v>100</v>
      </c>
      <c r="X26" s="1568"/>
      <c r="Y26" s="339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1"/>
      <c r="Q27" s="1151">
        <f t="shared" si="8"/>
        <v>111</v>
      </c>
      <c r="R27" s="1569" t="s">
        <v>8</v>
      </c>
      <c r="S27" s="1570">
        <f>F27</f>
        <v>100</v>
      </c>
      <c r="T27" s="1569" t="s">
        <v>8</v>
      </c>
      <c r="U27" s="1570">
        <f>H27</f>
        <v>100</v>
      </c>
      <c r="V27" s="1569" t="s">
        <v>8</v>
      </c>
      <c r="W27" s="1570">
        <f>J27</f>
        <v>100</v>
      </c>
      <c r="X27" s="1571"/>
      <c r="Y27" s="339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1"/>
      <c r="Q28" s="1573">
        <f t="shared" si="8"/>
        <v>111</v>
      </c>
      <c r="R28" s="1574" t="s">
        <v>8</v>
      </c>
      <c r="S28" s="1575">
        <f t="shared" ref="S28:S40" si="9">F28</f>
        <v>100</v>
      </c>
      <c r="T28" s="1574" t="s">
        <v>8</v>
      </c>
      <c r="U28" s="1575">
        <f t="shared" ref="U28:U40" si="10">H28</f>
        <v>100</v>
      </c>
      <c r="V28" s="1574" t="s">
        <v>8</v>
      </c>
      <c r="W28" s="1575">
        <f t="shared" ref="W28:W40" si="11">J28</f>
        <v>100</v>
      </c>
      <c r="X28" s="1568"/>
      <c r="Y28" s="3391"/>
      <c r="Z28" s="1576">
        <f t="shared" ref="Z28:Z40" si="12">Q28</f>
        <v>111</v>
      </c>
      <c r="AA28" s="1577">
        <f t="shared" si="3"/>
        <v>1</v>
      </c>
      <c r="AB28" s="1577">
        <f t="shared" si="4"/>
        <v>1</v>
      </c>
      <c r="AC28" s="1577">
        <f t="shared" si="5"/>
        <v>1</v>
      </c>
    </row>
    <row r="29" spans="1:29" ht="15">
      <c r="A29" s="293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2" t="s">
        <v>550</v>
      </c>
      <c r="Q29" s="1573" t="str">
        <f t="shared" si="8"/>
        <v>建筑类型</v>
      </c>
      <c r="R29" s="1574" t="s">
        <v>8</v>
      </c>
      <c r="S29" s="1575">
        <f t="shared" si="9"/>
        <v>100</v>
      </c>
      <c r="T29" s="1574" t="s">
        <v>8</v>
      </c>
      <c r="U29" s="1575">
        <f t="shared" si="10"/>
        <v>100</v>
      </c>
      <c r="V29" s="1574" t="s">
        <v>8</v>
      </c>
      <c r="W29" s="1575">
        <f t="shared" si="11"/>
        <v>100</v>
      </c>
      <c r="X29" s="1568"/>
      <c r="Y29" s="3393"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3"/>
      <c r="Q30" s="1606" t="str">
        <f t="shared" si="8"/>
        <v>项目建筑规模</v>
      </c>
      <c r="R30" s="1578" t="s">
        <v>8</v>
      </c>
      <c r="S30" s="1579" t="e">
        <f t="shared" si="9"/>
        <v>#N/A</v>
      </c>
      <c r="T30" s="1578" t="s">
        <v>8</v>
      </c>
      <c r="U30" s="1579" t="e">
        <f t="shared" si="10"/>
        <v>#N/A</v>
      </c>
      <c r="V30" s="1578" t="s">
        <v>8</v>
      </c>
      <c r="W30" s="1579" t="e">
        <f t="shared" si="11"/>
        <v>#N/A</v>
      </c>
      <c r="X30" s="1580"/>
      <c r="Y30" s="3393"/>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3"/>
      <c r="Q31" s="1573" t="str">
        <f t="shared" si="8"/>
        <v>建筑结构</v>
      </c>
      <c r="R31" s="1574" t="s">
        <v>8</v>
      </c>
      <c r="S31" s="1575">
        <f t="shared" si="9"/>
        <v>100</v>
      </c>
      <c r="T31" s="1574" t="s">
        <v>8</v>
      </c>
      <c r="U31" s="1575">
        <f t="shared" si="10"/>
        <v>100</v>
      </c>
      <c r="V31" s="1574" t="s">
        <v>8</v>
      </c>
      <c r="W31" s="1575">
        <f t="shared" si="11"/>
        <v>100</v>
      </c>
      <c r="X31" s="1568"/>
      <c r="Y31" s="3393"/>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3"/>
      <c r="Q32" s="1573" t="str">
        <f t="shared" si="8"/>
        <v>公共部分装修</v>
      </c>
      <c r="R32" s="1574" t="s">
        <v>8</v>
      </c>
      <c r="S32" s="1575">
        <f t="shared" si="9"/>
        <v>100</v>
      </c>
      <c r="T32" s="1574" t="s">
        <v>8</v>
      </c>
      <c r="U32" s="1575">
        <f t="shared" si="10"/>
        <v>100</v>
      </c>
      <c r="V32" s="1574" t="s">
        <v>8</v>
      </c>
      <c r="W32" s="1575">
        <f t="shared" si="11"/>
        <v>100</v>
      </c>
      <c r="X32" s="1568"/>
      <c r="Y32" s="3393"/>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3"/>
      <c r="Q33" s="1573" t="str">
        <f t="shared" si="8"/>
        <v>成新度</v>
      </c>
      <c r="R33" s="1574" t="s">
        <v>8</v>
      </c>
      <c r="S33" s="1575" t="e">
        <f t="shared" si="9"/>
        <v>#N/A</v>
      </c>
      <c r="T33" s="1574" t="s">
        <v>8</v>
      </c>
      <c r="U33" s="1575" t="e">
        <f t="shared" si="10"/>
        <v>#N/A</v>
      </c>
      <c r="V33" s="1574" t="s">
        <v>8</v>
      </c>
      <c r="W33" s="1575" t="e">
        <f t="shared" si="11"/>
        <v>#N/A</v>
      </c>
      <c r="X33" s="1568"/>
      <c r="Y33" s="3393"/>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3"/>
      <c r="Q34" s="1151" t="str">
        <f t="shared" si="8"/>
        <v>物业管理</v>
      </c>
      <c r="R34" s="1569" t="s">
        <v>8</v>
      </c>
      <c r="S34" s="1570">
        <f t="shared" si="9"/>
        <v>100</v>
      </c>
      <c r="T34" s="1569" t="s">
        <v>8</v>
      </c>
      <c r="U34" s="1570">
        <f t="shared" si="10"/>
        <v>100</v>
      </c>
      <c r="V34" s="1569" t="s">
        <v>8</v>
      </c>
      <c r="W34" s="1570">
        <f t="shared" si="11"/>
        <v>100</v>
      </c>
      <c r="X34" s="1571"/>
      <c r="Y34" s="3393"/>
      <c r="Z34" s="1150" t="str">
        <f t="shared" si="12"/>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3" t="s">
        <v>550</v>
      </c>
      <c r="Q35" s="1573" t="str">
        <f t="shared" si="8"/>
        <v>市政基础设施</v>
      </c>
      <c r="R35" s="1574" t="s">
        <v>8</v>
      </c>
      <c r="S35" s="1575">
        <f t="shared" si="9"/>
        <v>100</v>
      </c>
      <c r="T35" s="1574" t="s">
        <v>8</v>
      </c>
      <c r="U35" s="1575">
        <f t="shared" si="10"/>
        <v>100</v>
      </c>
      <c r="V35" s="1574" t="s">
        <v>8</v>
      </c>
      <c r="W35" s="1575">
        <f t="shared" si="11"/>
        <v>100</v>
      </c>
      <c r="X35" s="1568"/>
      <c r="Y35" s="3393"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3"/>
      <c r="Q36" s="1573" t="str">
        <f t="shared" si="8"/>
        <v>内部装修</v>
      </c>
      <c r="R36" s="1574" t="s">
        <v>8</v>
      </c>
      <c r="S36" s="1575">
        <f t="shared" si="9"/>
        <v>100</v>
      </c>
      <c r="T36" s="1574" t="s">
        <v>8</v>
      </c>
      <c r="U36" s="1575">
        <f t="shared" si="10"/>
        <v>100</v>
      </c>
      <c r="V36" s="1574" t="s">
        <v>8</v>
      </c>
      <c r="W36" s="1575">
        <f t="shared" si="11"/>
        <v>100</v>
      </c>
      <c r="X36" s="1568"/>
      <c r="Y36" s="3393"/>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3"/>
      <c r="Q37" s="1573" t="str">
        <f t="shared" si="8"/>
        <v>内部装修状况</v>
      </c>
      <c r="R37" s="1574" t="s">
        <v>8</v>
      </c>
      <c r="S37" s="1575">
        <f t="shared" si="9"/>
        <v>100</v>
      </c>
      <c r="T37" s="1574" t="s">
        <v>8</v>
      </c>
      <c r="U37" s="1575">
        <f t="shared" si="10"/>
        <v>100</v>
      </c>
      <c r="V37" s="1574" t="s">
        <v>8</v>
      </c>
      <c r="W37" s="1575">
        <f t="shared" si="11"/>
        <v>100</v>
      </c>
      <c r="X37" s="1568"/>
      <c r="Y37" s="3393"/>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3"/>
      <c r="Q38" s="1606">
        <f t="shared" si="8"/>
        <v>111</v>
      </c>
      <c r="R38" s="1578" t="s">
        <v>8</v>
      </c>
      <c r="S38" s="1579">
        <f t="shared" si="9"/>
        <v>100</v>
      </c>
      <c r="T38" s="1578" t="s">
        <v>8</v>
      </c>
      <c r="U38" s="1579">
        <f t="shared" si="10"/>
        <v>100</v>
      </c>
      <c r="V38" s="1578" t="s">
        <v>8</v>
      </c>
      <c r="W38" s="1579">
        <f t="shared" si="11"/>
        <v>100</v>
      </c>
      <c r="X38" s="1580"/>
      <c r="Y38" s="3393"/>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3"/>
      <c r="Q39" s="1573">
        <f t="shared" si="8"/>
        <v>111</v>
      </c>
      <c r="R39" s="1574" t="s">
        <v>8</v>
      </c>
      <c r="S39" s="1575">
        <f t="shared" si="9"/>
        <v>100</v>
      </c>
      <c r="T39" s="1574" t="s">
        <v>8</v>
      </c>
      <c r="U39" s="1575">
        <f t="shared" si="10"/>
        <v>100</v>
      </c>
      <c r="V39" s="1574" t="s">
        <v>8</v>
      </c>
      <c r="W39" s="1575">
        <f t="shared" si="11"/>
        <v>100</v>
      </c>
      <c r="X39" s="1568"/>
      <c r="Y39" s="3393"/>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2"/>
      <c r="Q40" s="1573">
        <f t="shared" si="8"/>
        <v>111</v>
      </c>
      <c r="R40" s="1574" t="s">
        <v>8</v>
      </c>
      <c r="S40" s="1575">
        <f t="shared" si="9"/>
        <v>100</v>
      </c>
      <c r="T40" s="1574" t="s">
        <v>8</v>
      </c>
      <c r="U40" s="1575">
        <f t="shared" si="10"/>
        <v>100</v>
      </c>
      <c r="V40" s="1574" t="s">
        <v>8</v>
      </c>
      <c r="W40" s="1575">
        <f t="shared" si="11"/>
        <v>100</v>
      </c>
      <c r="X40" s="1568"/>
      <c r="Y40" s="3492"/>
      <c r="Z40" s="1576">
        <f t="shared" si="12"/>
        <v>111</v>
      </c>
      <c r="AA40" s="1577">
        <f t="shared" si="3"/>
        <v>1</v>
      </c>
      <c r="AB40" s="1577">
        <f t="shared" si="4"/>
        <v>1</v>
      </c>
      <c r="AC40" s="1577">
        <f t="shared" si="5"/>
        <v>1</v>
      </c>
    </row>
    <row r="41" spans="1:29" ht="15">
      <c r="A41" s="607" t="s">
        <v>736</v>
      </c>
      <c r="B41" s="887"/>
      <c r="C41" s="2652" t="s">
        <v>1</v>
      </c>
      <c r="D41" s="2653"/>
      <c r="E41" s="2654"/>
      <c r="F41" s="2655"/>
      <c r="G41" s="2656"/>
      <c r="H41" s="2657"/>
      <c r="I41" s="2654"/>
      <c r="J41" s="2657"/>
      <c r="K41" s="1612"/>
      <c r="L41" s="2145"/>
      <c r="M41" s="2146"/>
      <c r="N41" s="2135"/>
      <c r="O41" s="2146"/>
      <c r="P41" s="3388" t="str">
        <f>A41</f>
        <v>成交单价（元/平方米）</v>
      </c>
      <c r="Q41" s="3388"/>
      <c r="R41" s="3491">
        <f>E41</f>
        <v>0</v>
      </c>
      <c r="S41" s="3491"/>
      <c r="T41" s="3491">
        <f>G41</f>
        <v>0</v>
      </c>
      <c r="U41" s="3491"/>
      <c r="V41" s="3491">
        <f>I41</f>
        <v>0</v>
      </c>
      <c r="W41" s="3491"/>
      <c r="X41" s="1560"/>
      <c r="Y41" s="1582"/>
      <c r="Z41" s="1560"/>
      <c r="AA41" s="1560"/>
      <c r="AB41" s="1560"/>
      <c r="AC41" s="1560"/>
    </row>
    <row r="42" spans="1:29" ht="15.75" thickBot="1">
      <c r="A42" s="615" t="s">
        <v>2759</v>
      </c>
      <c r="B42" s="888"/>
      <c r="C42" s="2658" t="e">
        <f>R43</f>
        <v>#DIV/0!</v>
      </c>
      <c r="D42" s="2659"/>
      <c r="E42" s="2660" t="e">
        <f>R42</f>
        <v>#DIV/0!</v>
      </c>
      <c r="F42" s="2660"/>
      <c r="G42" s="2658" t="e">
        <f>T42</f>
        <v>#DIV/0!</v>
      </c>
      <c r="H42" s="2659"/>
      <c r="I42" s="2660" t="e">
        <f>V42</f>
        <v>#DIV/0!</v>
      </c>
      <c r="J42" s="2659"/>
      <c r="K42" s="1613"/>
      <c r="L42" s="2145"/>
      <c r="M42" s="2146"/>
      <c r="N42" s="2135"/>
      <c r="O42" s="2146"/>
      <c r="P42" s="3388" t="str">
        <f>A42</f>
        <v>比较价格（元/平方米）</v>
      </c>
      <c r="Q42" s="3388"/>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60"/>
      <c r="Y42" s="1560"/>
      <c r="Z42" s="1560"/>
      <c r="AA42" s="1560"/>
      <c r="AB42" s="1560"/>
      <c r="AC42" s="1560"/>
    </row>
    <row r="43" spans="1:29" ht="15.75" thickBot="1">
      <c r="A43" s="621" t="s">
        <v>2931</v>
      </c>
      <c r="B43" s="622"/>
      <c r="C43" s="2661" t="e">
        <f>R43</f>
        <v>#DIV/0!</v>
      </c>
      <c r="D43" s="2661"/>
      <c r="E43" s="2661"/>
      <c r="F43" s="2661"/>
      <c r="G43" s="2661"/>
      <c r="H43" s="2661"/>
      <c r="I43" s="2661"/>
      <c r="J43" s="2661"/>
      <c r="K43" s="1614"/>
      <c r="L43" s="2145"/>
      <c r="M43" s="2146"/>
      <c r="N43" s="2146"/>
      <c r="O43" s="2146"/>
      <c r="P43" s="3411" t="str">
        <f>A43</f>
        <v>估价对象XX用房的比较价格（楼面单价，元/平方米）</v>
      </c>
      <c r="Q43" s="3412"/>
      <c r="R43" s="3490" t="e">
        <f>IF(F1="售价",ROUND(AVERAGE(R42:V42),0),ROUND(AVERAGE(R42:V42),1))</f>
        <v>#DIV/0!</v>
      </c>
      <c r="S43" s="3490"/>
      <c r="T43" s="3490"/>
      <c r="U43" s="3490"/>
      <c r="V43" s="3490"/>
      <c r="W43" s="3490"/>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2018-5</v>
      </c>
      <c r="D52" s="2829">
        <f>EDATE(C52,-1)</f>
        <v>43191</v>
      </c>
      <c r="E52" s="2829">
        <f t="shared" ref="E52:O52" si="13">EDATE(D52,-1)</f>
        <v>43160</v>
      </c>
      <c r="F52" s="2829">
        <f t="shared" si="13"/>
        <v>43132</v>
      </c>
      <c r="G52" s="2829">
        <f t="shared" si="13"/>
        <v>43101</v>
      </c>
      <c r="H52" s="2829">
        <f t="shared" si="13"/>
        <v>43070</v>
      </c>
      <c r="I52" s="2829">
        <f t="shared" si="13"/>
        <v>43040</v>
      </c>
      <c r="J52" s="2829">
        <f t="shared" si="13"/>
        <v>43009</v>
      </c>
      <c r="K52" s="2829">
        <f t="shared" si="13"/>
        <v>42979</v>
      </c>
      <c r="L52" s="2829">
        <f t="shared" si="13"/>
        <v>42948</v>
      </c>
      <c r="M52" s="2829">
        <f t="shared" si="13"/>
        <v>42917</v>
      </c>
      <c r="N52" s="2829">
        <f t="shared" si="13"/>
        <v>42887</v>
      </c>
      <c r="O52" s="2829">
        <f t="shared" si="13"/>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2556</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2557</v>
      </c>
      <c r="C76" s="2623" t="s">
        <v>2558</v>
      </c>
      <c r="D76" s="2623" t="s">
        <v>2559</v>
      </c>
      <c r="E76" s="2623" t="s">
        <v>2560</v>
      </c>
      <c r="F76" s="2623" t="s">
        <v>2561</v>
      </c>
      <c r="G76" s="2623" t="s">
        <v>2562</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2555</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4" t="s">
        <v>798</v>
      </c>
      <c r="D4" s="3395"/>
      <c r="E4" s="3394" t="s">
        <v>799</v>
      </c>
      <c r="F4" s="3395"/>
      <c r="G4" s="3394" t="s">
        <v>800</v>
      </c>
      <c r="H4" s="3395"/>
      <c r="I4" s="3394" t="s">
        <v>801</v>
      </c>
      <c r="J4" s="3395"/>
      <c r="K4" s="514" t="s">
        <v>802</v>
      </c>
      <c r="L4" s="2134"/>
      <c r="M4" s="2135"/>
      <c r="N4" s="2135"/>
      <c r="O4" s="2135"/>
      <c r="P4" s="3396" t="s">
        <v>803</v>
      </c>
      <c r="Q4" s="3397"/>
      <c r="R4" s="3382" t="s">
        <v>799</v>
      </c>
      <c r="S4" s="3383"/>
      <c r="T4" s="3382" t="s">
        <v>800</v>
      </c>
      <c r="U4" s="3383"/>
      <c r="V4" s="3402" t="s">
        <v>801</v>
      </c>
      <c r="W4" s="3402"/>
      <c r="X4" s="1568"/>
      <c r="Y4" s="3382" t="s">
        <v>803</v>
      </c>
      <c r="Z4" s="3383"/>
      <c r="AA4" s="3377" t="s">
        <v>799</v>
      </c>
      <c r="AB4" s="3378" t="s">
        <v>800</v>
      </c>
      <c r="AC4" s="3377" t="s">
        <v>801</v>
      </c>
    </row>
    <row r="5" spans="1:29" ht="15">
      <c r="A5" s="515"/>
      <c r="B5" s="516"/>
      <c r="C5" s="3407" t="s">
        <v>2925</v>
      </c>
      <c r="D5" s="3406"/>
      <c r="E5" s="3407" t="s">
        <v>2926</v>
      </c>
      <c r="F5" s="3406"/>
      <c r="G5" s="3407" t="s">
        <v>2927</v>
      </c>
      <c r="H5" s="3406"/>
      <c r="I5" s="3407" t="s">
        <v>2928</v>
      </c>
      <c r="J5" s="3406"/>
      <c r="K5" s="514"/>
      <c r="L5" s="2134"/>
      <c r="M5" s="2135"/>
      <c r="N5" s="2135"/>
      <c r="O5" s="2135"/>
      <c r="P5" s="3398"/>
      <c r="Q5" s="3399"/>
      <c r="R5" s="3384"/>
      <c r="S5" s="3385"/>
      <c r="T5" s="3384"/>
      <c r="U5" s="3385"/>
      <c r="V5" s="3402"/>
      <c r="W5" s="3402"/>
      <c r="X5" s="1568"/>
      <c r="Y5" s="3384"/>
      <c r="Z5" s="3385"/>
      <c r="AA5" s="3378"/>
      <c r="AB5" s="3378"/>
      <c r="AC5" s="3378"/>
    </row>
    <row r="6" spans="1:29" ht="15.75" thickBot="1">
      <c r="A6" s="517"/>
      <c r="B6" s="518"/>
      <c r="C6" s="3424" t="s">
        <v>2929</v>
      </c>
      <c r="D6" s="3404"/>
      <c r="E6" s="3408" t="s">
        <v>2929</v>
      </c>
      <c r="F6" s="3409"/>
      <c r="G6" s="3424" t="s">
        <v>2929</v>
      </c>
      <c r="H6" s="3404"/>
      <c r="I6" s="3424" t="s">
        <v>2929</v>
      </c>
      <c r="J6" s="3404"/>
      <c r="K6" s="514" t="s">
        <v>528</v>
      </c>
      <c r="L6" s="2134"/>
      <c r="M6" s="2135"/>
      <c r="N6" s="2135"/>
      <c r="O6" s="2135"/>
      <c r="P6" s="3400"/>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0" t="s">
        <v>530</v>
      </c>
      <c r="Q7" s="3389"/>
      <c r="R7" s="1569" t="s">
        <v>8</v>
      </c>
      <c r="S7" s="1570">
        <f t="shared" ref="S7:S14" si="0">F7</f>
        <v>0</v>
      </c>
      <c r="T7" s="1569" t="s">
        <v>8</v>
      </c>
      <c r="U7" s="1570">
        <f t="shared" ref="U7:U14" si="1">H7</f>
        <v>0</v>
      </c>
      <c r="V7" s="1569" t="s">
        <v>8</v>
      </c>
      <c r="W7" s="1570">
        <f t="shared" ref="W7:W14"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36" si="3">D8/F8</f>
        <v>#DIV/0!</v>
      </c>
      <c r="AB8" s="1572" t="e">
        <f t="shared" ref="AB8:AB36" si="4">D8/H8</f>
        <v>#DIV/0!</v>
      </c>
      <c r="AC8" s="1572" t="e">
        <f t="shared" ref="AC8:AC36" si="5">D8/J8</f>
        <v>#DIV/0!</v>
      </c>
    </row>
    <row r="9" spans="1:29" s="1220" customFormat="1" ht="15">
      <c r="A9" s="2939"/>
      <c r="B9" s="2946"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8" t="s">
        <v>535</v>
      </c>
      <c r="Q9" s="1151" t="str">
        <f t="shared" ref="Q9:Q14" si="6">B9</f>
        <v>用途</v>
      </c>
      <c r="R9" s="1569" t="s">
        <v>8</v>
      </c>
      <c r="S9" s="1570">
        <f t="shared" si="0"/>
        <v>100</v>
      </c>
      <c r="T9" s="1569" t="s">
        <v>8</v>
      </c>
      <c r="U9" s="1570">
        <f t="shared" si="1"/>
        <v>100</v>
      </c>
      <c r="V9" s="1569" t="s">
        <v>8</v>
      </c>
      <c r="W9" s="1570">
        <f t="shared" si="2"/>
        <v>100</v>
      </c>
      <c r="X9" s="1571"/>
      <c r="Y9" s="3341" t="s">
        <v>536</v>
      </c>
      <c r="Z9" s="1150" t="str">
        <f t="shared" ref="Z9:Z14" si="7">Q9</f>
        <v>用途</v>
      </c>
      <c r="AA9" s="1572">
        <f t="shared" si="3"/>
        <v>1</v>
      </c>
      <c r="AB9" s="1572">
        <f t="shared" si="4"/>
        <v>1</v>
      </c>
      <c r="AC9" s="1572">
        <f t="shared" si="5"/>
        <v>1</v>
      </c>
    </row>
    <row r="10" spans="1:29" s="1338" customFormat="1" ht="27">
      <c r="A10" s="2940"/>
      <c r="B10" s="2945"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8"/>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35"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1"/>
      <c r="Q15" s="1573"/>
      <c r="R15" s="1574"/>
      <c r="S15" s="1575"/>
      <c r="T15" s="1574"/>
      <c r="U15" s="1575"/>
      <c r="V15" s="1574"/>
      <c r="W15" s="1575"/>
      <c r="X15" s="1568"/>
      <c r="Y15" s="3391"/>
      <c r="Z15" s="1576"/>
      <c r="AA15" s="1577">
        <v>1</v>
      </c>
      <c r="AB15" s="1577">
        <v>1</v>
      </c>
      <c r="AC15" s="1577">
        <v>1</v>
      </c>
    </row>
    <row r="16" spans="1:29" ht="42.75">
      <c r="A16" s="515"/>
      <c r="B16" s="262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1"/>
      <c r="Q17" s="1573"/>
      <c r="R17" s="1574"/>
      <c r="S17" s="1575"/>
      <c r="T17" s="1574"/>
      <c r="U17" s="1575"/>
      <c r="V17" s="1574"/>
      <c r="W17" s="1575"/>
      <c r="X17" s="1568"/>
      <c r="Y17" s="3391"/>
      <c r="Z17" s="1576"/>
      <c r="AA17" s="1577">
        <v>1</v>
      </c>
      <c r="AB17" s="1577">
        <v>1</v>
      </c>
      <c r="AC17" s="1577">
        <v>1</v>
      </c>
    </row>
    <row r="18" spans="1:29" ht="28.5">
      <c r="A18" s="515"/>
      <c r="B18" s="261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1"/>
      <c r="Q18" s="2604" t="str">
        <f>B18</f>
        <v>基础设施水平</v>
      </c>
      <c r="R18" s="1574" t="s">
        <v>8</v>
      </c>
      <c r="S18" s="1575">
        <f>F18</f>
        <v>100</v>
      </c>
      <c r="T18" s="1574" t="s">
        <v>8</v>
      </c>
      <c r="U18" s="1575">
        <f>H18</f>
        <v>100</v>
      </c>
      <c r="V18" s="1574" t="s">
        <v>8</v>
      </c>
      <c r="W18" s="1575">
        <f>J18</f>
        <v>100</v>
      </c>
      <c r="X18" s="2606"/>
      <c r="Y18" s="3391"/>
      <c r="Z18" s="2605" t="str">
        <f>Q18</f>
        <v>基础设施水平</v>
      </c>
      <c r="AA18" s="1577">
        <f>D18/F18</f>
        <v>1</v>
      </c>
      <c r="AB18" s="1577">
        <f>D18/H18</f>
        <v>1</v>
      </c>
      <c r="AC18" s="1577">
        <f>D18/J18</f>
        <v>1</v>
      </c>
    </row>
    <row r="19" spans="1:29" ht="15">
      <c r="A19" s="515"/>
      <c r="B19" s="578"/>
      <c r="C19" s="873"/>
      <c r="D19" s="559"/>
      <c r="E19" s="576"/>
      <c r="F19" s="557"/>
      <c r="G19" s="576"/>
      <c r="H19" s="555"/>
      <c r="I19" s="576"/>
      <c r="J19" s="555"/>
      <c r="K19" s="2627"/>
      <c r="L19" s="2143"/>
      <c r="M19" s="2135"/>
      <c r="N19" s="2135"/>
      <c r="O19" s="2142"/>
      <c r="P19" s="3391"/>
      <c r="Q19" s="2604"/>
      <c r="R19" s="1574"/>
      <c r="S19" s="1575"/>
      <c r="T19" s="1574"/>
      <c r="U19" s="1575"/>
      <c r="V19" s="1574"/>
      <c r="W19" s="1575"/>
      <c r="X19" s="2606"/>
      <c r="Y19" s="3391"/>
      <c r="Z19" s="2605"/>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1"/>
      <c r="Q21" s="1573"/>
      <c r="R21" s="1574"/>
      <c r="S21" s="1575"/>
      <c r="T21" s="1574"/>
      <c r="U21" s="1575"/>
      <c r="V21" s="1574"/>
      <c r="W21" s="1575"/>
      <c r="X21" s="1568"/>
      <c r="Y21" s="339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1"/>
      <c r="Q24" s="1573">
        <f t="shared" ref="Q24:Q36" si="8">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1"/>
      <c r="Q25" s="1151">
        <f t="shared" si="8"/>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93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2"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93"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3"/>
      <c r="Q27" s="1606" t="str">
        <f t="shared" si="8"/>
        <v>项目停车位配比</v>
      </c>
      <c r="R27" s="1578" t="s">
        <v>8</v>
      </c>
      <c r="S27" s="1579">
        <f t="shared" si="9"/>
        <v>100</v>
      </c>
      <c r="T27" s="1578" t="s">
        <v>8</v>
      </c>
      <c r="U27" s="1579">
        <f t="shared" si="10"/>
        <v>100</v>
      </c>
      <c r="V27" s="1578" t="s">
        <v>8</v>
      </c>
      <c r="W27" s="1579">
        <f t="shared" si="11"/>
        <v>100</v>
      </c>
      <c r="X27" s="1580"/>
      <c r="Y27" s="3393"/>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3"/>
      <c r="Q28" s="1573" t="str">
        <f t="shared" si="8"/>
        <v>公共部分装修</v>
      </c>
      <c r="R28" s="1574" t="s">
        <v>8</v>
      </c>
      <c r="S28" s="1575">
        <f t="shared" si="9"/>
        <v>100</v>
      </c>
      <c r="T28" s="1574" t="s">
        <v>8</v>
      </c>
      <c r="U28" s="1575">
        <f t="shared" si="10"/>
        <v>100</v>
      </c>
      <c r="V28" s="1574" t="s">
        <v>8</v>
      </c>
      <c r="W28" s="1575">
        <f t="shared" si="11"/>
        <v>100</v>
      </c>
      <c r="X28" s="1568"/>
      <c r="Y28" s="3393"/>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3"/>
      <c r="Q29" s="1573" t="str">
        <f t="shared" si="8"/>
        <v>成新率</v>
      </c>
      <c r="R29" s="1574" t="s">
        <v>8</v>
      </c>
      <c r="S29" s="1575" t="e">
        <f t="shared" si="9"/>
        <v>#N/A</v>
      </c>
      <c r="T29" s="1574" t="s">
        <v>8</v>
      </c>
      <c r="U29" s="1575" t="e">
        <f t="shared" si="10"/>
        <v>#N/A</v>
      </c>
      <c r="V29" s="1574" t="s">
        <v>8</v>
      </c>
      <c r="W29" s="1575" t="e">
        <f t="shared" si="11"/>
        <v>#N/A</v>
      </c>
      <c r="X29" s="1568"/>
      <c r="Y29" s="3393"/>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3"/>
      <c r="Q30" s="1573" t="str">
        <f t="shared" si="8"/>
        <v>物业等级</v>
      </c>
      <c r="R30" s="1574" t="s">
        <v>8</v>
      </c>
      <c r="S30" s="1575">
        <f t="shared" si="9"/>
        <v>100</v>
      </c>
      <c r="T30" s="1574" t="s">
        <v>8</v>
      </c>
      <c r="U30" s="1575">
        <f t="shared" si="10"/>
        <v>100</v>
      </c>
      <c r="V30" s="1574" t="s">
        <v>8</v>
      </c>
      <c r="W30" s="1575">
        <f t="shared" si="11"/>
        <v>100</v>
      </c>
      <c r="X30" s="1568"/>
      <c r="Y30" s="3393"/>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3"/>
      <c r="Q31" s="1151" t="str">
        <f t="shared" si="8"/>
        <v>停车位面积</v>
      </c>
      <c r="R31" s="1569" t="s">
        <v>8</v>
      </c>
      <c r="S31" s="1570" t="e">
        <f t="shared" si="9"/>
        <v>#N/A</v>
      </c>
      <c r="T31" s="1569" t="s">
        <v>8</v>
      </c>
      <c r="U31" s="1570" t="e">
        <f t="shared" si="10"/>
        <v>#N/A</v>
      </c>
      <c r="V31" s="1569" t="s">
        <v>8</v>
      </c>
      <c r="W31" s="1570" t="e">
        <f t="shared" si="11"/>
        <v>#N/A</v>
      </c>
      <c r="X31" s="1571"/>
      <c r="Y31" s="3393"/>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3" t="s">
        <v>550</v>
      </c>
      <c r="Q32" s="1573" t="str">
        <f t="shared" si="8"/>
        <v>车位类型</v>
      </c>
      <c r="R32" s="1574" t="s">
        <v>8</v>
      </c>
      <c r="S32" s="1575">
        <f t="shared" si="9"/>
        <v>100</v>
      </c>
      <c r="T32" s="1574" t="s">
        <v>8</v>
      </c>
      <c r="U32" s="1575">
        <f t="shared" si="10"/>
        <v>100</v>
      </c>
      <c r="V32" s="1574" t="s">
        <v>8</v>
      </c>
      <c r="W32" s="1575">
        <f t="shared" si="11"/>
        <v>100</v>
      </c>
      <c r="X32" s="1568"/>
      <c r="Y32" s="3393"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3"/>
      <c r="Q33" s="1573" t="str">
        <f t="shared" si="8"/>
        <v>是否直接入户</v>
      </c>
      <c r="R33" s="1574" t="s">
        <v>8</v>
      </c>
      <c r="S33" s="1575">
        <f t="shared" si="9"/>
        <v>100</v>
      </c>
      <c r="T33" s="1574" t="s">
        <v>8</v>
      </c>
      <c r="U33" s="1575">
        <f t="shared" si="10"/>
        <v>100</v>
      </c>
      <c r="V33" s="1574" t="s">
        <v>8</v>
      </c>
      <c r="W33" s="1575">
        <f t="shared" si="11"/>
        <v>100</v>
      </c>
      <c r="X33" s="1568"/>
      <c r="Y33" s="3393"/>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3"/>
      <c r="Q34" s="1573">
        <f t="shared" si="8"/>
        <v>111</v>
      </c>
      <c r="R34" s="1574" t="s">
        <v>8</v>
      </c>
      <c r="S34" s="1575">
        <f t="shared" si="9"/>
        <v>100</v>
      </c>
      <c r="T34" s="1574" t="s">
        <v>8</v>
      </c>
      <c r="U34" s="1575">
        <f t="shared" si="10"/>
        <v>100</v>
      </c>
      <c r="V34" s="1574" t="s">
        <v>8</v>
      </c>
      <c r="W34" s="1575">
        <f t="shared" si="11"/>
        <v>100</v>
      </c>
      <c r="X34" s="1568"/>
      <c r="Y34" s="3393"/>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3"/>
      <c r="Q35" s="1606">
        <f t="shared" si="8"/>
        <v>111</v>
      </c>
      <c r="R35" s="1578" t="s">
        <v>8</v>
      </c>
      <c r="S35" s="1579">
        <f t="shared" si="9"/>
        <v>100</v>
      </c>
      <c r="T35" s="1578" t="s">
        <v>8</v>
      </c>
      <c r="U35" s="1579">
        <f t="shared" si="10"/>
        <v>100</v>
      </c>
      <c r="V35" s="1578" t="s">
        <v>8</v>
      </c>
      <c r="W35" s="1579">
        <f t="shared" si="11"/>
        <v>100</v>
      </c>
      <c r="X35" s="1580"/>
      <c r="Y35" s="3393"/>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3"/>
      <c r="Q36" s="1573">
        <f t="shared" si="8"/>
        <v>111</v>
      </c>
      <c r="R36" s="1574" t="s">
        <v>8</v>
      </c>
      <c r="S36" s="1575">
        <f t="shared" si="9"/>
        <v>100</v>
      </c>
      <c r="T36" s="1574" t="s">
        <v>8</v>
      </c>
      <c r="U36" s="1575">
        <f t="shared" si="10"/>
        <v>100</v>
      </c>
      <c r="V36" s="1574" t="s">
        <v>8</v>
      </c>
      <c r="W36" s="1575">
        <f t="shared" si="11"/>
        <v>100</v>
      </c>
      <c r="X36" s="1568"/>
      <c r="Y36" s="3393"/>
      <c r="Z36" s="1576">
        <f t="shared" si="12"/>
        <v>111</v>
      </c>
      <c r="AA36" s="1577">
        <f t="shared" si="3"/>
        <v>1</v>
      </c>
      <c r="AB36" s="1577">
        <f t="shared" si="4"/>
        <v>1</v>
      </c>
      <c r="AC36" s="1577">
        <f t="shared" si="5"/>
        <v>1</v>
      </c>
    </row>
    <row r="37" spans="1:29" ht="15">
      <c r="A37" s="1847" t="s">
        <v>2077</v>
      </c>
      <c r="B37" s="1848" t="s">
        <v>2078</v>
      </c>
      <c r="C37" s="2652" t="s">
        <v>1</v>
      </c>
      <c r="D37" s="2653"/>
      <c r="E37" s="2654"/>
      <c r="F37" s="2655"/>
      <c r="G37" s="2656"/>
      <c r="H37" s="2657"/>
      <c r="I37" s="2654"/>
      <c r="J37" s="2657"/>
      <c r="K37" s="1612"/>
      <c r="L37" s="2145"/>
      <c r="M37" s="2146"/>
      <c r="N37" s="2135"/>
      <c r="O37" s="2146"/>
      <c r="P37" s="3388" t="str">
        <f>A37</f>
        <v>成交单价</v>
      </c>
      <c r="Q37" s="3388"/>
      <c r="R37" s="3491">
        <f>E37</f>
        <v>0</v>
      </c>
      <c r="S37" s="3491"/>
      <c r="T37" s="3491">
        <f>G37</f>
        <v>0</v>
      </c>
      <c r="U37" s="3491"/>
      <c r="V37" s="3491">
        <f>I37</f>
        <v>0</v>
      </c>
      <c r="W37" s="3491"/>
      <c r="X37" s="1560"/>
      <c r="Y37" s="1582"/>
      <c r="Z37" s="1560"/>
      <c r="AA37" s="1560"/>
      <c r="AB37" s="1560"/>
      <c r="AC37" s="1560"/>
    </row>
    <row r="38" spans="1:29" ht="15.75" thickBot="1">
      <c r="A38" s="615" t="s">
        <v>2759</v>
      </c>
      <c r="B38" s="888"/>
      <c r="C38" s="2658" t="e">
        <f>R39</f>
        <v>#DIV/0!</v>
      </c>
      <c r="D38" s="2659"/>
      <c r="E38" s="2660" t="e">
        <f>R38</f>
        <v>#DIV/0!</v>
      </c>
      <c r="F38" s="2660"/>
      <c r="G38" s="2658" t="e">
        <f>T38</f>
        <v>#DIV/0!</v>
      </c>
      <c r="H38" s="2659"/>
      <c r="I38" s="2660" t="e">
        <f>V38</f>
        <v>#DIV/0!</v>
      </c>
      <c r="J38" s="2659"/>
      <c r="K38" s="1613"/>
      <c r="L38" s="2145"/>
      <c r="M38" s="2146"/>
      <c r="N38" s="2146"/>
      <c r="O38" s="2146"/>
      <c r="P38" s="3388" t="str">
        <f>A38</f>
        <v>比较价格（元/平方米）</v>
      </c>
      <c r="Q38" s="3388"/>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60"/>
      <c r="Y38" s="1560"/>
      <c r="Z38" s="1560"/>
      <c r="AA38" s="1560"/>
      <c r="AB38" s="1560"/>
      <c r="AC38" s="1560"/>
    </row>
    <row r="39" spans="1:29" ht="15.75" thickBot="1">
      <c r="A39" s="621" t="s">
        <v>2931</v>
      </c>
      <c r="B39" s="622"/>
      <c r="C39" s="2661" t="e">
        <f>R39</f>
        <v>#DIV/0!</v>
      </c>
      <c r="D39" s="2661"/>
      <c r="E39" s="2661"/>
      <c r="F39" s="2661"/>
      <c r="G39" s="2661"/>
      <c r="H39" s="2661"/>
      <c r="I39" s="2661"/>
      <c r="J39" s="2661"/>
      <c r="K39" s="1614"/>
      <c r="L39" s="2145"/>
      <c r="M39" s="2146"/>
      <c r="N39" s="2146"/>
      <c r="O39" s="2146"/>
      <c r="P39" s="3411" t="str">
        <f>A39</f>
        <v>估价对象XX用房的比较价格（楼面单价，元/平方米）</v>
      </c>
      <c r="Q39" s="3412"/>
      <c r="R39" s="3490" t="e">
        <f>IF(F1="售价",ROUND(AVERAGE(R38:V38),0),ROUND(AVERAGE(R38:V38),1))</f>
        <v>#DIV/0!</v>
      </c>
      <c r="S39" s="3490"/>
      <c r="T39" s="3490"/>
      <c r="U39" s="3490"/>
      <c r="V39" s="3490"/>
      <c r="W39" s="3490"/>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2018-5</v>
      </c>
      <c r="D48" s="2829">
        <f>EDATE(C48,-1)</f>
        <v>43191</v>
      </c>
      <c r="E48" s="2829">
        <f t="shared" ref="E48:O48" si="13">EDATE(D48,-1)</f>
        <v>43160</v>
      </c>
      <c r="F48" s="2829">
        <f t="shared" si="13"/>
        <v>43132</v>
      </c>
      <c r="G48" s="2829">
        <f t="shared" si="13"/>
        <v>43101</v>
      </c>
      <c r="H48" s="2829">
        <f t="shared" si="13"/>
        <v>43070</v>
      </c>
      <c r="I48" s="2829">
        <f t="shared" si="13"/>
        <v>43040</v>
      </c>
      <c r="J48" s="2829">
        <f t="shared" si="13"/>
        <v>43009</v>
      </c>
      <c r="K48" s="2829">
        <f t="shared" si="13"/>
        <v>42979</v>
      </c>
      <c r="L48" s="2829">
        <f t="shared" si="13"/>
        <v>42948</v>
      </c>
      <c r="M48" s="2829">
        <f t="shared" si="13"/>
        <v>42917</v>
      </c>
      <c r="N48" s="2829">
        <f t="shared" si="13"/>
        <v>42887</v>
      </c>
      <c r="O48" s="2829">
        <f t="shared" si="13"/>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2556</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2557</v>
      </c>
      <c r="C67" s="2623" t="s">
        <v>2558</v>
      </c>
      <c r="D67" s="2623" t="s">
        <v>2559</v>
      </c>
      <c r="E67" s="2623" t="s">
        <v>2560</v>
      </c>
      <c r="F67" s="2623" t="s">
        <v>2561</v>
      </c>
      <c r="G67" s="2623" t="s">
        <v>2562</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94" t="s">
        <v>798</v>
      </c>
      <c r="D4" s="3395"/>
      <c r="E4" s="3420" t="s">
        <v>799</v>
      </c>
      <c r="F4" s="3421"/>
      <c r="G4" s="3394" t="s">
        <v>800</v>
      </c>
      <c r="H4" s="3395"/>
      <c r="I4" s="3394" t="s">
        <v>801</v>
      </c>
      <c r="J4" s="3395"/>
      <c r="K4" s="514" t="s">
        <v>802</v>
      </c>
      <c r="L4" s="2134"/>
      <c r="M4" s="2135"/>
      <c r="N4" s="2135"/>
      <c r="O4" s="2135"/>
      <c r="P4" s="3396" t="s">
        <v>803</v>
      </c>
      <c r="Q4" s="3397"/>
      <c r="R4" s="3382" t="s">
        <v>799</v>
      </c>
      <c r="S4" s="3383"/>
      <c r="T4" s="3382" t="s">
        <v>800</v>
      </c>
      <c r="U4" s="3383"/>
      <c r="V4" s="3402" t="s">
        <v>801</v>
      </c>
      <c r="W4" s="3402"/>
      <c r="X4" s="1568"/>
      <c r="Y4" s="3382" t="s">
        <v>803</v>
      </c>
      <c r="Z4" s="3383"/>
      <c r="AA4" s="3377" t="s">
        <v>799</v>
      </c>
      <c r="AB4" s="3378" t="s">
        <v>800</v>
      </c>
      <c r="AC4" s="3377" t="s">
        <v>801</v>
      </c>
    </row>
    <row r="5" spans="1:29" ht="15">
      <c r="A5" s="515"/>
      <c r="B5" s="516"/>
      <c r="C5" s="3407" t="s">
        <v>2925</v>
      </c>
      <c r="D5" s="3406"/>
      <c r="E5" s="3422" t="s">
        <v>2926</v>
      </c>
      <c r="F5" s="3423"/>
      <c r="G5" s="3407" t="s">
        <v>2927</v>
      </c>
      <c r="H5" s="3406"/>
      <c r="I5" s="3407" t="s">
        <v>2928</v>
      </c>
      <c r="J5" s="3406"/>
      <c r="K5" s="514"/>
      <c r="L5" s="2134"/>
      <c r="M5" s="2135"/>
      <c r="N5" s="2135"/>
      <c r="O5" s="2135"/>
      <c r="P5" s="3398"/>
      <c r="Q5" s="3399"/>
      <c r="R5" s="3384"/>
      <c r="S5" s="3385"/>
      <c r="T5" s="3384"/>
      <c r="U5" s="3385"/>
      <c r="V5" s="3402"/>
      <c r="W5" s="3402"/>
      <c r="X5" s="1568"/>
      <c r="Y5" s="3384"/>
      <c r="Z5" s="3385"/>
      <c r="AA5" s="3378"/>
      <c r="AB5" s="3378"/>
      <c r="AC5" s="3378"/>
    </row>
    <row r="6" spans="1:29" ht="15.75" thickBot="1">
      <c r="A6" s="517"/>
      <c r="B6" s="518"/>
      <c r="C6" s="3424" t="s">
        <v>2929</v>
      </c>
      <c r="D6" s="3404"/>
      <c r="E6" s="3425" t="s">
        <v>2929</v>
      </c>
      <c r="F6" s="3426"/>
      <c r="G6" s="3424" t="s">
        <v>2929</v>
      </c>
      <c r="H6" s="3404"/>
      <c r="I6" s="3424" t="s">
        <v>2929</v>
      </c>
      <c r="J6" s="3404"/>
      <c r="K6" s="514" t="s">
        <v>528</v>
      </c>
      <c r="L6" s="2134"/>
      <c r="M6" s="2135"/>
      <c r="N6" s="2135"/>
      <c r="O6" s="2135"/>
      <c r="P6" s="3400"/>
      <c r="Q6" s="3401"/>
      <c r="R6" s="3384"/>
      <c r="S6" s="3385"/>
      <c r="T6" s="3386"/>
      <c r="U6" s="3387"/>
      <c r="V6" s="3402"/>
      <c r="W6" s="3402"/>
      <c r="X6" s="1568"/>
      <c r="Y6" s="3386"/>
      <c r="Z6" s="3387"/>
      <c r="AA6" s="3379"/>
      <c r="AB6" s="3379"/>
      <c r="AC6" s="3379"/>
    </row>
    <row r="7" spans="1:29" s="1220" customFormat="1" ht="15.75" thickBot="1">
      <c r="A7" s="2937"/>
      <c r="B7" s="2944" t="s">
        <v>529</v>
      </c>
      <c r="C7" s="519">
        <f>'数据-取费表'!B2</f>
        <v>43244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0" t="s">
        <v>530</v>
      </c>
      <c r="Q7" s="3389"/>
      <c r="R7" s="1569" t="s">
        <v>8</v>
      </c>
      <c r="S7" s="1570">
        <f t="shared" ref="S7:S14" si="0">F7</f>
        <v>0</v>
      </c>
      <c r="T7" s="1569" t="s">
        <v>8</v>
      </c>
      <c r="U7" s="1570">
        <f t="shared" ref="U7:U14" si="1">H7</f>
        <v>0</v>
      </c>
      <c r="V7" s="1569" t="s">
        <v>8</v>
      </c>
      <c r="W7" s="1570">
        <f t="shared" ref="W7:W14" si="2">J7</f>
        <v>0</v>
      </c>
      <c r="X7" s="1571"/>
      <c r="Y7" s="3380" t="s">
        <v>530</v>
      </c>
      <c r="Z7" s="3381"/>
      <c r="AA7" s="1572" t="e">
        <f>D7/F7</f>
        <v>#DIV/0!</v>
      </c>
      <c r="AB7" s="1572" t="e">
        <f>D7/H7</f>
        <v>#DIV/0!</v>
      </c>
      <c r="AC7" s="1572" t="e">
        <f>D7/J7</f>
        <v>#DIV/0!</v>
      </c>
    </row>
    <row r="8" spans="1:29" s="1220"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0" t="s">
        <v>533</v>
      </c>
      <c r="Q8" s="3381"/>
      <c r="R8" s="1569" t="s">
        <v>8</v>
      </c>
      <c r="S8" s="1570">
        <f t="shared" si="0"/>
        <v>0</v>
      </c>
      <c r="T8" s="1569" t="s">
        <v>8</v>
      </c>
      <c r="U8" s="1570">
        <f t="shared" si="1"/>
        <v>0</v>
      </c>
      <c r="V8" s="1569" t="s">
        <v>8</v>
      </c>
      <c r="W8" s="1570">
        <f t="shared" si="2"/>
        <v>0</v>
      </c>
      <c r="X8" s="1571"/>
      <c r="Y8" s="3380" t="s">
        <v>533</v>
      </c>
      <c r="Z8" s="3381"/>
      <c r="AA8" s="1572" t="e">
        <f t="shared" ref="AA8:AA34" si="3">D8/F8</f>
        <v>#DIV/0!</v>
      </c>
      <c r="AB8" s="1572" t="e">
        <f t="shared" ref="AB8:AB34" si="4">D8/H8</f>
        <v>#DIV/0!</v>
      </c>
      <c r="AC8" s="1572" t="e">
        <f t="shared" ref="AC8:AC34" si="5">D8/J8</f>
        <v>#DIV/0!</v>
      </c>
    </row>
    <row r="9" spans="1:29" s="1220" customFormat="1" ht="15">
      <c r="A9" s="2939"/>
      <c r="B9" s="2946"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8" t="s">
        <v>535</v>
      </c>
      <c r="Q9" s="1151" t="str">
        <f t="shared" ref="Q9:Q14" si="6">B9</f>
        <v>用途</v>
      </c>
      <c r="R9" s="1569" t="s">
        <v>8</v>
      </c>
      <c r="S9" s="1570">
        <f t="shared" si="0"/>
        <v>100</v>
      </c>
      <c r="T9" s="1569" t="s">
        <v>8</v>
      </c>
      <c r="U9" s="1570">
        <f t="shared" si="1"/>
        <v>100</v>
      </c>
      <c r="V9" s="1569" t="s">
        <v>8</v>
      </c>
      <c r="W9" s="1570">
        <f t="shared" si="2"/>
        <v>100</v>
      </c>
      <c r="X9" s="1571"/>
      <c r="Y9" s="3341" t="s">
        <v>536</v>
      </c>
      <c r="Z9" s="1150" t="str">
        <f t="shared" ref="Z9:Z14" si="7">Q9</f>
        <v>用途</v>
      </c>
      <c r="AA9" s="1572">
        <f t="shared" si="3"/>
        <v>1</v>
      </c>
      <c r="AB9" s="1572">
        <f t="shared" si="4"/>
        <v>1</v>
      </c>
      <c r="AC9" s="1572">
        <f t="shared" si="5"/>
        <v>1</v>
      </c>
    </row>
    <row r="10" spans="1:29" s="1338" customFormat="1" ht="27">
      <c r="A10" s="2940"/>
      <c r="B10" s="2945"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8"/>
      <c r="Q10" s="1151" t="str">
        <f t="shared" si="6"/>
        <v>土地使用年限（年）</v>
      </c>
      <c r="R10" s="1569" t="s">
        <v>8</v>
      </c>
      <c r="S10" s="1570">
        <f t="shared" si="0"/>
        <v>100</v>
      </c>
      <c r="T10" s="1569" t="s">
        <v>8</v>
      </c>
      <c r="U10" s="1570">
        <f t="shared" si="1"/>
        <v>100</v>
      </c>
      <c r="V10" s="1569" t="s">
        <v>8</v>
      </c>
      <c r="W10" s="1570">
        <f t="shared" si="2"/>
        <v>100</v>
      </c>
      <c r="X10" s="1571"/>
      <c r="Y10" s="3341"/>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8"/>
      <c r="Q11" s="1151">
        <f t="shared" si="6"/>
        <v>111</v>
      </c>
      <c r="R11" s="1569" t="s">
        <v>8</v>
      </c>
      <c r="S11" s="1570">
        <f t="shared" si="0"/>
        <v>100</v>
      </c>
      <c r="T11" s="1569" t="s">
        <v>8</v>
      </c>
      <c r="U11" s="1570">
        <f t="shared" si="1"/>
        <v>100</v>
      </c>
      <c r="V11" s="1569" t="s">
        <v>8</v>
      </c>
      <c r="W11" s="1570">
        <f t="shared" si="2"/>
        <v>100</v>
      </c>
      <c r="X11" s="1571"/>
      <c r="Y11" s="3341"/>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8"/>
      <c r="Q12" s="1151">
        <f t="shared" si="6"/>
        <v>111</v>
      </c>
      <c r="R12" s="1569" t="s">
        <v>8</v>
      </c>
      <c r="S12" s="1570">
        <f t="shared" si="0"/>
        <v>100</v>
      </c>
      <c r="T12" s="1569" t="s">
        <v>8</v>
      </c>
      <c r="U12" s="1570">
        <f t="shared" si="1"/>
        <v>100</v>
      </c>
      <c r="V12" s="1569" t="s">
        <v>8</v>
      </c>
      <c r="W12" s="1570">
        <f t="shared" si="2"/>
        <v>100</v>
      </c>
      <c r="X12" s="1571"/>
      <c r="Y12" s="3341"/>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8"/>
      <c r="Q13" s="1151">
        <f t="shared" si="6"/>
        <v>111</v>
      </c>
      <c r="R13" s="1569" t="s">
        <v>8</v>
      </c>
      <c r="S13" s="1570">
        <f t="shared" si="0"/>
        <v>100</v>
      </c>
      <c r="T13" s="1569" t="s">
        <v>8</v>
      </c>
      <c r="U13" s="1570">
        <f t="shared" si="1"/>
        <v>100</v>
      </c>
      <c r="V13" s="1569" t="s">
        <v>8</v>
      </c>
      <c r="W13" s="1570">
        <f t="shared" si="2"/>
        <v>100</v>
      </c>
      <c r="X13" s="1571"/>
      <c r="Y13" s="3341"/>
      <c r="Z13" s="1150">
        <f t="shared" si="7"/>
        <v>111</v>
      </c>
      <c r="AA13" s="1572">
        <f t="shared" si="3"/>
        <v>1</v>
      </c>
      <c r="AB13" s="1572">
        <f t="shared" si="4"/>
        <v>1</v>
      </c>
      <c r="AC13" s="1572">
        <f t="shared" si="5"/>
        <v>1</v>
      </c>
    </row>
    <row r="14" spans="1:29" ht="85.5">
      <c r="A14" s="2935"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1"/>
      <c r="Q15" s="1573"/>
      <c r="R15" s="1574"/>
      <c r="S15" s="1575"/>
      <c r="T15" s="1574"/>
      <c r="U15" s="1575"/>
      <c r="V15" s="1574"/>
      <c r="W15" s="1575"/>
      <c r="X15" s="1568"/>
      <c r="Y15" s="3391"/>
      <c r="Z15" s="1576"/>
      <c r="AA15" s="1577">
        <v>1</v>
      </c>
      <c r="AB15" s="1577">
        <v>1</v>
      </c>
      <c r="AC15" s="1577">
        <v>1</v>
      </c>
    </row>
    <row r="16" spans="1:29" ht="42.75">
      <c r="A16" s="532"/>
      <c r="B16" s="262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1"/>
      <c r="Q17" s="1573"/>
      <c r="R17" s="1574"/>
      <c r="S17" s="1575"/>
      <c r="T17" s="1574"/>
      <c r="U17" s="1575"/>
      <c r="V17" s="1574"/>
      <c r="W17" s="1575"/>
      <c r="X17" s="1568"/>
      <c r="Y17" s="3391"/>
      <c r="Z17" s="1576"/>
      <c r="AA17" s="1577">
        <v>1</v>
      </c>
      <c r="AB17" s="1577">
        <v>1</v>
      </c>
      <c r="AC17" s="1577">
        <v>1</v>
      </c>
    </row>
    <row r="18" spans="1:29" ht="28.5">
      <c r="A18" s="532"/>
      <c r="B18" s="261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1"/>
      <c r="Q18" s="2604" t="str">
        <f>B18</f>
        <v>基础设施水平</v>
      </c>
      <c r="R18" s="1574" t="s">
        <v>8</v>
      </c>
      <c r="S18" s="1575">
        <f>F18</f>
        <v>100</v>
      </c>
      <c r="T18" s="1574" t="s">
        <v>8</v>
      </c>
      <c r="U18" s="1575">
        <f>H18</f>
        <v>100</v>
      </c>
      <c r="V18" s="1574" t="s">
        <v>8</v>
      </c>
      <c r="W18" s="1575">
        <f>J18</f>
        <v>100</v>
      </c>
      <c r="X18" s="2606"/>
      <c r="Y18" s="3391"/>
      <c r="Z18" s="2605" t="str">
        <f>Q18</f>
        <v>基础设施水平</v>
      </c>
      <c r="AA18" s="1577">
        <f>D18/F18</f>
        <v>1</v>
      </c>
      <c r="AB18" s="1577">
        <f>D18/H18</f>
        <v>1</v>
      </c>
      <c r="AC18" s="1577">
        <f>D18/J18</f>
        <v>1</v>
      </c>
    </row>
    <row r="19" spans="1:29" ht="15">
      <c r="A19" s="532"/>
      <c r="B19" s="578"/>
      <c r="C19" s="873"/>
      <c r="D19" s="559"/>
      <c r="E19" s="873"/>
      <c r="F19" s="563"/>
      <c r="G19" s="873"/>
      <c r="H19" s="555"/>
      <c r="I19" s="576"/>
      <c r="J19" s="555"/>
      <c r="K19" s="2627"/>
      <c r="L19" s="2143"/>
      <c r="M19" s="2135"/>
      <c r="N19" s="2135"/>
      <c r="O19" s="2142"/>
      <c r="P19" s="3391"/>
      <c r="Q19" s="2604"/>
      <c r="R19" s="1574"/>
      <c r="S19" s="1575"/>
      <c r="T19" s="1574"/>
      <c r="U19" s="1575"/>
      <c r="V19" s="1574"/>
      <c r="W19" s="1575"/>
      <c r="X19" s="2606"/>
      <c r="Y19" s="3391"/>
      <c r="Z19" s="2605"/>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1"/>
      <c r="Q21" s="1573"/>
      <c r="R21" s="1574"/>
      <c r="S21" s="1575"/>
      <c r="T21" s="1574"/>
      <c r="U21" s="1575"/>
      <c r="V21" s="1574"/>
      <c r="W21" s="1575"/>
      <c r="X21" s="1568"/>
      <c r="Y21" s="339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1"/>
      <c r="Q24" s="1573">
        <f t="shared" ref="Q24:Q34" si="8">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1"/>
      <c r="Q25" s="1151">
        <f t="shared" si="8"/>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93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2"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93"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3"/>
      <c r="Q27" s="1606" t="str">
        <f t="shared" si="8"/>
        <v>成新率</v>
      </c>
      <c r="R27" s="1578" t="s">
        <v>8</v>
      </c>
      <c r="S27" s="1579" t="e">
        <f t="shared" si="9"/>
        <v>#N/A</v>
      </c>
      <c r="T27" s="1578" t="s">
        <v>8</v>
      </c>
      <c r="U27" s="1579" t="e">
        <f t="shared" si="10"/>
        <v>#N/A</v>
      </c>
      <c r="V27" s="1578" t="s">
        <v>8</v>
      </c>
      <c r="W27" s="1579" t="e">
        <f t="shared" si="11"/>
        <v>#N/A</v>
      </c>
      <c r="X27" s="1580"/>
      <c r="Y27" s="3393"/>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3"/>
      <c r="Q28" s="1573" t="str">
        <f t="shared" si="8"/>
        <v>物业等级</v>
      </c>
      <c r="R28" s="1574" t="s">
        <v>8</v>
      </c>
      <c r="S28" s="1575">
        <f t="shared" si="9"/>
        <v>100</v>
      </c>
      <c r="T28" s="1574" t="s">
        <v>8</v>
      </c>
      <c r="U28" s="1575">
        <f t="shared" si="10"/>
        <v>100</v>
      </c>
      <c r="V28" s="1574" t="s">
        <v>8</v>
      </c>
      <c r="W28" s="1575">
        <f t="shared" si="11"/>
        <v>100</v>
      </c>
      <c r="X28" s="1568"/>
      <c r="Y28" s="3393"/>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3"/>
      <c r="Q29" s="1573" t="str">
        <f t="shared" si="8"/>
        <v>有无电梯</v>
      </c>
      <c r="R29" s="1574" t="s">
        <v>8</v>
      </c>
      <c r="S29" s="1575">
        <f t="shared" si="9"/>
        <v>100</v>
      </c>
      <c r="T29" s="1574" t="s">
        <v>8</v>
      </c>
      <c r="U29" s="1575">
        <f t="shared" si="10"/>
        <v>100</v>
      </c>
      <c r="V29" s="1574" t="s">
        <v>8</v>
      </c>
      <c r="W29" s="1575">
        <f t="shared" si="11"/>
        <v>100</v>
      </c>
      <c r="X29" s="1568"/>
      <c r="Y29" s="3393"/>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3"/>
      <c r="Q30" s="1573" t="str">
        <f t="shared" si="8"/>
        <v>建筑面积</v>
      </c>
      <c r="R30" s="1574" t="s">
        <v>8</v>
      </c>
      <c r="S30" s="1575" t="e">
        <f t="shared" si="9"/>
        <v>#N/A</v>
      </c>
      <c r="T30" s="1574" t="s">
        <v>8</v>
      </c>
      <c r="U30" s="1575" t="e">
        <f t="shared" si="10"/>
        <v>#N/A</v>
      </c>
      <c r="V30" s="1574" t="s">
        <v>8</v>
      </c>
      <c r="W30" s="1575" t="e">
        <f t="shared" si="11"/>
        <v>#N/A</v>
      </c>
      <c r="X30" s="1568"/>
      <c r="Y30" s="3393"/>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3"/>
      <c r="Q31" s="1151" t="str">
        <f t="shared" si="8"/>
        <v>是否封闭</v>
      </c>
      <c r="R31" s="1569" t="s">
        <v>8</v>
      </c>
      <c r="S31" s="1570">
        <f t="shared" si="9"/>
        <v>100</v>
      </c>
      <c r="T31" s="1569" t="s">
        <v>8</v>
      </c>
      <c r="U31" s="1570">
        <f t="shared" si="10"/>
        <v>100</v>
      </c>
      <c r="V31" s="1569" t="s">
        <v>8</v>
      </c>
      <c r="W31" s="1570">
        <f t="shared" si="11"/>
        <v>100</v>
      </c>
      <c r="X31" s="1571"/>
      <c r="Y31" s="3393"/>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3" t="s">
        <v>550</v>
      </c>
      <c r="Q32" s="1573">
        <f t="shared" si="8"/>
        <v>111</v>
      </c>
      <c r="R32" s="1574" t="s">
        <v>8</v>
      </c>
      <c r="S32" s="1575">
        <f t="shared" si="9"/>
        <v>100</v>
      </c>
      <c r="T32" s="1574" t="s">
        <v>8</v>
      </c>
      <c r="U32" s="1575">
        <f t="shared" si="10"/>
        <v>100</v>
      </c>
      <c r="V32" s="1574" t="s">
        <v>8</v>
      </c>
      <c r="W32" s="1575">
        <f t="shared" si="11"/>
        <v>100</v>
      </c>
      <c r="X32" s="1568"/>
      <c r="Y32" s="3393"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3"/>
      <c r="Q33" s="1573">
        <f t="shared" si="8"/>
        <v>111</v>
      </c>
      <c r="R33" s="1574" t="s">
        <v>8</v>
      </c>
      <c r="S33" s="1575">
        <f t="shared" si="9"/>
        <v>100</v>
      </c>
      <c r="T33" s="1574" t="s">
        <v>8</v>
      </c>
      <c r="U33" s="1575">
        <f t="shared" si="10"/>
        <v>100</v>
      </c>
      <c r="V33" s="1574" t="s">
        <v>8</v>
      </c>
      <c r="W33" s="1575">
        <f t="shared" si="11"/>
        <v>100</v>
      </c>
      <c r="X33" s="1568"/>
      <c r="Y33" s="3393"/>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3"/>
      <c r="Q34" s="1573">
        <f t="shared" si="8"/>
        <v>111</v>
      </c>
      <c r="R34" s="1574" t="s">
        <v>8</v>
      </c>
      <c r="S34" s="1575">
        <f t="shared" si="9"/>
        <v>100</v>
      </c>
      <c r="T34" s="1574" t="s">
        <v>8</v>
      </c>
      <c r="U34" s="1575">
        <f t="shared" si="10"/>
        <v>100</v>
      </c>
      <c r="V34" s="1574" t="s">
        <v>8</v>
      </c>
      <c r="W34" s="1575">
        <f t="shared" si="11"/>
        <v>100</v>
      </c>
      <c r="X34" s="1568"/>
      <c r="Y34" s="3393"/>
      <c r="Z34" s="1576">
        <f t="shared" si="12"/>
        <v>111</v>
      </c>
      <c r="AA34" s="1577">
        <f t="shared" si="3"/>
        <v>1</v>
      </c>
      <c r="AB34" s="1577">
        <f t="shared" si="4"/>
        <v>1</v>
      </c>
      <c r="AC34" s="1577">
        <f t="shared" si="5"/>
        <v>1</v>
      </c>
    </row>
    <row r="35" spans="1:29" ht="15">
      <c r="A35" s="607" t="s">
        <v>736</v>
      </c>
      <c r="B35" s="887"/>
      <c r="C35" s="2652" t="s">
        <v>1</v>
      </c>
      <c r="D35" s="2653"/>
      <c r="E35" s="2654"/>
      <c r="F35" s="2655"/>
      <c r="G35" s="2656"/>
      <c r="H35" s="2657"/>
      <c r="I35" s="2654"/>
      <c r="J35" s="2657"/>
      <c r="K35" s="1612"/>
      <c r="L35" s="2145"/>
      <c r="M35" s="2146"/>
      <c r="N35" s="2135"/>
      <c r="O35" s="2146"/>
      <c r="P35" s="3388" t="str">
        <f>A35</f>
        <v>成交单价（元/平方米）</v>
      </c>
      <c r="Q35" s="3388"/>
      <c r="R35" s="3491">
        <f>E35</f>
        <v>0</v>
      </c>
      <c r="S35" s="3491"/>
      <c r="T35" s="3491">
        <f>G35</f>
        <v>0</v>
      </c>
      <c r="U35" s="3491"/>
      <c r="V35" s="3491">
        <f>I35</f>
        <v>0</v>
      </c>
      <c r="W35" s="3491"/>
      <c r="X35" s="1560"/>
      <c r="Y35" s="1582"/>
      <c r="Z35" s="1560"/>
      <c r="AA35" s="1560"/>
      <c r="AB35" s="1560"/>
      <c r="AC35" s="1560"/>
    </row>
    <row r="36" spans="1:29" ht="15.75" thickBot="1">
      <c r="A36" s="615" t="s">
        <v>2759</v>
      </c>
      <c r="B36" s="888"/>
      <c r="C36" s="2658" t="e">
        <f>R37</f>
        <v>#DIV/0!</v>
      </c>
      <c r="D36" s="2659"/>
      <c r="E36" s="2660" t="e">
        <f>R36</f>
        <v>#DIV/0!</v>
      </c>
      <c r="F36" s="2660"/>
      <c r="G36" s="2658" t="e">
        <f>T36</f>
        <v>#DIV/0!</v>
      </c>
      <c r="H36" s="2659"/>
      <c r="I36" s="2660" t="e">
        <f>V36</f>
        <v>#DIV/0!</v>
      </c>
      <c r="J36" s="2659"/>
      <c r="K36" s="1613"/>
      <c r="L36" s="2145"/>
      <c r="M36" s="2146"/>
      <c r="N36" s="2135"/>
      <c r="O36" s="2146"/>
      <c r="P36" s="3388" t="str">
        <f>A36</f>
        <v>比较价格（元/平方米）</v>
      </c>
      <c r="Q36" s="3388"/>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60"/>
      <c r="Y36" s="1560"/>
      <c r="Z36" s="1560"/>
      <c r="AA36" s="1560"/>
      <c r="AB36" s="1560"/>
      <c r="AC36" s="1560"/>
    </row>
    <row r="37" spans="1:29" ht="15.75" thickBot="1">
      <c r="A37" s="621" t="s">
        <v>2931</v>
      </c>
      <c r="B37" s="622"/>
      <c r="C37" s="2661" t="e">
        <f>R37</f>
        <v>#DIV/0!</v>
      </c>
      <c r="D37" s="2661"/>
      <c r="E37" s="2661"/>
      <c r="F37" s="2661"/>
      <c r="G37" s="2661"/>
      <c r="H37" s="2661"/>
      <c r="I37" s="2661"/>
      <c r="J37" s="2661"/>
      <c r="K37" s="1614"/>
      <c r="L37" s="2145"/>
      <c r="M37" s="2146"/>
      <c r="N37" s="2146"/>
      <c r="O37" s="2146"/>
      <c r="P37" s="3411" t="str">
        <f>A37</f>
        <v>估价对象XX用房的比较价格（楼面单价，元/平方米）</v>
      </c>
      <c r="Q37" s="3412"/>
      <c r="R37" s="3490" t="e">
        <f>IF(F1="售价",ROUND(AVERAGE(R36:V36),0),ROUND(AVERAGE(R36:V36),1))</f>
        <v>#DIV/0!</v>
      </c>
      <c r="S37" s="3490"/>
      <c r="T37" s="3490"/>
      <c r="U37" s="3490"/>
      <c r="V37" s="3490"/>
      <c r="W37" s="3490"/>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2018-5</v>
      </c>
      <c r="D46" s="2829">
        <f>EDATE(C46,-1)</f>
        <v>43191</v>
      </c>
      <c r="E46" s="2829">
        <f t="shared" ref="E46:O46" si="13">EDATE(D46,-1)</f>
        <v>43160</v>
      </c>
      <c r="F46" s="2829">
        <f t="shared" si="13"/>
        <v>43132</v>
      </c>
      <c r="G46" s="2829">
        <f t="shared" si="13"/>
        <v>43101</v>
      </c>
      <c r="H46" s="2829">
        <f t="shared" si="13"/>
        <v>43070</v>
      </c>
      <c r="I46" s="2829">
        <f t="shared" si="13"/>
        <v>43040</v>
      </c>
      <c r="J46" s="2829">
        <f t="shared" si="13"/>
        <v>43009</v>
      </c>
      <c r="K46" s="2829">
        <f t="shared" si="13"/>
        <v>42979</v>
      </c>
      <c r="L46" s="2829">
        <f t="shared" si="13"/>
        <v>42948</v>
      </c>
      <c r="M46" s="2829">
        <f t="shared" si="13"/>
        <v>42917</v>
      </c>
      <c r="N46" s="2829">
        <f t="shared" si="13"/>
        <v>42887</v>
      </c>
      <c r="O46" s="2829">
        <f t="shared" si="13"/>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2556</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2557</v>
      </c>
      <c r="C65" s="2623" t="s">
        <v>2558</v>
      </c>
      <c r="D65" s="2623" t="s">
        <v>2559</v>
      </c>
      <c r="E65" s="2623" t="s">
        <v>2560</v>
      </c>
      <c r="F65" s="2623" t="s">
        <v>2561</v>
      </c>
      <c r="G65" s="2623" t="s">
        <v>2562</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500" t="s">
        <v>2304</v>
      </c>
      <c r="D1" s="3501"/>
      <c r="E1" s="3501"/>
      <c r="F1" s="3501"/>
      <c r="G1" s="3501"/>
      <c r="H1" s="3501"/>
      <c r="I1" s="3501"/>
      <c r="J1" s="3501"/>
      <c r="K1" s="3501"/>
      <c r="L1" s="3501"/>
      <c r="M1" s="3501"/>
      <c r="N1" s="3501"/>
      <c r="O1" s="3501"/>
      <c r="P1" s="3501"/>
      <c r="Q1" s="3501"/>
      <c r="R1" s="3501"/>
      <c r="S1" s="3502"/>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2924</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2923</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2922</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2937</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2921</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2920</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汕头蓝水星乐园有限公司：</v>
      </c>
    </row>
    <row r="4" spans="1:4" ht="37.5">
      <c r="A4" s="1792" t="str">
        <f>"受贵公司委托，我公司对"&amp;项目基本情况!K2&amp;项目基本情况!B9&amp;"进行了预评估。"</f>
        <v>受贵公司委托，我公司对广东省汕头市龙湖区海湾公园片区（335-00-02-112）出让国有建设用地使用权市场价格进行了预评估。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汕头市龙湖区海湾公园片区（335-00-02-112）出让国有建设用地使用权。根据《国有土地使用证》[汕国用（2013）第10700254号]，估价对象（分摊）出让国有建设用地使用权面积为7876.6平方米。根据《建设用地规划许可证》[[2013]汕规地字第020号]，估价对象规划建筑面积为59074.5平方米。</v>
      </c>
    </row>
    <row r="7" spans="1:4" ht="93.75">
      <c r="A7" s="2898" t="s">
        <v>2747</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2018年5月24日（评估专业人员勘察现场之日）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根据《国有土地使用证》[汕国用（2013）第10700254号]，本次评估估价对象证载（地类）用途为商业、游乐（兼容酒店）和住宅。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本次评估设定用途即为证载用途商业、游乐（兼容酒店）和住宅。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根据《国有土地使用证》[汕国用（2013）第10700254号]，估价对象（分摊）出让国有建设用地使用权面积为7876.6平方米。根据《建设用地规划许可证》[[2013]汕规地字第020号]，估价对象规划建筑面积为59074.5平方米。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900" t="s">
        <v>2748</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2787</v>
      </c>
      <c r="C1" s="3029">
        <f>项目基本情况!D3</f>
        <v>43244</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2818</v>
      </c>
      <c r="C2" s="3030">
        <f>'数据-取费表'!B22</f>
        <v>2</v>
      </c>
      <c r="D2" s="3025" t="s">
        <v>2788</v>
      </c>
      <c r="E2" s="3028">
        <f ca="1">INDIRECT("I"&amp;$I$1)/100</f>
        <v>4.7500000000000001E-2</v>
      </c>
      <c r="G2" s="2965"/>
      <c r="H2" s="2965"/>
      <c r="I2" s="2965" t="s">
        <v>2789</v>
      </c>
      <c r="K2" s="2965"/>
      <c r="L2" s="2965"/>
      <c r="M2" s="2965"/>
      <c r="N2" s="2965" t="s">
        <v>2790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2820</v>
      </c>
      <c r="C3" s="3027">
        <f>'数据-取费表'!B19</f>
        <v>0</v>
      </c>
      <c r="D3" s="3025" t="s">
        <v>2788</v>
      </c>
      <c r="E3" s="3028">
        <f ca="1">INDIRECT("J"&amp;$J$1)/100</f>
        <v>0</v>
      </c>
      <c r="G3" s="2967" t="s">
        <v>2791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2819</v>
      </c>
      <c r="C4" s="3028">
        <f ca="1">N4/100</f>
        <v>1.4999999999999999E-2</v>
      </c>
      <c r="G4" s="2973" t="s">
        <v>2792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2797</v>
      </c>
      <c r="C10" s="2992"/>
      <c r="D10" s="2992"/>
      <c r="E10" s="2992"/>
      <c r="F10" s="2992"/>
      <c r="G10" s="2992"/>
      <c r="H10" s="2992"/>
      <c r="I10" s="2966"/>
      <c r="J10" s="2966"/>
      <c r="K10" s="2992"/>
      <c r="L10" s="2993" t="s">
        <v>2798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2799</v>
      </c>
      <c r="C11" s="2997" t="s">
        <v>2800</v>
      </c>
      <c r="D11" s="2998" t="s">
        <v>2801</v>
      </c>
      <c r="E11" s="2999"/>
      <c r="F11" s="2998" t="s">
        <v>2802</v>
      </c>
      <c r="G11" s="3000"/>
      <c r="H11" s="2999"/>
      <c r="I11" s="2998" t="s">
        <v>2803</v>
      </c>
      <c r="J11" s="2999"/>
      <c r="K11" s="2995"/>
      <c r="L11" s="2996" t="s">
        <v>2799</v>
      </c>
      <c r="M11" s="2997" t="s">
        <v>2800</v>
      </c>
      <c r="N11" s="2996" t="s">
        <v>2804</v>
      </c>
      <c r="O11" s="2998" t="s">
        <v>2805</v>
      </c>
      <c r="P11" s="3000"/>
      <c r="Q11" s="3000"/>
      <c r="R11" s="3000"/>
      <c r="S11" s="3000"/>
      <c r="T11" s="2999"/>
      <c r="U11" s="2998" t="s">
        <v>2806</v>
      </c>
      <c r="V11" s="3000"/>
      <c r="W11" s="2999"/>
      <c r="X11" s="2996" t="s">
        <v>2807</v>
      </c>
      <c r="Y11" s="2996" t="s">
        <v>2808</v>
      </c>
      <c r="Z11" s="2996" t="s">
        <v>2809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2810</v>
      </c>
      <c r="E12" s="3005" t="s">
        <v>2811</v>
      </c>
      <c r="F12" s="3005" t="s">
        <v>2812</v>
      </c>
      <c r="G12" s="3005" t="s">
        <v>2813</v>
      </c>
      <c r="H12" s="3005" t="s">
        <v>2795</v>
      </c>
      <c r="I12" s="3006" t="s">
        <v>2814</v>
      </c>
      <c r="J12" s="3006" t="s">
        <v>2814</v>
      </c>
      <c r="K12" s="3002"/>
      <c r="L12" s="3003"/>
      <c r="M12" s="3004"/>
      <c r="N12" s="3003"/>
      <c r="O12" s="3006" t="s">
        <v>2815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2816</v>
      </c>
      <c r="C13" s="3010">
        <v>42301</v>
      </c>
      <c r="D13" s="3011">
        <v>4.3499999999999996</v>
      </c>
      <c r="E13" s="3011">
        <v>4.3499999999999996</v>
      </c>
      <c r="F13" s="3011">
        <v>4.75</v>
      </c>
      <c r="G13" s="3011">
        <v>4.75</v>
      </c>
      <c r="H13" s="3011">
        <v>4.9000000000000004</v>
      </c>
      <c r="I13" s="3011">
        <v>2.75</v>
      </c>
      <c r="J13" s="3011">
        <v>3.25</v>
      </c>
      <c r="K13" s="3008"/>
      <c r="L13" s="3009" t="s">
        <v>2816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2817</v>
      </c>
      <c r="Y42" s="3015" t="s">
        <v>2817</v>
      </c>
      <c r="Z42" s="3015" t="s">
        <v>2817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2817</v>
      </c>
      <c r="Y43" s="3015" t="s">
        <v>2817</v>
      </c>
      <c r="Z43" s="3015" t="s">
        <v>2817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2817</v>
      </c>
      <c r="Y44" s="3015" t="s">
        <v>2817</v>
      </c>
      <c r="Z44" s="3015" t="s">
        <v>2817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2817</v>
      </c>
      <c r="Y45" s="3015" t="s">
        <v>2817</v>
      </c>
      <c r="Z45" s="3015" t="s">
        <v>2817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2817</v>
      </c>
      <c r="Y46" s="3015" t="s">
        <v>2817</v>
      </c>
      <c r="Z46" s="3015" t="s">
        <v>2817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2817</v>
      </c>
      <c r="Y47" s="3015" t="s">
        <v>2817</v>
      </c>
      <c r="Z47" s="3015" t="s">
        <v>2817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2817</v>
      </c>
      <c r="Y48" s="3015" t="s">
        <v>2817</v>
      </c>
      <c r="Z48" s="3015" t="s">
        <v>2817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2817</v>
      </c>
      <c r="Y49" s="3015" t="s">
        <v>2817</v>
      </c>
      <c r="Z49" s="3015" t="s">
        <v>2817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2817</v>
      </c>
      <c r="Y50" s="3015" t="s">
        <v>2817</v>
      </c>
      <c r="Z50" s="3015" t="s">
        <v>2817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2817</v>
      </c>
      <c r="V51" s="3015" t="s">
        <v>2817</v>
      </c>
      <c r="W51" s="3015" t="s">
        <v>2817</v>
      </c>
      <c r="X51" s="3015" t="s">
        <v>2817</v>
      </c>
      <c r="Y51" s="3015" t="s">
        <v>2817</v>
      </c>
      <c r="Z51" s="3015" t="s">
        <v>2817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2817</v>
      </c>
      <c r="J55" s="3015" t="s">
        <v>2817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B2:E10"/>
  <sheetViews>
    <sheetView workbookViewId="0">
      <selection activeCell="F31" sqref="F31"/>
    </sheetView>
  </sheetViews>
  <sheetFormatPr defaultRowHeight="13.5"/>
  <cols>
    <col min="4" max="4" width="11.375" customWidth="1"/>
  </cols>
  <sheetData>
    <row r="2" spans="2:5" ht="15.75" customHeight="1">
      <c r="B2" s="3503" t="s">
        <v>3039</v>
      </c>
      <c r="C2" s="3503"/>
      <c r="D2" s="3503"/>
      <c r="E2" s="3503"/>
    </row>
    <row r="3" spans="2:5" ht="17.25" thickBot="1">
      <c r="B3" s="3188" t="s">
        <v>3040</v>
      </c>
      <c r="C3" s="3189" t="s">
        <v>3041</v>
      </c>
      <c r="D3" s="3189" t="s">
        <v>3042</v>
      </c>
      <c r="E3" s="3189" t="s">
        <v>3043</v>
      </c>
    </row>
    <row r="4" spans="2:5" ht="16.5">
      <c r="B4" s="3190">
        <v>2016.4</v>
      </c>
      <c r="C4" s="3191">
        <v>3804</v>
      </c>
      <c r="D4" s="3191">
        <v>3.34</v>
      </c>
      <c r="E4" s="3191"/>
    </row>
    <row r="5" spans="2:5" ht="16.5">
      <c r="B5" s="3192">
        <v>2017.1</v>
      </c>
      <c r="C5" s="3193">
        <v>4033</v>
      </c>
      <c r="D5" s="3193">
        <v>6.02</v>
      </c>
      <c r="E5" s="3193"/>
    </row>
    <row r="6" spans="2:5" ht="16.5">
      <c r="B6" s="3190">
        <v>2017.2</v>
      </c>
      <c r="C6" s="3191">
        <v>4304</v>
      </c>
      <c r="D6" s="3191">
        <v>6.72</v>
      </c>
      <c r="E6" s="3191"/>
    </row>
    <row r="7" spans="2:5" ht="16.5">
      <c r="B7" s="3192">
        <v>2017.3</v>
      </c>
      <c r="C7" s="3193">
        <v>4483</v>
      </c>
      <c r="D7" s="3193">
        <v>4.18</v>
      </c>
      <c r="E7" s="3193"/>
    </row>
    <row r="8" spans="2:5" ht="16.5">
      <c r="B8" s="3190">
        <v>2017.4</v>
      </c>
      <c r="C8" s="3191">
        <v>4531</v>
      </c>
      <c r="D8" s="3191">
        <v>1.07</v>
      </c>
    </row>
    <row r="9" spans="2:5" ht="16.5">
      <c r="B9" s="3190">
        <v>2018.1</v>
      </c>
      <c r="C9" s="3190">
        <v>4612</v>
      </c>
      <c r="D9" s="3190">
        <v>1.79</v>
      </c>
      <c r="E9" s="3190"/>
    </row>
    <row r="10" spans="2:5">
      <c r="D10">
        <f>AVERAGE(D4:D9)</f>
        <v>3.8533333333333331</v>
      </c>
    </row>
  </sheetData>
  <mergeCells count="1">
    <mergeCell ref="B2:E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2038</v>
      </c>
      <c r="B1" s="3208"/>
      <c r="C1" s="3208"/>
      <c r="D1" s="3208"/>
      <c r="E1" s="3208"/>
      <c r="F1" s="3208"/>
      <c r="G1" s="3208"/>
      <c r="H1" s="3208"/>
      <c r="I1" s="3208"/>
      <c r="J1" s="3208"/>
      <c r="K1" s="3208"/>
      <c r="L1" s="3208"/>
      <c r="M1" s="3208"/>
      <c r="N1" s="3208"/>
      <c r="O1" s="3208"/>
      <c r="P1" s="3208"/>
      <c r="Q1" s="3208"/>
      <c r="R1" s="3208"/>
    </row>
    <row r="2" spans="1:18">
      <c r="A2" s="1808" t="s">
        <v>2040</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9" t="s">
        <v>2029</v>
      </c>
      <c r="B3" s="3209" t="s">
        <v>2730</v>
      </c>
      <c r="C3" s="3210" t="s">
        <v>2030</v>
      </c>
      <c r="D3" s="3209" t="s">
        <v>2734</v>
      </c>
      <c r="E3" s="3204" t="s">
        <v>2031</v>
      </c>
      <c r="F3" s="3204"/>
      <c r="G3" s="3204"/>
      <c r="H3" s="3204" t="s">
        <v>2032</v>
      </c>
      <c r="I3" s="3204"/>
      <c r="J3" s="3204"/>
      <c r="K3" s="3210" t="s">
        <v>2033</v>
      </c>
      <c r="L3" s="3210" t="s">
        <v>2034</v>
      </c>
      <c r="M3" s="3209" t="s">
        <v>2731</v>
      </c>
      <c r="N3" s="3211" t="str">
        <f>"（分摊）"&amp;项目基本情况!B16&amp;"国有建设用地使用权面积/㎡"</f>
        <v>（分摊）出让国有建设用地使用权面积/㎡</v>
      </c>
      <c r="O3" s="3209" t="s">
        <v>2063</v>
      </c>
      <c r="P3" s="3210" t="s">
        <v>2043</v>
      </c>
      <c r="Q3" s="3210" t="s">
        <v>2064</v>
      </c>
      <c r="R3" s="3210" t="s">
        <v>2035</v>
      </c>
    </row>
    <row r="4" spans="1:18" ht="36.75" customHeight="1">
      <c r="A4" s="3209"/>
      <c r="B4" s="3209"/>
      <c r="C4" s="3210"/>
      <c r="D4" s="3209"/>
      <c r="E4" s="2674" t="s">
        <v>2042</v>
      </c>
      <c r="F4" s="2674" t="s">
        <v>2743</v>
      </c>
      <c r="G4" s="2674" t="s">
        <v>2036</v>
      </c>
      <c r="H4" s="2674" t="s">
        <v>2037</v>
      </c>
      <c r="I4" s="2674" t="s">
        <v>2744</v>
      </c>
      <c r="J4" s="2674" t="s">
        <v>2036</v>
      </c>
      <c r="K4" s="3210"/>
      <c r="L4" s="3210"/>
      <c r="M4" s="3209"/>
      <c r="N4" s="3211"/>
      <c r="O4" s="3209"/>
      <c r="P4" s="3210"/>
      <c r="Q4" s="3210"/>
      <c r="R4" s="3210"/>
    </row>
    <row r="5" spans="1:18" ht="135" customHeight="1">
      <c r="A5" s="1944" t="s">
        <v>2654</v>
      </c>
      <c r="B5" s="2892" t="s">
        <v>2652</v>
      </c>
      <c r="C5" s="2673">
        <v>22</v>
      </c>
      <c r="D5" s="2672" t="s">
        <v>2653</v>
      </c>
      <c r="E5" s="1811" t="str">
        <f>项目基本情况!B12</f>
        <v>商业、游乐（兼容酒店）和住宅</v>
      </c>
      <c r="F5" s="2672">
        <v>258</v>
      </c>
      <c r="G5" s="1811" t="str">
        <f>项目基本情况!B13</f>
        <v>商业、游乐（兼容酒店）和住宅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住宅、商业35.56年</v>
      </c>
      <c r="N5" s="1811">
        <f>项目基本情况!C22</f>
        <v>7876.6</v>
      </c>
      <c r="O5" s="1811">
        <f>项目基本情况!C21</f>
        <v>59074.5</v>
      </c>
      <c r="P5" s="1811">
        <f ca="1">结果表!E42</f>
        <v>64160</v>
      </c>
      <c r="Q5" s="1811">
        <f ca="1">结果表!D42</f>
        <v>8555</v>
      </c>
      <c r="R5" s="1812">
        <f ca="1">结果表!C42</f>
        <v>50536</v>
      </c>
    </row>
    <row r="6" spans="1:18">
      <c r="A6" s="3205" t="str">
        <f>IF(项目基本情况!B9="市场价格","——","抵押价格")</f>
        <v>——</v>
      </c>
      <c r="B6" s="3206"/>
      <c r="C6" s="3206"/>
      <c r="D6" s="3206"/>
      <c r="E6" s="3206"/>
      <c r="F6" s="3206"/>
      <c r="G6" s="3206"/>
      <c r="H6" s="3206"/>
      <c r="I6" s="3206"/>
      <c r="J6" s="3206"/>
      <c r="K6" s="3206"/>
      <c r="L6" s="3206"/>
      <c r="M6" s="3206"/>
      <c r="N6" s="3206"/>
      <c r="O6" s="3206"/>
      <c r="P6" s="3206"/>
      <c r="Q6" s="3207"/>
      <c r="R6" s="1813"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3"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2" t="s">
        <v>2065</v>
      </c>
      <c r="B1" s="3212"/>
      <c r="C1" s="3212"/>
      <c r="D1" s="3212"/>
    </row>
    <row r="2" spans="1:4" ht="47.25" customHeight="1">
      <c r="A2" s="3216" t="str">
        <f>"1.权利限制："&amp;项目基本情况!L24&amp;"未设定租赁等其他他项权利。"</f>
        <v>1.权利限制：根据估价对象《国有土地使用证》复印件，截至估价期日，估价对象已设定抵押。未设定租赁等其他他项权利。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2"/>
      <c r="C3" s="3212"/>
      <c r="D3" s="3212"/>
    </row>
    <row r="4" spans="1:4" ht="36.75" customHeight="1">
      <c r="A4" s="3212" t="str">
        <f>"3.估价规划限制条件：详见"&amp;项目基本情况!E21&amp;"。"</f>
        <v>3.估价规划限制条件：详见《建设用地规划许可证》[[2013]汕规地字第020号]。</v>
      </c>
      <c r="B4" s="3212"/>
      <c r="C4" s="3212"/>
      <c r="D4" s="3212"/>
    </row>
    <row r="5" spans="1:4">
      <c r="A5" s="3215" t="s">
        <v>2066</v>
      </c>
      <c r="B5" s="3215"/>
      <c r="C5" s="3215"/>
      <c r="D5" s="3215"/>
    </row>
    <row r="6" spans="1:4">
      <c r="A6" s="3212" t="s">
        <v>2044</v>
      </c>
      <c r="B6" s="3212"/>
      <c r="C6" s="3212"/>
      <c r="D6" s="3212"/>
    </row>
    <row r="7" spans="1:4" ht="33" customHeight="1">
      <c r="A7" s="3212" t="s">
        <v>2574</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2"/>
      <c r="C8" s="3212"/>
      <c r="D8" s="3212"/>
    </row>
    <row r="9" spans="1:4" ht="33.75" customHeight="1">
      <c r="A9" s="3212" t="str">
        <f>IF(项目基本情况!B8="抵押","3.抵押双方在办理抵押登记手续时，应使用本公司出具的正式《土地估价报告》，特提请报告使用者注意。","——")</f>
        <v>——</v>
      </c>
      <c r="B9" s="3212"/>
      <c r="C9" s="3212"/>
      <c r="D9" s="3212"/>
    </row>
    <row r="10" spans="1:4">
      <c r="A10" s="3212" t="str">
        <f>IF(项目基本情况!B8="抵押","4.估价师所知悉的法定优先受偿款情况为：","——")</f>
        <v>——</v>
      </c>
      <c r="B10" s="3212"/>
      <c r="C10" s="3212"/>
      <c r="D10" s="3212"/>
    </row>
    <row r="11" spans="1:4" ht="37.5" customHeight="1">
      <c r="A11" s="3214" t="str">
        <f>IF(项目基本情况!B8="抵押","（1）"&amp;CONCATENATE(项目基本情况!L24,项目基本情况!L25,项目基本情况!L26),"——")</f>
        <v>——</v>
      </c>
      <c r="B11" s="3214"/>
      <c r="C11" s="3214"/>
      <c r="D11" s="3214"/>
    </row>
    <row r="12" spans="1:4" ht="168" customHeight="1">
      <c r="A12" s="3215" t="s">
        <v>2068</v>
      </c>
      <c r="B12" s="3215"/>
      <c r="C12" s="3215"/>
      <c r="D12" s="3215"/>
    </row>
    <row r="13" spans="1:4">
      <c r="A13" s="3213" t="s">
        <v>2745</v>
      </c>
      <c r="B13" s="3213"/>
      <c r="C13" s="3213"/>
      <c r="D13" s="3213"/>
    </row>
    <row r="14" spans="1:4">
      <c r="A14" s="3214" t="str">
        <f>IF(项目基本情况!B8="抵押","综上，"&amp;结果表!K47,"——")</f>
        <v>——</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2701</v>
      </c>
      <c r="B17" s="3212"/>
      <c r="C17" s="3212"/>
      <c r="D17" s="3212"/>
    </row>
    <row r="18" spans="1:4">
      <c r="A18" s="3212" t="s">
        <v>2693</v>
      </c>
      <c r="B18" s="3212"/>
      <c r="C18" s="3212"/>
      <c r="D18" s="3212"/>
    </row>
    <row r="19" spans="1:4">
      <c r="A19" s="2893" t="s">
        <v>2694</v>
      </c>
      <c r="B19" s="2893" t="s">
        <v>2695</v>
      </c>
      <c r="C19" s="2893" t="s">
        <v>2696</v>
      </c>
      <c r="D19" s="2893" t="s">
        <v>2697</v>
      </c>
    </row>
    <row r="20" spans="1:4">
      <c r="A20" s="2893" t="str">
        <f>项目基本情况!B4</f>
        <v>梁津</v>
      </c>
      <c r="B20" s="2893">
        <f ca="1">项目基本情况!C4</f>
        <v>96010014</v>
      </c>
      <c r="C20" s="2895"/>
      <c r="D20" s="1801" t="s">
        <v>2702</v>
      </c>
    </row>
    <row r="21" spans="1:4">
      <c r="A21" s="2893" t="str">
        <f>项目基本情况!D4</f>
        <v>王鹏</v>
      </c>
      <c r="B21" s="2893">
        <f ca="1">项目基本情况!E4</f>
        <v>2002110030</v>
      </c>
      <c r="C21" s="2895"/>
      <c r="D21" s="1801" t="s">
        <v>2703</v>
      </c>
    </row>
    <row r="23" spans="1:4">
      <c r="A23" s="3212" t="s">
        <v>2698</v>
      </c>
      <c r="B23" s="3212"/>
      <c r="C23" s="3212"/>
      <c r="D23" s="3212"/>
    </row>
    <row r="24" spans="1:4">
      <c r="A24" s="2893" t="s">
        <v>2694</v>
      </c>
      <c r="B24" s="2893" t="s">
        <v>2699</v>
      </c>
      <c r="C24" s="2893" t="s">
        <v>2696</v>
      </c>
      <c r="D24" s="2893" t="s">
        <v>2697</v>
      </c>
    </row>
    <row r="25" spans="1:4">
      <c r="A25" s="2896" t="s">
        <v>2700</v>
      </c>
      <c r="B25" s="2893" t="s">
        <v>952</v>
      </c>
      <c r="C25" s="2895"/>
      <c r="D25" s="1801" t="s">
        <v>2703</v>
      </c>
    </row>
    <row r="29" spans="1:4">
      <c r="D29" s="2894" t="s">
        <v>2039</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4" t="s">
        <v>53</v>
      </c>
      <c r="B15" s="3225" t="s">
        <v>846</v>
      </c>
      <c r="C15" s="3221"/>
    </row>
    <row r="16" spans="1:7" ht="14.25">
      <c r="A16" s="3224"/>
      <c r="B16" s="3222" t="s">
        <v>54</v>
      </c>
      <c r="C16" s="1172" t="s">
        <v>53</v>
      </c>
    </row>
    <row r="17" spans="1:3" ht="14.25">
      <c r="A17" s="3224"/>
      <c r="B17" s="3222"/>
      <c r="C17" s="1172" t="s">
        <v>55</v>
      </c>
    </row>
    <row r="18" spans="1:3" ht="14.25">
      <c r="A18" s="3224"/>
      <c r="B18" s="3222"/>
      <c r="C18" s="1172" t="s">
        <v>56</v>
      </c>
    </row>
    <row r="19" spans="1:3" ht="14.25">
      <c r="A19" s="3224"/>
      <c r="B19" s="3220" t="s">
        <v>57</v>
      </c>
      <c r="C19" s="3221"/>
    </row>
    <row r="20" spans="1:3" ht="14.25">
      <c r="A20" s="1173" t="s">
        <v>58</v>
      </c>
      <c r="B20" s="1174"/>
      <c r="C20" s="1175"/>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6" t="s">
        <v>837</v>
      </c>
    </row>
    <row r="25" spans="1:3" ht="14.25">
      <c r="A25" s="3223"/>
      <c r="B25" s="3227"/>
      <c r="C25" s="1176" t="s">
        <v>838</v>
      </c>
    </row>
    <row r="26" spans="1:3" ht="14.25">
      <c r="A26" s="3223"/>
      <c r="B26" s="3227"/>
      <c r="C26" s="1176" t="s">
        <v>839</v>
      </c>
    </row>
    <row r="27" spans="1:3" ht="14.25">
      <c r="A27" s="3223"/>
      <c r="B27" s="3227"/>
      <c r="C27" s="1176" t="s">
        <v>840</v>
      </c>
    </row>
    <row r="28" spans="1:3" ht="14.25">
      <c r="A28" s="3223"/>
      <c r="B28" s="3227"/>
      <c r="C28" s="1176" t="s">
        <v>841</v>
      </c>
    </row>
    <row r="29" spans="1:3" ht="14.25">
      <c r="A29" s="3223"/>
      <c r="B29" s="3227"/>
      <c r="C29" s="1176" t="s">
        <v>842</v>
      </c>
    </row>
    <row r="30" spans="1:3" ht="14.25">
      <c r="A30" s="3223"/>
      <c r="B30" s="3227"/>
      <c r="C30" s="1176" t="s">
        <v>843</v>
      </c>
    </row>
    <row r="31" spans="1:3" ht="14.25">
      <c r="A31" s="3223"/>
      <c r="B31" s="3227"/>
      <c r="C31" s="1176" t="s">
        <v>844</v>
      </c>
    </row>
    <row r="32" spans="1:3" ht="14.25">
      <c r="A32" s="3223"/>
      <c r="B32" s="3227"/>
      <c r="C32" s="1176" t="s">
        <v>1647</v>
      </c>
    </row>
    <row r="33" spans="1:3" ht="14.25">
      <c r="A33" s="3223"/>
      <c r="B33" s="3217" t="s">
        <v>1653</v>
      </c>
      <c r="C33" s="1176" t="s">
        <v>1648</v>
      </c>
    </row>
    <row r="34" spans="1:3" ht="14.25">
      <c r="A34" s="3223"/>
      <c r="B34" s="3218"/>
      <c r="C34" s="1181" t="s">
        <v>1649</v>
      </c>
    </row>
    <row r="35" spans="1:3" ht="14.25">
      <c r="A35" s="3223"/>
      <c r="B35" s="3218"/>
      <c r="C35" s="1182" t="s">
        <v>1650</v>
      </c>
    </row>
    <row r="36" spans="1:3" ht="14.25">
      <c r="A36" s="3223"/>
      <c r="B36" s="3218"/>
      <c r="C36" s="1182" t="s">
        <v>1651</v>
      </c>
    </row>
    <row r="37" spans="1:3" ht="14.25">
      <c r="A37" s="3223"/>
      <c r="B37" s="321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43252</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1">
        <v>43849</v>
      </c>
      <c r="D4" s="2344" t="s">
        <v>1915</v>
      </c>
      <c r="E4" s="2344">
        <f ca="1">IF(F4&lt;B2,"已过期",96010014)</f>
        <v>96010014</v>
      </c>
      <c r="F4" s="3032">
        <v>47118</v>
      </c>
    </row>
    <row r="5" spans="1:6" ht="20.25" customHeight="1">
      <c r="A5" s="2344" t="s">
        <v>1916</v>
      </c>
      <c r="B5" s="2344">
        <f ca="1">IF(C5&lt;B2,"已过期",1119970074)</f>
        <v>1119970074</v>
      </c>
      <c r="C5" s="3031">
        <v>43849</v>
      </c>
      <c r="D5" s="2344" t="s">
        <v>1916</v>
      </c>
      <c r="E5" s="2344">
        <f ca="1">IF(F5&lt;B2,"已过期",2002110027)</f>
        <v>2002110027</v>
      </c>
      <c r="F5" s="3032">
        <v>46752</v>
      </c>
    </row>
    <row r="6" spans="1:6" ht="20.25" customHeight="1">
      <c r="A6" s="2344" t="s">
        <v>1917</v>
      </c>
      <c r="B6" s="2344">
        <f ca="1">IF(C6&lt;B2,"已过期",1119970111)</f>
        <v>1119970111</v>
      </c>
      <c r="C6" s="3031">
        <v>43849</v>
      </c>
      <c r="D6" s="2344" t="s">
        <v>1917</v>
      </c>
      <c r="E6" s="2344">
        <f ca="1">IF(F6&lt;B2,"已过期",94010078)</f>
        <v>94010078</v>
      </c>
      <c r="F6" s="3032">
        <v>46387</v>
      </c>
    </row>
    <row r="7" spans="1:6" ht="20.25" customHeight="1">
      <c r="A7" s="2344" t="s">
        <v>1918</v>
      </c>
      <c r="B7" s="2344">
        <f ca="1">IF(C7&lt;B2,"已过期",1120050019)</f>
        <v>1120050019</v>
      </c>
      <c r="C7" s="3031">
        <v>43359</v>
      </c>
      <c r="D7" s="2344" t="s">
        <v>1918</v>
      </c>
      <c r="E7" s="2344">
        <f ca="1">IF(F7&lt;B2,"已过期",2002110030)</f>
        <v>2002110030</v>
      </c>
      <c r="F7" s="3032">
        <v>46387</v>
      </c>
    </row>
    <row r="8" spans="1:6" ht="20.25" customHeight="1">
      <c r="A8" s="2344" t="s">
        <v>1919</v>
      </c>
      <c r="B8" s="2344">
        <f ca="1">IF(C8&lt;B2,"已过期",1120000080)</f>
        <v>1120000080</v>
      </c>
      <c r="C8" s="3031">
        <v>43849</v>
      </c>
      <c r="D8" s="2344" t="s">
        <v>1919</v>
      </c>
      <c r="E8" s="2344">
        <f ca="1">IF(F8&lt;B2,"已过期",2000110082)</f>
        <v>2000110082</v>
      </c>
      <c r="F8" s="3032">
        <v>46387</v>
      </c>
    </row>
    <row r="9" spans="1:6" ht="20.25" customHeight="1">
      <c r="A9" s="2344" t="s">
        <v>1920</v>
      </c>
      <c r="B9" s="2344">
        <f ca="1">IF(C9&lt;B2,"已过期",1419970001)</f>
        <v>1419970001</v>
      </c>
      <c r="C9" s="3031">
        <v>43867</v>
      </c>
      <c r="D9" s="2344" t="s">
        <v>1920</v>
      </c>
      <c r="E9" s="2344">
        <f ca="1">IF(F9&lt;B2,"已过期",2002110125)</f>
        <v>2002110125</v>
      </c>
      <c r="F9" s="3032">
        <v>47118</v>
      </c>
    </row>
    <row r="10" spans="1:6" ht="20.25" customHeight="1">
      <c r="A10" s="2344" t="s">
        <v>1921</v>
      </c>
      <c r="B10" s="2344">
        <f ca="1">IF(C10&lt;B2,"已过期",1120060040)</f>
        <v>1120060040</v>
      </c>
      <c r="C10" s="3031">
        <v>43483</v>
      </c>
      <c r="D10" s="2344" t="s">
        <v>1921</v>
      </c>
      <c r="E10" s="2344">
        <f ca="1">IF(F10&lt;B2,"已过期",2004110096)</f>
        <v>2004110096</v>
      </c>
      <c r="F10" s="3032">
        <v>47118</v>
      </c>
    </row>
    <row r="11" spans="1:6" ht="20.25" customHeight="1">
      <c r="A11" s="2344" t="s">
        <v>1922</v>
      </c>
      <c r="B11" s="2344">
        <f ca="1">IF(C11&lt;B2,"已过期",1120100036)</f>
        <v>1120100036</v>
      </c>
      <c r="C11" s="3031">
        <v>43622</v>
      </c>
      <c r="D11" s="2344" t="s">
        <v>1922</v>
      </c>
      <c r="E11" s="2344">
        <f ca="1">IF(F11&lt;B2,"已过期",2010110070)</f>
        <v>2010110070</v>
      </c>
      <c r="F11" s="3032">
        <v>47907</v>
      </c>
    </row>
    <row r="12" spans="1:6" ht="20.25" customHeight="1">
      <c r="A12" s="2344" t="s">
        <v>2976</v>
      </c>
      <c r="B12" s="2344">
        <v>1120110054</v>
      </c>
      <c r="C12" s="3031">
        <v>43937</v>
      </c>
      <c r="D12" s="2344" t="s">
        <v>2976</v>
      </c>
      <c r="E12" s="2344">
        <v>2008110060</v>
      </c>
      <c r="F12" s="3032">
        <v>47177</v>
      </c>
    </row>
    <row r="13" spans="1:6" ht="20.25" customHeight="1">
      <c r="A13" s="2344" t="s">
        <v>1923</v>
      </c>
      <c r="B13" s="2344">
        <f ca="1">IF(C13&lt;B2,"已过期",1120070131)</f>
        <v>1120070131</v>
      </c>
      <c r="C13" s="3031">
        <v>43814</v>
      </c>
      <c r="D13" s="2344" t="s">
        <v>1923</v>
      </c>
      <c r="E13" s="2344">
        <v>2014110011</v>
      </c>
      <c r="F13" s="3032">
        <v>49302</v>
      </c>
    </row>
    <row r="14" spans="1:6" ht="20.25" customHeight="1">
      <c r="A14" s="2344" t="s">
        <v>1924</v>
      </c>
      <c r="B14" s="2344">
        <f ca="1">IF(C14&lt;B2,"已过期",1120130020)</f>
        <v>1120130020</v>
      </c>
      <c r="C14" s="3031">
        <v>43622</v>
      </c>
      <c r="D14" s="2344"/>
      <c r="E14" s="2344"/>
      <c r="F14" s="2344"/>
    </row>
    <row r="15" spans="1:6" ht="20.25" customHeight="1">
      <c r="A15" s="2344" t="s">
        <v>2573</v>
      </c>
      <c r="B15" s="2344">
        <v>1120070085</v>
      </c>
      <c r="C15" s="3031">
        <v>43814</v>
      </c>
      <c r="D15" s="2344" t="s">
        <v>2573</v>
      </c>
      <c r="E15" s="2344">
        <v>2004110128</v>
      </c>
      <c r="F15" s="3032">
        <v>47118</v>
      </c>
    </row>
    <row r="16" spans="1:6" ht="20.25" customHeight="1">
      <c r="A16" s="2344" t="s">
        <v>1925</v>
      </c>
      <c r="B16" s="2344">
        <f ca="1">IF(C16&lt;B2,"已过期",1120140022)</f>
        <v>1120140022</v>
      </c>
      <c r="C16" s="3031">
        <v>44029</v>
      </c>
      <c r="D16" s="2344" t="s">
        <v>1925</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1926</v>
      </c>
      <c r="E21" s="2344">
        <f ca="1">IF(F21&lt;B2,"已过期",2011110090)</f>
        <v>2011110090</v>
      </c>
      <c r="F21" s="3032">
        <v>48302</v>
      </c>
    </row>
    <row r="22" spans="1:7" ht="20.25" customHeight="1">
      <c r="A22" s="2344" t="s">
        <v>1927</v>
      </c>
      <c r="B22" s="2344">
        <f ca="1">IF(C22&lt;B2,"已过期",1120020033)</f>
        <v>1120020033</v>
      </c>
      <c r="C22" s="3031">
        <v>43304</v>
      </c>
      <c r="D22" s="2344" t="s">
        <v>1927</v>
      </c>
      <c r="E22" s="2344">
        <f ca="1">IF(F22&lt;B2,"已过期",2000110137)</f>
        <v>2000110137</v>
      </c>
      <c r="F22" s="3032">
        <v>46387</v>
      </c>
    </row>
    <row r="23" spans="1:7" ht="20.25" customHeight="1">
      <c r="A23" s="2344" t="s">
        <v>1928</v>
      </c>
      <c r="B23" s="2344">
        <f ca="1">IF(C23&lt;B2,"已过期",1120130048)</f>
        <v>1120130048</v>
      </c>
      <c r="C23" s="3031">
        <v>43686</v>
      </c>
      <c r="D23" s="2344"/>
      <c r="E23" s="2344"/>
      <c r="F23" s="2344"/>
    </row>
    <row r="24" spans="1:7" s="2348" customFormat="1" ht="20.25" customHeight="1">
      <c r="A24" s="2346" t="s">
        <v>2053</v>
      </c>
      <c r="B24" s="2346" t="s">
        <v>2053</v>
      </c>
      <c r="C24" s="3031"/>
      <c r="D24" s="3033" t="s">
        <v>2053</v>
      </c>
      <c r="E24" s="2346" t="s">
        <v>2053</v>
      </c>
      <c r="F24" s="2347"/>
    </row>
    <row r="25" spans="1:7" ht="20.25" customHeight="1">
      <c r="A25" s="3228" t="s">
        <v>1929</v>
      </c>
      <c r="B25" s="3228"/>
      <c r="C25" s="3228"/>
      <c r="D25" s="3228"/>
      <c r="E25" s="3228"/>
      <c r="F25" s="3228"/>
      <c r="G25" s="3228"/>
    </row>
    <row r="26" spans="1:7" ht="20.25" customHeight="1">
      <c r="A26" s="3229" t="s">
        <v>1930</v>
      </c>
      <c r="B26" s="3229"/>
      <c r="C26" s="3229"/>
      <c r="D26" s="3229" t="s">
        <v>1931</v>
      </c>
      <c r="E26" s="3229"/>
      <c r="F26" s="3229"/>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2941</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4" priority="82">
      <formula>AND($C24-TODAY()&lt;30,TODAY()&lt;$C24)</formula>
    </cfRule>
  </conditionalFormatting>
  <conditionalFormatting sqref="C28">
    <cfRule type="expression" dxfId="183" priority="81">
      <formula>AND($C28-TODAY()&lt;30,TODAY()&lt;$C28)</formula>
    </cfRule>
  </conditionalFormatting>
  <conditionalFormatting sqref="C28 F4">
    <cfRule type="cellIs" dxfId="182" priority="83" stopIfTrue="1" operator="lessThan">
      <formula>$B$2</formula>
    </cfRule>
  </conditionalFormatting>
  <conditionalFormatting sqref="F5">
    <cfRule type="cellIs" dxfId="181" priority="79" stopIfTrue="1" operator="lessThan">
      <formula>$B$2</formula>
    </cfRule>
  </conditionalFormatting>
  <conditionalFormatting sqref="F6 F8 F10">
    <cfRule type="cellIs" dxfId="180" priority="77" stopIfTrue="1" operator="lessThan">
      <formula>$B$2</formula>
    </cfRule>
  </conditionalFormatting>
  <conditionalFormatting sqref="C24:D24">
    <cfRule type="expression" dxfId="179" priority="75">
      <formula>AND($C24-TODAY()&lt;30,TODAY()&lt;$C24)</formula>
    </cfRule>
  </conditionalFormatting>
  <conditionalFormatting sqref="F7 F9 F11 C24:D24">
    <cfRule type="cellIs" dxfId="178" priority="76" stopIfTrue="1" operator="lessThan">
      <formula>$B$2</formula>
    </cfRule>
  </conditionalFormatting>
  <conditionalFormatting sqref="F16">
    <cfRule type="cellIs" dxfId="177" priority="49" stopIfTrue="1" operator="lessThan">
      <formula>$B$2</formula>
    </cfRule>
  </conditionalFormatting>
  <conditionalFormatting sqref="F18">
    <cfRule type="cellIs" dxfId="176" priority="48" stopIfTrue="1" operator="lessThan">
      <formula>$B$2</formula>
    </cfRule>
  </conditionalFormatting>
  <conditionalFormatting sqref="F22">
    <cfRule type="cellIs" dxfId="175" priority="47" stopIfTrue="1" operator="lessThan">
      <formula>$B$2</formula>
    </cfRule>
  </conditionalFormatting>
  <conditionalFormatting sqref="F21">
    <cfRule type="cellIs" dxfId="174" priority="46" stopIfTrue="1" operator="lessThan">
      <formula>$B$2</formula>
    </cfRule>
  </conditionalFormatting>
  <conditionalFormatting sqref="F17">
    <cfRule type="cellIs" dxfId="173" priority="45" stopIfTrue="1" operator="lessThan">
      <formula>$B$2</formula>
    </cfRule>
  </conditionalFormatting>
  <conditionalFormatting sqref="B4:B11 E4:E11 E16:E23 B16:B23 B13:B14 E13:E14">
    <cfRule type="cellIs" dxfId="172" priority="44" stopIfTrue="1" operator="equal">
      <formula>"已过期"</formula>
    </cfRule>
  </conditionalFormatting>
  <conditionalFormatting sqref="F28">
    <cfRule type="cellIs" dxfId="171" priority="41" stopIfTrue="1" operator="lessThan">
      <formula>$B$2</formula>
    </cfRule>
  </conditionalFormatting>
  <conditionalFormatting sqref="F29">
    <cfRule type="cellIs" dxfId="170" priority="39" stopIfTrue="1" operator="lessThan">
      <formula>$B$2</formula>
    </cfRule>
  </conditionalFormatting>
  <conditionalFormatting sqref="F28">
    <cfRule type="expression" dxfId="169" priority="85">
      <formula>AND($E28-TODAY()&lt;30,TODAY()&lt;$E28)</formula>
    </cfRule>
  </conditionalFormatting>
  <conditionalFormatting sqref="F29">
    <cfRule type="expression" dxfId="168" priority="86" stopIfTrue="1">
      <formula>AND($E29-TODAY()&lt;30,TODAY()&lt;$E29)</formula>
    </cfRule>
  </conditionalFormatting>
  <conditionalFormatting sqref="C5">
    <cfRule type="expression" dxfId="167" priority="36">
      <formula>AND($C5-TODAY()&lt;30,TODAY()&lt;$C5)</formula>
    </cfRule>
  </conditionalFormatting>
  <conditionalFormatting sqref="C5">
    <cfRule type="cellIs" dxfId="166" priority="37" stopIfTrue="1" operator="lessThan">
      <formula>$B$2</formula>
    </cfRule>
  </conditionalFormatting>
  <conditionalFormatting sqref="C4:C6">
    <cfRule type="expression" dxfId="165" priority="34">
      <formula>AND($C4-TODAY()&lt;30,TODAY()&lt;$C4)</formula>
    </cfRule>
  </conditionalFormatting>
  <conditionalFormatting sqref="C4:C6">
    <cfRule type="cellIs" dxfId="164" priority="35" stopIfTrue="1" operator="lessThan">
      <formula>$B$2</formula>
    </cfRule>
  </conditionalFormatting>
  <conditionalFormatting sqref="C8:C9">
    <cfRule type="expression" dxfId="163" priority="32">
      <formula>AND($C8-TODAY()&lt;30,TODAY()&lt;$C8)</formula>
    </cfRule>
  </conditionalFormatting>
  <conditionalFormatting sqref="C8:C9">
    <cfRule type="cellIs" dxfId="162" priority="33" stopIfTrue="1" operator="lessThan">
      <formula>$B$2</formula>
    </cfRule>
  </conditionalFormatting>
  <conditionalFormatting sqref="B15 E15">
    <cfRule type="cellIs" dxfId="161" priority="20" stopIfTrue="1" operator="equal">
      <formula>"已过期"</formula>
    </cfRule>
  </conditionalFormatting>
  <conditionalFormatting sqref="F15">
    <cfRule type="cellIs" dxfId="160" priority="17" stopIfTrue="1" operator="lessThan">
      <formula>$B$2</formula>
    </cfRule>
  </conditionalFormatting>
  <conditionalFormatting sqref="C7">
    <cfRule type="expression" dxfId="159" priority="15">
      <formula>AND($C7-TODAY()&lt;30,TODAY()&lt;$C7)</formula>
    </cfRule>
  </conditionalFormatting>
  <conditionalFormatting sqref="C7">
    <cfRule type="cellIs" dxfId="158" priority="16" stopIfTrue="1" operator="lessThan">
      <formula>$B$2</formula>
    </cfRule>
  </conditionalFormatting>
  <conditionalFormatting sqref="C10:C11 C13:C23">
    <cfRule type="expression" dxfId="157" priority="13">
      <formula>AND($C10-TODAY()&lt;30,TODAY()&lt;$C10)</formula>
    </cfRule>
  </conditionalFormatting>
  <conditionalFormatting sqref="C10:C11 C13:C23">
    <cfRule type="cellIs" dxfId="156" priority="14" stopIfTrue="1" operator="lessThan">
      <formula>$B$2</formula>
    </cfRule>
  </conditionalFormatting>
  <conditionalFormatting sqref="F13">
    <cfRule type="cellIs" dxfId="155" priority="12" stopIfTrue="1" operator="lessThan">
      <formula>$B$2</formula>
    </cfRule>
  </conditionalFormatting>
  <conditionalFormatting sqref="F12">
    <cfRule type="cellIs" dxfId="154" priority="4" stopIfTrue="1" operator="lessThan">
      <formula>$B$2</formula>
    </cfRule>
  </conditionalFormatting>
  <conditionalFormatting sqref="B12 E12">
    <cfRule type="cellIs" dxfId="153" priority="3" stopIfTrue="1" operator="equal">
      <formula>"已过期"</formula>
    </cfRule>
  </conditionalFormatting>
  <conditionalFormatting sqref="C12">
    <cfRule type="expression" dxfId="152" priority="1">
      <formula>AND($C12-TODAY()&lt;30,TODAY()&lt;$C12)</formula>
    </cfRule>
  </conditionalFormatting>
  <conditionalFormatting sqref="C1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2544</v>
      </c>
      <c r="R1" s="2607"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2" t="s">
        <v>2953</v>
      </c>
      <c r="C18" s="1555"/>
    </row>
    <row r="19" spans="1:3">
      <c r="A19" s="8" t="s">
        <v>120</v>
      </c>
      <c r="B19" s="3142" t="s">
        <v>2961</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汕头蓝水星乐园有限公司拟使用广东省汕头市龙湖区海湾公园片区（335-00-02-112）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c r="D53" s="1768"/>
      <c r="E53" s="1768"/>
    </row>
    <row r="54" spans="1:5">
      <c r="A54" s="323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2018-06-01T09:40:22Z</dcterms:modified>
</cp:coreProperties>
</file>